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9"/>
  </bookViews>
  <sheets>
    <sheet name="П1ГАД" sheetId="25" r:id="rId1"/>
    <sheet name="П2ИВФ" sheetId="11" r:id="rId2"/>
    <sheet name="П3ДОХОДЫ" sheetId="20" r:id="rId3"/>
    <sheet name="П4РАСПР." sheetId="12" r:id="rId4"/>
    <sheet name="П5ВЕД" sheetId="21" r:id="rId5"/>
    <sheet name="П3_Доходы" sheetId="3" state="hidden" r:id="rId6"/>
    <sheet name="П6ПРОГРАММЫ" sheetId="10" r:id="rId7"/>
    <sheet name="П7РАСПР" sheetId="14" r:id="rId8"/>
    <sheet name="П8ПМВЗ" sheetId="16" r:id="rId9"/>
    <sheet name="П9нормативы" sheetId="26" r:id="rId10"/>
  </sheets>
  <externalReferences>
    <externalReference r:id="rId11"/>
  </externalReferences>
  <definedNames>
    <definedName name="_xlnm._FilterDatabase" localSheetId="4" hidden="1">П5ВЕД!$A$7:$AB$334</definedName>
    <definedName name="_xlnm.Print_Titles" localSheetId="5">П3_Доходы!$8:$8</definedName>
  </definedNames>
  <calcPr calcId="152511"/>
</workbook>
</file>

<file path=xl/calcChain.xml><?xml version="1.0" encoding="utf-8"?>
<calcChain xmlns="http://schemas.openxmlformats.org/spreadsheetml/2006/main">
  <c r="F103" i="20" l="1"/>
  <c r="AA426" i="21" l="1"/>
  <c r="AA425" i="21"/>
  <c r="AA428" i="21"/>
  <c r="AA146" i="21" l="1"/>
  <c r="AA281" i="21"/>
  <c r="AA60" i="21" l="1"/>
  <c r="AA373" i="21" l="1"/>
  <c r="AA413" i="21"/>
  <c r="E26" i="20"/>
  <c r="E14" i="20"/>
  <c r="E102" i="20" l="1"/>
  <c r="E101" i="20"/>
  <c r="E100" i="20"/>
  <c r="E99" i="20"/>
  <c r="E98" i="20"/>
  <c r="E97" i="20"/>
  <c r="AA257" i="21" l="1"/>
  <c r="AA481" i="21" l="1"/>
  <c r="AA483" i="21"/>
  <c r="AA475" i="21"/>
  <c r="E90" i="20"/>
  <c r="E86" i="20"/>
  <c r="E85" i="20"/>
  <c r="E84" i="20"/>
  <c r="E78" i="20"/>
  <c r="E74" i="20"/>
  <c r="E73" i="20"/>
  <c r="E66" i="20"/>
  <c r="E49" i="20"/>
  <c r="E47" i="20"/>
  <c r="E46" i="20"/>
  <c r="E45" i="20"/>
  <c r="E43" i="20"/>
  <c r="E96" i="20" l="1"/>
  <c r="E93" i="20"/>
  <c r="U263" i="12" l="1"/>
  <c r="U264" i="12"/>
  <c r="AA269" i="21"/>
  <c r="AA268" i="21"/>
  <c r="AA267" i="21"/>
  <c r="AA77" i="21" l="1"/>
  <c r="AA79" i="21"/>
  <c r="E25" i="20" l="1"/>
  <c r="U132" i="12"/>
  <c r="U133" i="12"/>
  <c r="AA114" i="21"/>
  <c r="AA115" i="21"/>
  <c r="E23" i="20"/>
  <c r="AA394" i="21" l="1"/>
  <c r="AA432" i="21"/>
  <c r="AA375" i="21"/>
  <c r="AA392" i="21"/>
  <c r="E18" i="20"/>
  <c r="AA231" i="21"/>
  <c r="E103" i="20" l="1"/>
  <c r="E104" i="20" s="1"/>
  <c r="AA290" i="21" l="1"/>
  <c r="U26" i="12" l="1"/>
  <c r="U25" i="12" s="1"/>
  <c r="AA326" i="21"/>
  <c r="E19" i="20" l="1"/>
  <c r="E13" i="20"/>
  <c r="AA159" i="21" l="1"/>
  <c r="AA227" i="21"/>
  <c r="AA321" i="21"/>
  <c r="AA280" i="21"/>
  <c r="AA293" i="21"/>
  <c r="AA47" i="21"/>
  <c r="AA167" i="21"/>
  <c r="AA165" i="21"/>
  <c r="AA109" i="21"/>
  <c r="AA107" i="21"/>
  <c r="AA99" i="21"/>
  <c r="AA388" i="21"/>
  <c r="AA178" i="21"/>
  <c r="AA176" i="21"/>
  <c r="AA64" i="21"/>
  <c r="AA91" i="21"/>
  <c r="AA71" i="21"/>
  <c r="AA96" i="21"/>
  <c r="AA94" i="21"/>
  <c r="AA196" i="21"/>
  <c r="AA192" i="21"/>
  <c r="AA190" i="21"/>
  <c r="AA24" i="21"/>
  <c r="AA144" i="21"/>
  <c r="AA85" i="21"/>
  <c r="AA83" i="21"/>
  <c r="AA81" i="21"/>
  <c r="AA75" i="21"/>
  <c r="AA384" i="21" l="1"/>
  <c r="AA371" i="21" l="1"/>
  <c r="AA390" i="21" l="1"/>
  <c r="AA386" i="21"/>
  <c r="AA49" i="21"/>
  <c r="AA98" i="21"/>
  <c r="E39" i="20" l="1"/>
  <c r="AA380" i="21"/>
  <c r="U208" i="12" s="1"/>
  <c r="U207" i="12" s="1"/>
  <c r="AA409" i="21" l="1"/>
  <c r="AA407" i="21"/>
  <c r="AA449" i="21" l="1"/>
  <c r="AA447" i="21" s="1"/>
  <c r="E37" i="20"/>
  <c r="E17" i="20"/>
  <c r="AA87" i="21" l="1"/>
  <c r="AA148" i="21" l="1"/>
  <c r="AA311" i="21"/>
  <c r="AA310" i="21" s="1"/>
  <c r="AA155" i="21"/>
  <c r="U180" i="12" l="1"/>
  <c r="U179" i="12" s="1"/>
  <c r="AA415" i="21"/>
  <c r="AA440" i="21"/>
  <c r="AA396" i="21"/>
  <c r="AA58" i="21" l="1"/>
  <c r="AA249" i="21"/>
  <c r="E34" i="20" l="1"/>
  <c r="AA454" i="21"/>
  <c r="AA452" i="21"/>
  <c r="E33" i="20"/>
  <c r="AA377" i="21"/>
  <c r="E83" i="20" l="1"/>
  <c r="AA418" i="21" l="1"/>
  <c r="AA419" i="21"/>
  <c r="AA260" i="21" l="1"/>
  <c r="AA467" i="21" l="1"/>
  <c r="AA466" i="21"/>
  <c r="AA278" i="21" l="1"/>
  <c r="I49" i="10" s="1"/>
  <c r="AA118" i="21"/>
  <c r="AA225" i="21" l="1"/>
  <c r="U59" i="12" l="1"/>
  <c r="AA46" i="21"/>
  <c r="AA182" i="21"/>
  <c r="AA51" i="21"/>
  <c r="AA161" i="21"/>
  <c r="U141" i="12"/>
  <c r="AA431" i="21" l="1"/>
  <c r="E27" i="20"/>
  <c r="AC500" i="21" l="1"/>
  <c r="U234" i="12" l="1"/>
  <c r="U232" i="12"/>
  <c r="AA402" i="21"/>
  <c r="AA404" i="21"/>
  <c r="E92" i="20"/>
  <c r="AA324" i="21" l="1"/>
  <c r="AA323" i="21" s="1"/>
  <c r="AA322" i="21" s="1"/>
  <c r="U296" i="12" s="1"/>
  <c r="U295" i="12" s="1"/>
  <c r="AA494" i="21" l="1"/>
  <c r="AA53" i="21"/>
  <c r="AA292" i="21" l="1"/>
  <c r="U169" i="12" l="1"/>
  <c r="U168" i="12" s="1"/>
  <c r="AA285" i="21"/>
  <c r="AA421" i="21" l="1"/>
  <c r="E89" i="20" l="1"/>
  <c r="E82" i="20"/>
  <c r="E80" i="20"/>
  <c r="E77" i="20"/>
  <c r="E76" i="20"/>
  <c r="E68" i="20"/>
  <c r="E59" i="20"/>
  <c r="E57" i="20"/>
  <c r="E54" i="20"/>
  <c r="E52" i="20"/>
  <c r="U256" i="12" l="1"/>
  <c r="AA417" i="21"/>
  <c r="U339" i="12" l="1"/>
  <c r="AA457" i="21" l="1"/>
  <c r="AA456" i="21"/>
  <c r="U331" i="12"/>
  <c r="AA444" i="21"/>
  <c r="AA442" i="21" s="1"/>
  <c r="U196" i="12"/>
  <c r="U195" i="12" s="1"/>
  <c r="AA368" i="21"/>
  <c r="AA433" i="21"/>
  <c r="AA422" i="21"/>
  <c r="AA490" i="21" s="1"/>
  <c r="AA120" i="21" l="1"/>
  <c r="AA220" i="21" l="1"/>
  <c r="AA217" i="21"/>
  <c r="U319" i="12" s="1"/>
  <c r="U318" i="12" s="1"/>
  <c r="AA137" i="21" l="1"/>
  <c r="AA150" i="21" l="1"/>
  <c r="E38" i="20" l="1"/>
  <c r="E30" i="20"/>
  <c r="AA66" i="21" l="1"/>
  <c r="E31" i="20" l="1"/>
  <c r="U346" i="12" l="1"/>
  <c r="U309" i="12"/>
  <c r="AA450" i="21"/>
  <c r="AA438" i="21"/>
  <c r="AA437" i="21" s="1"/>
  <c r="E50" i="20"/>
  <c r="AA435" i="21"/>
  <c r="AA45" i="21" l="1"/>
  <c r="E24" i="20"/>
  <c r="AA224" i="21" l="1"/>
  <c r="U325" i="12" s="1"/>
  <c r="AA284" i="21"/>
  <c r="AA283" i="21" s="1"/>
  <c r="I24" i="10" l="1"/>
  <c r="U167" i="12"/>
  <c r="U166" i="12" s="1"/>
  <c r="AA464" i="21"/>
  <c r="AA463" i="21"/>
  <c r="U71" i="12" l="1"/>
  <c r="U70" i="12" s="1"/>
  <c r="AA57" i="21"/>
  <c r="AA139" i="21"/>
  <c r="U321" i="12" l="1"/>
  <c r="U320" i="12" s="1"/>
  <c r="U317" i="12"/>
  <c r="U316" i="12" s="1"/>
  <c r="AA219" i="21"/>
  <c r="AA215" i="21"/>
  <c r="U139" i="12" l="1"/>
  <c r="U138" i="12" s="1"/>
  <c r="AA274" i="21"/>
  <c r="AA272" i="21" s="1"/>
  <c r="D31" i="14" l="1"/>
  <c r="AA252" i="21"/>
  <c r="U64" i="12"/>
  <c r="U63" i="12" s="1"/>
  <c r="AA50" i="21"/>
  <c r="AA153" i="21" l="1"/>
  <c r="AA309" i="21"/>
  <c r="U85" i="12"/>
  <c r="U84" i="12" s="1"/>
  <c r="AA67" i="21"/>
  <c r="AA27" i="21" l="1"/>
  <c r="AA26" i="21"/>
  <c r="AA299" i="21" l="1"/>
  <c r="U176" i="12" s="1"/>
  <c r="U175" i="12" s="1"/>
  <c r="AA298" i="21" l="1"/>
  <c r="U140" i="12"/>
  <c r="U131" i="12" s="1"/>
  <c r="I19" i="10" l="1"/>
  <c r="AA297" i="21"/>
  <c r="E71" i="20"/>
  <c r="AA379" i="21" l="1"/>
  <c r="U206" i="12" s="1"/>
  <c r="U205" i="12" s="1"/>
  <c r="U53" i="12"/>
  <c r="U52" i="12" s="1"/>
  <c r="AA44" i="21"/>
  <c r="AA378" i="21" l="1"/>
  <c r="U342" i="12"/>
  <c r="AA105" i="21"/>
  <c r="AA103" i="21"/>
  <c r="AA101" i="21"/>
  <c r="U186" i="12" l="1"/>
  <c r="AA136" i="21" l="1"/>
  <c r="U153" i="12" s="1"/>
  <c r="U152" i="12" s="1"/>
  <c r="AA149" i="21" l="1"/>
  <c r="U163" i="12" s="1"/>
  <c r="U162" i="12" s="1"/>
  <c r="AA226" i="21"/>
  <c r="U328" i="12" s="1"/>
  <c r="U327" i="12" s="1"/>
  <c r="E36" i="20" l="1"/>
  <c r="AA34" i="21" l="1"/>
  <c r="AA156" i="21" l="1"/>
  <c r="U182" i="12" s="1"/>
  <c r="U181" i="12" s="1"/>
  <c r="U367" i="12" l="1"/>
  <c r="AA185" i="21" l="1"/>
  <c r="AA263" i="21" l="1"/>
  <c r="AA59" i="21" l="1"/>
  <c r="U73" i="12" s="1"/>
  <c r="U72" i="12" s="1"/>
  <c r="AA55" i="21" l="1"/>
  <c r="U348" i="12" l="1"/>
  <c r="AA104" i="21" l="1"/>
  <c r="U122" i="12" s="1"/>
  <c r="U121" i="12" s="1"/>
  <c r="AA198" i="21" l="1"/>
  <c r="AA330" i="21"/>
  <c r="AA240" i="21" l="1"/>
  <c r="AA19" i="21"/>
  <c r="AA20" i="21"/>
  <c r="U66" i="12"/>
  <c r="U65" i="12" s="1"/>
  <c r="AA52" i="21"/>
  <c r="U185" i="12"/>
  <c r="AA160" i="21"/>
  <c r="U19" i="12" l="1"/>
  <c r="AA202" i="21"/>
  <c r="AA455" i="21"/>
  <c r="AA446" i="21"/>
  <c r="AA401" i="21" l="1"/>
  <c r="AA223" i="21"/>
  <c r="C23" i="11" l="1"/>
  <c r="U156" i="12"/>
  <c r="U155" i="12" s="1"/>
  <c r="AA138" i="21"/>
  <c r="I23" i="10"/>
  <c r="U165" i="12"/>
  <c r="U164" i="12" s="1"/>
  <c r="U116" i="12"/>
  <c r="U115" i="12" s="1"/>
  <c r="AA145" i="21"/>
  <c r="AA471" i="21" l="1"/>
  <c r="Z422" i="21" l="1"/>
  <c r="U75" i="12" l="1"/>
  <c r="U200" i="12"/>
  <c r="Z133" i="21"/>
  <c r="Z62" i="21"/>
  <c r="AA376" i="21"/>
  <c r="AA265" i="21" l="1"/>
  <c r="AA264" i="21" s="1"/>
  <c r="AA479" i="21" l="1"/>
  <c r="AA427" i="21"/>
  <c r="AA498" i="21" l="1"/>
  <c r="AB498" i="21" s="1"/>
  <c r="AA462" i="21"/>
  <c r="AA28" i="21"/>
  <c r="U341" i="12"/>
  <c r="U254" i="12"/>
  <c r="Z230" i="21"/>
  <c r="AA230" i="21"/>
  <c r="AA221" i="21" l="1"/>
  <c r="AA106" i="21"/>
  <c r="AA30" i="21"/>
  <c r="AA43" i="21"/>
  <c r="C18" i="11" l="1"/>
  <c r="C21" i="11" s="1"/>
  <c r="C14" i="11" l="1"/>
  <c r="I48" i="10" l="1"/>
  <c r="I39" i="10"/>
  <c r="I16" i="10"/>
  <c r="I13" i="10"/>
  <c r="U363" i="12"/>
  <c r="U253" i="12"/>
  <c r="U24" i="12" l="1"/>
  <c r="U23" i="12" s="1"/>
  <c r="U370" i="12"/>
  <c r="U366" i="12"/>
  <c r="U361" i="12"/>
  <c r="U360" i="12" s="1"/>
  <c r="U359" i="12"/>
  <c r="U357" i="12"/>
  <c r="U354" i="12"/>
  <c r="U352" i="12"/>
  <c r="U351" i="12" s="1"/>
  <c r="U347" i="12"/>
  <c r="U345" i="12" s="1"/>
  <c r="U344" i="12"/>
  <c r="U343" i="12" s="1"/>
  <c r="U340" i="12"/>
  <c r="U338" i="12" s="1"/>
  <c r="U337" i="12"/>
  <c r="U336" i="12"/>
  <c r="U334" i="12"/>
  <c r="U332" i="12"/>
  <c r="U330" i="12" s="1"/>
  <c r="U326" i="12"/>
  <c r="U324" i="12" s="1"/>
  <c r="U323" i="12"/>
  <c r="U315" i="12"/>
  <c r="U314" i="12" s="1"/>
  <c r="U313" i="12"/>
  <c r="U312" i="12" s="1"/>
  <c r="U310" i="12"/>
  <c r="U308" i="12" s="1"/>
  <c r="U307" i="12"/>
  <c r="U306" i="12" s="1"/>
  <c r="U294" i="12"/>
  <c r="U292" i="12"/>
  <c r="U290" i="12"/>
  <c r="U289" i="12" s="1"/>
  <c r="U288" i="12"/>
  <c r="U287" i="12" s="1"/>
  <c r="U286" i="12"/>
  <c r="U285" i="12" s="1"/>
  <c r="U284" i="12"/>
  <c r="U283" i="12" s="1"/>
  <c r="U282" i="12"/>
  <c r="U278" i="12"/>
  <c r="U277" i="12" s="1"/>
  <c r="U276" i="12"/>
  <c r="U275" i="12"/>
  <c r="U272" i="12"/>
  <c r="U271" i="12"/>
  <c r="U270" i="12"/>
  <c r="U158" i="12"/>
  <c r="U157" i="12" s="1"/>
  <c r="U281" i="12" l="1"/>
  <c r="U365" i="12"/>
  <c r="U364" i="12" s="1"/>
  <c r="U305" i="12"/>
  <c r="U269" i="12"/>
  <c r="U262" i="12" l="1"/>
  <c r="U261" i="12"/>
  <c r="U260" i="12" s="1"/>
  <c r="U259" i="12"/>
  <c r="U257" i="12"/>
  <c r="U255" i="12" s="1"/>
  <c r="U252" i="12"/>
  <c r="U251" i="12" s="1"/>
  <c r="U250" i="12"/>
  <c r="U249" i="12" s="1"/>
  <c r="U248" i="12"/>
  <c r="U243" i="12"/>
  <c r="U242" i="12" s="1"/>
  <c r="U245" i="12"/>
  <c r="U244" i="12" s="1"/>
  <c r="U241" i="12"/>
  <c r="U240" i="12" s="1"/>
  <c r="U239" i="12"/>
  <c r="U238" i="12" s="1"/>
  <c r="U237" i="12"/>
  <c r="U236" i="12" s="1"/>
  <c r="U231" i="12"/>
  <c r="U230" i="12"/>
  <c r="U228" i="12"/>
  <c r="U227" i="12" s="1"/>
  <c r="U226" i="12"/>
  <c r="U225" i="12" s="1"/>
  <c r="U223" i="12"/>
  <c r="U221" i="12"/>
  <c r="U220" i="12" s="1"/>
  <c r="U219" i="12"/>
  <c r="U218" i="12" s="1"/>
  <c r="U217" i="12"/>
  <c r="U215" i="12"/>
  <c r="U214" i="12" s="1"/>
  <c r="U213" i="12"/>
  <c r="U212" i="12" s="1"/>
  <c r="U211" i="12"/>
  <c r="U204" i="12"/>
  <c r="U202" i="12"/>
  <c r="U192" i="12"/>
  <c r="U190" i="12"/>
  <c r="U188" i="12"/>
  <c r="U184" i="12"/>
  <c r="U178" i="12"/>
  <c r="U174" i="12"/>
  <c r="U173" i="12" s="1"/>
  <c r="U171" i="12"/>
  <c r="U161" i="12"/>
  <c r="U160" i="12" s="1"/>
  <c r="U154" i="12"/>
  <c r="U151" i="12" s="1"/>
  <c r="U150" i="12" s="1"/>
  <c r="U148" i="12"/>
  <c r="U147" i="12" s="1"/>
  <c r="U146" i="12"/>
  <c r="U144" i="12"/>
  <c r="U143" i="12" s="1"/>
  <c r="U137" i="12"/>
  <c r="U135" i="12"/>
  <c r="U130" i="12"/>
  <c r="U129" i="12" s="1"/>
  <c r="U128" i="12"/>
  <c r="U127" i="12" s="1"/>
  <c r="U126" i="12"/>
  <c r="U124" i="12"/>
  <c r="U123" i="12" s="1"/>
  <c r="U120" i="12"/>
  <c r="U119" i="12" s="1"/>
  <c r="U118" i="12"/>
  <c r="U113" i="12"/>
  <c r="U111" i="12"/>
  <c r="U108" i="12"/>
  <c r="U107" i="12" s="1"/>
  <c r="U106" i="12"/>
  <c r="U105" i="12" s="1"/>
  <c r="U104" i="12"/>
  <c r="U102" i="12"/>
  <c r="U100" i="12"/>
  <c r="U98" i="12"/>
  <c r="U97" i="12" s="1"/>
  <c r="U96" i="12"/>
  <c r="U94" i="12"/>
  <c r="U93" i="12" s="1"/>
  <c r="U92" i="12"/>
  <c r="U83" i="12"/>
  <c r="U82" i="12" s="1"/>
  <c r="U79" i="12"/>
  <c r="U78" i="12" s="1"/>
  <c r="U62" i="12"/>
  <c r="U60" i="12"/>
  <c r="U56" i="12"/>
  <c r="U55" i="12"/>
  <c r="U51" i="12"/>
  <c r="U50" i="12" s="1"/>
  <c r="U48" i="12"/>
  <c r="U47" i="12" s="1"/>
  <c r="U46" i="12" s="1"/>
  <c r="U43" i="12"/>
  <c r="U42" i="12" s="1"/>
  <c r="U41" i="12"/>
  <c r="U40" i="12"/>
  <c r="U39" i="12"/>
  <c r="U33" i="12"/>
  <c r="U32" i="12"/>
  <c r="U30" i="12"/>
  <c r="U29" i="12"/>
  <c r="U28" i="12"/>
  <c r="U17" i="12"/>
  <c r="U16" i="12" s="1"/>
  <c r="U21" i="12"/>
  <c r="U20" i="12"/>
  <c r="U14" i="12"/>
  <c r="U13" i="12" s="1"/>
  <c r="U12" i="12" s="1"/>
  <c r="AA258" i="21"/>
  <c r="AA262" i="21"/>
  <c r="AA412" i="21"/>
  <c r="AA491" i="21" s="1"/>
  <c r="U198" i="12"/>
  <c r="U197" i="12" s="1"/>
  <c r="U274" i="12" l="1"/>
  <c r="U273" i="12" s="1"/>
  <c r="AA430" i="21"/>
  <c r="AA256" i="21"/>
  <c r="U31" i="12"/>
  <c r="U27" i="12"/>
  <c r="U38" i="12"/>
  <c r="U22" i="12" l="1"/>
  <c r="AA250" i="21"/>
  <c r="AA246" i="21"/>
  <c r="AA248" i="21"/>
  <c r="AA244" i="21"/>
  <c r="AA241" i="21"/>
  <c r="AA239" i="21"/>
  <c r="AA213" i="21"/>
  <c r="AA211" i="21"/>
  <c r="AA193" i="21"/>
  <c r="AA191" i="21"/>
  <c r="AA177" i="21"/>
  <c r="AA175" i="21"/>
  <c r="AA173" i="21"/>
  <c r="AA166" i="21"/>
  <c r="AA164" i="21"/>
  <c r="AA162" i="21"/>
  <c r="AA158" i="21"/>
  <c r="AA154" i="21"/>
  <c r="AA152" i="21"/>
  <c r="AA134" i="21"/>
  <c r="AA124" i="21"/>
  <c r="AA95" i="21"/>
  <c r="AA93" i="21"/>
  <c r="AA195" i="21"/>
  <c r="AA170" i="21"/>
  <c r="AA243" i="21" l="1"/>
  <c r="D58" i="14" s="1"/>
  <c r="AA210" i="21"/>
  <c r="D52" i="14" s="1"/>
  <c r="AA238" i="21"/>
  <c r="I28" i="10"/>
  <c r="AA151" i="21"/>
  <c r="D36" i="14" s="1"/>
  <c r="AA169" i="21"/>
  <c r="I52" i="10"/>
  <c r="AA92" i="21"/>
  <c r="D29" i="14" s="1"/>
  <c r="I32" i="10"/>
  <c r="I26" i="10"/>
  <c r="AA208" i="21"/>
  <c r="AA482" i="21"/>
  <c r="AA480" i="21"/>
  <c r="AA478" i="21"/>
  <c r="AA474" i="21"/>
  <c r="I44" i="10" s="1"/>
  <c r="AA470" i="21"/>
  <c r="AA469" i="21" s="1"/>
  <c r="AA468" i="21" s="1"/>
  <c r="AA333" i="21"/>
  <c r="AA332" i="21" s="1"/>
  <c r="AA329" i="21"/>
  <c r="D60" i="14" s="1"/>
  <c r="AA206" i="21"/>
  <c r="AA205" i="21" s="1"/>
  <c r="AA189" i="21"/>
  <c r="AA179" i="21"/>
  <c r="AA477" i="21" l="1"/>
  <c r="AA328" i="21"/>
  <c r="AA327" i="21" s="1"/>
  <c r="D62" i="14"/>
  <c r="AA331" i="21"/>
  <c r="AA473" i="21"/>
  <c r="AA472" i="21" s="1"/>
  <c r="D55" i="14"/>
  <c r="AA237" i="21"/>
  <c r="AA181" i="21"/>
  <c r="I45" i="10" s="1"/>
  <c r="AA140" i="21"/>
  <c r="AA133" i="21" s="1"/>
  <c r="I37" i="10" l="1"/>
  <c r="D34" i="14"/>
  <c r="AA172" i="21"/>
  <c r="AA476" i="21"/>
  <c r="AA143" i="21"/>
  <c r="AA130" i="21"/>
  <c r="AA128" i="21"/>
  <c r="AA122" i="21"/>
  <c r="AA119" i="21"/>
  <c r="AA110" i="21"/>
  <c r="AA88" i="21"/>
  <c r="AA48" i="21"/>
  <c r="AA39" i="21"/>
  <c r="AA121" i="21" l="1"/>
  <c r="D32" i="14" s="1"/>
  <c r="AA38" i="21"/>
  <c r="D18" i="14"/>
  <c r="AA33" i="21"/>
  <c r="AA147" i="21"/>
  <c r="AA235" i="21"/>
  <c r="AA228" i="21" s="1"/>
  <c r="AA399" i="21"/>
  <c r="AA142" i="21" l="1"/>
  <c r="D35" i="14" s="1"/>
  <c r="AA32" i="21"/>
  <c r="D15" i="14" s="1"/>
  <c r="U36" i="12"/>
  <c r="U35" i="12" s="1"/>
  <c r="U34" i="12" s="1"/>
  <c r="AA204" i="21"/>
  <c r="C11" i="11"/>
  <c r="AA132" i="21" l="1"/>
  <c r="AA117" i="21"/>
  <c r="AA112" i="21"/>
  <c r="AA108" i="21"/>
  <c r="AA102" i="21"/>
  <c r="AA90" i="21"/>
  <c r="I30" i="10" s="1"/>
  <c r="AA86" i="21"/>
  <c r="AA84" i="21" l="1"/>
  <c r="AA82" i="21"/>
  <c r="AA80" i="21"/>
  <c r="AA78" i="21"/>
  <c r="AA76" i="21"/>
  <c r="AA74" i="21"/>
  <c r="AA73" i="21" l="1"/>
  <c r="AA65" i="21"/>
  <c r="AA42" i="21"/>
  <c r="I11" i="10" l="1"/>
  <c r="D28" i="14"/>
  <c r="AA23" i="21"/>
  <c r="I17" i="10" s="1"/>
  <c r="AA16" i="21"/>
  <c r="U302" i="12" l="1"/>
  <c r="AA203" i="21"/>
  <c r="U303" i="12" s="1"/>
  <c r="AA186" i="21"/>
  <c r="U268" i="12" s="1"/>
  <c r="U301" i="12" l="1"/>
  <c r="AA184" i="21"/>
  <c r="AA183" i="21" s="1"/>
  <c r="AA168" i="21" s="1"/>
  <c r="U267" i="12"/>
  <c r="U266" i="12" s="1"/>
  <c r="U265" i="12" s="1"/>
  <c r="U298" i="12"/>
  <c r="AA197" i="21"/>
  <c r="AA188" i="21" s="1"/>
  <c r="D46" i="14" s="1"/>
  <c r="U57" i="12"/>
  <c r="U54" i="12" s="1"/>
  <c r="AA461" i="21"/>
  <c r="U58" i="12"/>
  <c r="AA465" i="21"/>
  <c r="AA201" i="21"/>
  <c r="AA200" i="21" s="1"/>
  <c r="AA199" i="21" s="1"/>
  <c r="D49" i="14" s="1"/>
  <c r="AA100" i="21"/>
  <c r="U68" i="12"/>
  <c r="AA56" i="21"/>
  <c r="AA18" i="21"/>
  <c r="AA37" i="21"/>
  <c r="AA495" i="21" s="1"/>
  <c r="AB495" i="21" s="1"/>
  <c r="U297" i="12" l="1"/>
  <c r="U280" i="12"/>
  <c r="AA97" i="21"/>
  <c r="I50" i="10"/>
  <c r="I35" i="10"/>
  <c r="AA460" i="21"/>
  <c r="AA36" i="21"/>
  <c r="AA35" i="21" s="1"/>
  <c r="D16" i="14" s="1"/>
  <c r="U45" i="12"/>
  <c r="U44" i="12" s="1"/>
  <c r="U37" i="12" s="1"/>
  <c r="AA63" i="21"/>
  <c r="AA62" i="21" s="1"/>
  <c r="U81" i="12"/>
  <c r="U80" i="12" s="1"/>
  <c r="U77" i="12" s="1"/>
  <c r="AA187" i="21"/>
  <c r="AA70" i="21"/>
  <c r="I20" i="10" s="1"/>
  <c r="U88" i="12"/>
  <c r="AA54" i="21"/>
  <c r="U69" i="12"/>
  <c r="U67" i="12" s="1"/>
  <c r="AA15" i="21"/>
  <c r="AA29" i="21"/>
  <c r="AA41" i="21" l="1"/>
  <c r="D19" i="14" s="1"/>
  <c r="AA459" i="21"/>
  <c r="AA458" i="21" s="1"/>
  <c r="AA69" i="21"/>
  <c r="D25" i="14" s="1"/>
  <c r="I41" i="10"/>
  <c r="D30" i="14"/>
  <c r="AA72" i="21"/>
  <c r="AA25" i="21"/>
  <c r="I34" i="10" s="1"/>
  <c r="AA13" i="21"/>
  <c r="AA61" i="21" l="1"/>
  <c r="AA12" i="21"/>
  <c r="D12" i="14" s="1"/>
  <c r="D22" i="14"/>
  <c r="AA22" i="21"/>
  <c r="D14" i="14" s="1"/>
  <c r="D13" i="14"/>
  <c r="AA389" i="21"/>
  <c r="AA445" i="21"/>
  <c r="AA434" i="21"/>
  <c r="AA420" i="21"/>
  <c r="AA414" i="21"/>
  <c r="AA410" i="21"/>
  <c r="AA408" i="21"/>
  <c r="AA406" i="21"/>
  <c r="AA397" i="21"/>
  <c r="AA395" i="21"/>
  <c r="AA391" i="21"/>
  <c r="AA387" i="21"/>
  <c r="AA385" i="21"/>
  <c r="AA383" i="21"/>
  <c r="AA374" i="21"/>
  <c r="AA370" i="21"/>
  <c r="I22" i="10" l="1"/>
  <c r="D51" i="14"/>
  <c r="AA416" i="21"/>
  <c r="D43" i="14" s="1"/>
  <c r="AA11" i="21"/>
  <c r="AA10" i="21" s="1"/>
  <c r="D44" i="14"/>
  <c r="I40" i="10"/>
  <c r="I47" i="10"/>
  <c r="I51" i="10" s="1"/>
  <c r="AA441" i="21"/>
  <c r="Z390" i="21"/>
  <c r="Z386" i="21"/>
  <c r="AA393" i="21" l="1"/>
  <c r="AA382" i="21" s="1"/>
  <c r="U224" i="12"/>
  <c r="AA372" i="21"/>
  <c r="AA367" i="21" s="1"/>
  <c r="AA436" i="21"/>
  <c r="D53" i="14"/>
  <c r="AA366" i="21" l="1"/>
  <c r="AA496" i="21"/>
  <c r="AB496" i="21" s="1"/>
  <c r="AA497" i="21"/>
  <c r="I43" i="10"/>
  <c r="D42" i="14"/>
  <c r="Z225" i="21"/>
  <c r="Z266" i="21"/>
  <c r="AA499" i="21" l="1"/>
  <c r="AB499" i="21" s="1"/>
  <c r="D41" i="14"/>
  <c r="AB497" i="21"/>
  <c r="AA365" i="21"/>
  <c r="AA488" i="21" s="1"/>
  <c r="Z155" i="21"/>
  <c r="Z144" i="21"/>
  <c r="U170" i="12" s="1"/>
  <c r="U159" i="12" s="1"/>
  <c r="AB500" i="21" l="1"/>
  <c r="C31" i="11" l="1"/>
  <c r="C35" i="11"/>
  <c r="C34" i="11"/>
  <c r="C30" i="11"/>
  <c r="C24" i="11"/>
  <c r="C25" i="11" s="1"/>
  <c r="Z75" i="21"/>
  <c r="U91" i="12" s="1"/>
  <c r="Z79" i="21"/>
  <c r="Z78" i="21" s="1"/>
  <c r="Z74" i="21" l="1"/>
  <c r="U95" i="12"/>
  <c r="Z427" i="21" l="1"/>
  <c r="Z462" i="21"/>
  <c r="Z26" i="21"/>
  <c r="Z19" i="21"/>
  <c r="Z373" i="21" l="1"/>
  <c r="Z49" i="21"/>
  <c r="U61" i="12" s="1"/>
  <c r="I15" i="10"/>
  <c r="Z196" i="21"/>
  <c r="U293" i="12" s="1"/>
  <c r="Z120" i="21"/>
  <c r="U74" i="12"/>
  <c r="Z198" i="21"/>
  <c r="U49" i="12" l="1"/>
  <c r="Z195" i="21"/>
  <c r="Z197" i="21"/>
  <c r="Z109" i="21"/>
  <c r="Z108" i="21" s="1"/>
  <c r="Z163" i="21"/>
  <c r="U177" i="12" l="1"/>
  <c r="Z131" i="21"/>
  <c r="Z130" i="21" s="1"/>
  <c r="Z81" i="21"/>
  <c r="Z80" i="21" s="1"/>
  <c r="Z265" i="21" l="1"/>
  <c r="Z264" i="21" s="1"/>
  <c r="Z384" i="21"/>
  <c r="Z383" i="21" l="1"/>
  <c r="U210" i="12"/>
  <c r="E21" i="11"/>
  <c r="I25" i="10" l="1"/>
  <c r="U136" i="12" l="1"/>
  <c r="Z119" i="21" l="1"/>
  <c r="Z259" i="21" l="1"/>
  <c r="Z247" i="21"/>
  <c r="Z246" i="21" s="1"/>
  <c r="Z245" i="21"/>
  <c r="Z244" i="21" s="1"/>
  <c r="Z457" i="21"/>
  <c r="Z456" i="21"/>
  <c r="Z421" i="21"/>
  <c r="Z371" i="21"/>
  <c r="U201" i="12"/>
  <c r="Z420" i="21" l="1"/>
  <c r="Z416" i="21" s="1"/>
  <c r="U258" i="12"/>
  <c r="U358" i="12"/>
  <c r="U356" i="12"/>
  <c r="Z426" i="21"/>
  <c r="Z425" i="21" s="1"/>
  <c r="U18" i="12"/>
  <c r="Z118" i="21"/>
  <c r="Z148" i="21" l="1"/>
  <c r="Z147" i="21" l="1"/>
  <c r="U134" i="12"/>
  <c r="U101" i="12"/>
  <c r="U99" i="12"/>
  <c r="U87" i="12"/>
  <c r="U86" i="12" s="1"/>
  <c r="U76" i="12" s="1"/>
  <c r="Z70" i="21" l="1"/>
  <c r="Z69" i="21" s="1"/>
  <c r="Z85" i="21" l="1"/>
  <c r="Z90" i="21"/>
  <c r="Z88" i="21"/>
  <c r="Z466" i="21" l="1"/>
  <c r="Z465" i="21" s="1"/>
  <c r="Z202" i="21"/>
  <c r="U300" i="12" s="1"/>
  <c r="U299" i="12" s="1"/>
  <c r="Z55" i="21"/>
  <c r="Z401" i="21"/>
  <c r="U229" i="12" s="1"/>
  <c r="Z399" i="21" l="1"/>
  <c r="U145" i="12" l="1"/>
  <c r="U142" i="12" s="1"/>
  <c r="U216" i="12"/>
  <c r="U199" i="12"/>
  <c r="U125" i="12"/>
  <c r="Z100" i="21" l="1"/>
  <c r="Z97" i="21" s="1"/>
  <c r="U117" i="12" l="1"/>
  <c r="U114" i="12" s="1"/>
  <c r="F41" i="14"/>
  <c r="Z394" i="21" l="1"/>
  <c r="Z389" i="21"/>
  <c r="Z117" i="21"/>
  <c r="Z114" i="21" s="1"/>
  <c r="Z153" i="21" l="1"/>
  <c r="Z143" i="21" l="1"/>
  <c r="Z142" i="21" s="1"/>
  <c r="Z84" i="21" l="1"/>
  <c r="Z83" i="21"/>
  <c r="Z82" i="21" s="1"/>
  <c r="Z223" i="21" l="1"/>
  <c r="E41" i="14" l="1"/>
  <c r="D63" i="14" l="1"/>
  <c r="D61" i="14" s="1"/>
  <c r="Z452" i="21"/>
  <c r="Z450" i="21" s="1"/>
  <c r="Z393" i="21"/>
  <c r="Z382" i="21" s="1"/>
  <c r="Z370" i="21"/>
  <c r="Z48" i="21"/>
  <c r="Z331" i="21" l="1"/>
  <c r="D11" i="16" l="1"/>
  <c r="B11" i="16" l="1"/>
  <c r="Z372" i="21" l="1"/>
  <c r="Z374" i="21"/>
  <c r="U333" i="12" l="1"/>
  <c r="U103" i="12"/>
  <c r="U90" i="12" s="1"/>
  <c r="U362" i="12"/>
  <c r="U355" i="12" s="1"/>
  <c r="U353" i="12"/>
  <c r="U350" i="12" s="1"/>
  <c r="U335" i="12"/>
  <c r="U322" i="12"/>
  <c r="U311" i="12" s="1"/>
  <c r="U291" i="12"/>
  <c r="U279" i="12" s="1"/>
  <c r="U247" i="12"/>
  <c r="U246" i="12" s="1"/>
  <c r="U222" i="12"/>
  <c r="U209" i="12" s="1"/>
  <c r="U203" i="12"/>
  <c r="U194" i="12" s="1"/>
  <c r="U191" i="12"/>
  <c r="U189" i="12"/>
  <c r="U187" i="12"/>
  <c r="U183" i="12"/>
  <c r="U112" i="12"/>
  <c r="U110" i="12"/>
  <c r="U172" i="12" l="1"/>
  <c r="U149" i="12" s="1"/>
  <c r="U329" i="12"/>
  <c r="U349" i="12"/>
  <c r="U193" i="12"/>
  <c r="U109" i="12"/>
  <c r="U304" i="12" l="1"/>
  <c r="F22" i="14"/>
  <c r="E22" i="14"/>
  <c r="C11" i="16"/>
  <c r="F20" i="14" l="1"/>
  <c r="E20" i="14"/>
  <c r="D14" i="16"/>
  <c r="C14" i="16"/>
  <c r="B14" i="16"/>
  <c r="Z263" i="21" l="1"/>
  <c r="Z262" i="21" s="1"/>
  <c r="Z260" i="21" l="1"/>
  <c r="Z17" i="21" l="1"/>
  <c r="Z13" i="21"/>
  <c r="Z87" i="21"/>
  <c r="Z86" i="21" s="1"/>
  <c r="Z73" i="21" s="1"/>
  <c r="Z444" i="21"/>
  <c r="Z442" i="21" s="1"/>
  <c r="Z455" i="21"/>
  <c r="Z446" i="21"/>
  <c r="Z445" i="21" s="1"/>
  <c r="Z449" i="21"/>
  <c r="Z447" i="21" s="1"/>
  <c r="Z186" i="21"/>
  <c r="Z377" i="21"/>
  <c r="Z376" i="21" s="1"/>
  <c r="Z367" i="21" s="1"/>
  <c r="Z441" i="21" l="1"/>
  <c r="Z436" i="21" s="1"/>
  <c r="Z154" i="21"/>
  <c r="Z152" i="21"/>
  <c r="Z171" i="21"/>
  <c r="Z170" i="21" s="1"/>
  <c r="Z222" i="21"/>
  <c r="Z221" i="21" s="1"/>
  <c r="Z210" i="21" s="1"/>
  <c r="Z174" i="21"/>
  <c r="Z173" i="21" s="1"/>
  <c r="Z194" i="21"/>
  <c r="Z193" i="21" s="1"/>
  <c r="Z24" i="21"/>
  <c r="Z242" i="21"/>
  <c r="Z241" i="21" s="1"/>
  <c r="Z251" i="21"/>
  <c r="Z250" i="21" s="1"/>
  <c r="Z243" i="21" s="1"/>
  <c r="Z167" i="21"/>
  <c r="Z166" i="21" s="1"/>
  <c r="Z165" i="21"/>
  <c r="Z164" i="21" s="1"/>
  <c r="Z162" i="21"/>
  <c r="Z159" i="21"/>
  <c r="Z158" i="21" s="1"/>
  <c r="Z94" i="21"/>
  <c r="Z93" i="21" s="1"/>
  <c r="Z96" i="21"/>
  <c r="Z95" i="21" s="1"/>
  <c r="Z127" i="21"/>
  <c r="Z126" i="21" s="1"/>
  <c r="Z123" i="21"/>
  <c r="Z122" i="21" s="1"/>
  <c r="Z228" i="21"/>
  <c r="Z234" i="21"/>
  <c r="Z233" i="21" s="1"/>
  <c r="Z229" i="21"/>
  <c r="Z20" i="21"/>
  <c r="Z151" i="21" l="1"/>
  <c r="U89" i="12"/>
  <c r="Z121" i="21"/>
  <c r="I21" i="10"/>
  <c r="Z23" i="21"/>
  <c r="I18" i="10"/>
  <c r="Z18" i="21"/>
  <c r="U15" i="12" s="1"/>
  <c r="Z366" i="21"/>
  <c r="Z169" i="21"/>
  <c r="Z204" i="21"/>
  <c r="Z477" i="21"/>
  <c r="Z461" i="21"/>
  <c r="Z238" i="21"/>
  <c r="Z201" i="21"/>
  <c r="Z200" i="21" s="1"/>
  <c r="Z199" i="21" s="1"/>
  <c r="Z188" i="21"/>
  <c r="Z187" i="21" s="1"/>
  <c r="Z184" i="21"/>
  <c r="Z183" i="21" s="1"/>
  <c r="Z172" i="21"/>
  <c r="Z92" i="21"/>
  <c r="Z54" i="21"/>
  <c r="Z41" i="21" s="1"/>
  <c r="Z29" i="21"/>
  <c r="Z25" i="21"/>
  <c r="Z168" i="21" l="1"/>
  <c r="Z72" i="21"/>
  <c r="U11" i="12"/>
  <c r="U382" i="12" s="1"/>
  <c r="Z460" i="21"/>
  <c r="Z459" i="21" s="1"/>
  <c r="Z458" i="21" s="1"/>
  <c r="D20" i="14"/>
  <c r="Z61" i="21"/>
  <c r="Z132" i="21"/>
  <c r="Z22" i="21"/>
  <c r="Z237" i="21"/>
  <c r="Z365" i="21" l="1"/>
  <c r="Z16" i="21"/>
  <c r="Z15" i="21" s="1"/>
  <c r="Z11" i="21" l="1"/>
  <c r="Z10" i="21" s="1"/>
  <c r="Z258" i="21" l="1"/>
  <c r="Z257" i="21" l="1"/>
  <c r="Z256" i="21" s="1"/>
  <c r="Z252" i="21" l="1"/>
  <c r="Z488" i="21" s="1"/>
  <c r="I46" i="10" l="1"/>
  <c r="F16" i="14"/>
  <c r="E16" i="14"/>
  <c r="F51" i="14"/>
  <c r="E51" i="14"/>
  <c r="F19" i="14"/>
  <c r="E19" i="14"/>
  <c r="F62" i="14"/>
  <c r="E62" i="14"/>
  <c r="F60" i="14"/>
  <c r="E60" i="14"/>
  <c r="F58" i="14"/>
  <c r="E58" i="14"/>
  <c r="F55" i="14"/>
  <c r="E55" i="14"/>
  <c r="F53" i="14"/>
  <c r="E53" i="14"/>
  <c r="F52" i="14"/>
  <c r="E52" i="14"/>
  <c r="F46" i="14"/>
  <c r="E46" i="14"/>
  <c r="F44" i="14"/>
  <c r="E44" i="14"/>
  <c r="F43" i="14"/>
  <c r="E43" i="14"/>
  <c r="F42" i="14"/>
  <c r="E42" i="14"/>
  <c r="I42" i="10"/>
  <c r="F54" i="14" l="1"/>
  <c r="E54" i="14"/>
  <c r="D54" i="14"/>
  <c r="E30" i="11" l="1"/>
  <c r="D18" i="16"/>
  <c r="C18" i="16"/>
  <c r="B18" i="16"/>
  <c r="D21" i="16"/>
  <c r="C21" i="16"/>
  <c r="B21" i="16"/>
  <c r="D20" i="16" l="1"/>
  <c r="D19" i="16" s="1"/>
  <c r="C20" i="16"/>
  <c r="C19" i="16" s="1"/>
  <c r="B20" i="16"/>
  <c r="B19" i="16" s="1"/>
  <c r="D17" i="16"/>
  <c r="D16" i="16" s="1"/>
  <c r="C17" i="16"/>
  <c r="C16" i="16" s="1"/>
  <c r="B17" i="16"/>
  <c r="B16" i="16" s="1"/>
  <c r="D15" i="16"/>
  <c r="C15" i="16"/>
  <c r="B15" i="16"/>
  <c r="D13" i="16"/>
  <c r="C13" i="16"/>
  <c r="B13" i="16"/>
  <c r="D64" i="14"/>
  <c r="F61" i="14"/>
  <c r="E61" i="14"/>
  <c r="F59" i="14"/>
  <c r="D59" i="14"/>
  <c r="E59" i="14"/>
  <c r="F50" i="14"/>
  <c r="D50" i="14"/>
  <c r="E50" i="14"/>
  <c r="F49" i="14"/>
  <c r="F47" i="14" s="1"/>
  <c r="E49" i="14"/>
  <c r="E47" i="14" s="1"/>
  <c r="D47" i="14"/>
  <c r="E45" i="14"/>
  <c r="F45" i="14"/>
  <c r="D45" i="14"/>
  <c r="F40" i="14"/>
  <c r="E40" i="14"/>
  <c r="D40" i="14"/>
  <c r="F38" i="14"/>
  <c r="E38" i="14"/>
  <c r="D38" i="14"/>
  <c r="F33" i="14"/>
  <c r="E33" i="14"/>
  <c r="D33" i="14"/>
  <c r="F26" i="14"/>
  <c r="E26" i="14"/>
  <c r="D26" i="14"/>
  <c r="F17" i="14"/>
  <c r="F11" i="14" s="1"/>
  <c r="E17" i="14"/>
  <c r="E11" i="14" s="1"/>
  <c r="D11" i="14"/>
  <c r="E24" i="11"/>
  <c r="E23" i="11"/>
  <c r="E27" i="11"/>
  <c r="E11" i="11"/>
  <c r="H53" i="10"/>
  <c r="G53" i="10"/>
  <c r="F53" i="10"/>
  <c r="I53" i="10"/>
  <c r="H51" i="10"/>
  <c r="G51" i="10"/>
  <c r="F51" i="10"/>
  <c r="H46" i="10"/>
  <c r="G46" i="10"/>
  <c r="F46" i="10"/>
  <c r="H42" i="10"/>
  <c r="G42" i="10"/>
  <c r="F42" i="10"/>
  <c r="H38" i="10"/>
  <c r="G38" i="10"/>
  <c r="F38" i="10"/>
  <c r="H33" i="10"/>
  <c r="G33" i="10"/>
  <c r="F33" i="10"/>
  <c r="I33" i="10"/>
  <c r="H31" i="10"/>
  <c r="G31" i="10"/>
  <c r="F31" i="10"/>
  <c r="I31" i="10"/>
  <c r="H29" i="10"/>
  <c r="G29" i="10"/>
  <c r="F29" i="10"/>
  <c r="I29" i="10"/>
  <c r="H27" i="10"/>
  <c r="G27" i="10"/>
  <c r="F27" i="10"/>
  <c r="I27" i="10"/>
  <c r="H25" i="10"/>
  <c r="G25" i="10"/>
  <c r="F25" i="10"/>
  <c r="H21" i="10"/>
  <c r="G21" i="10"/>
  <c r="F21" i="10"/>
  <c r="H18" i="10"/>
  <c r="G18" i="10"/>
  <c r="F18" i="10"/>
  <c r="H14" i="10"/>
  <c r="G14" i="10"/>
  <c r="F14" i="10"/>
  <c r="I14" i="10"/>
  <c r="H12" i="10"/>
  <c r="G12" i="10"/>
  <c r="F12" i="10"/>
  <c r="I12" i="10"/>
  <c r="D65" i="14" l="1"/>
  <c r="F65" i="14"/>
  <c r="G54" i="10"/>
  <c r="F54" i="10"/>
  <c r="H54" i="10"/>
  <c r="I38" i="10"/>
  <c r="I54" i="10" s="1"/>
  <c r="E65" i="14"/>
  <c r="C27" i="11"/>
  <c r="AA492" i="21" l="1"/>
  <c r="C28" i="11"/>
</calcChain>
</file>

<file path=xl/sharedStrings.xml><?xml version="1.0" encoding="utf-8"?>
<sst xmlns="http://schemas.openxmlformats.org/spreadsheetml/2006/main" count="6270" uniqueCount="1258">
  <si>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</si>
  <si>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</si>
  <si>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</si>
  <si>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</si>
  <si>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</si>
  <si>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</si>
  <si>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</si>
  <si>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Прочие поступления от денежных взысканий (штрафов) и иных сумм в возмещение ущерба, зачисляемые в бюджеты муниципальных районов</t>
  </si>
  <si>
    <t>Прочие денежные взыскания (штрафы) за правонарушения в области дорожного движения</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</si>
  <si>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</si>
  <si>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019</t>
  </si>
  <si>
    <t>001</t>
  </si>
  <si>
    <t>002</t>
  </si>
  <si>
    <t>Прочие неналоговые доходы бюджетов муниципальных районов</t>
  </si>
  <si>
    <t>003</t>
  </si>
  <si>
    <t>Отдел образования администрации Сковородинского района</t>
  </si>
  <si>
    <t>014</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</si>
  <si>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</si>
  <si>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</si>
  <si>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</si>
  <si>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</si>
  <si>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</si>
  <si>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</si>
  <si>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</si>
  <si>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</si>
  <si>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</si>
  <si>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</si>
  <si>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</si>
  <si>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</si>
  <si>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</si>
  <si>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</si>
  <si>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</si>
  <si>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</si>
  <si>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</si>
  <si>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</si>
  <si>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</si>
  <si>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</si>
  <si>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</si>
  <si>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</si>
  <si>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</si>
  <si>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</si>
  <si>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</si>
  <si>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</si>
  <si>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</si>
  <si>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</si>
  <si>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</si>
  <si>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</si>
  <si>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</si>
  <si>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</si>
  <si>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</si>
  <si>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</si>
  <si>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</si>
  <si>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</si>
  <si>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</si>
  <si>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</si>
  <si>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</si>
  <si>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</si>
  <si>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</si>
  <si>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</si>
  <si>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</si>
  <si>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</si>
  <si>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</si>
  <si>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</si>
  <si>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</si>
  <si>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</si>
  <si>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</si>
  <si>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</si>
  <si>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</si>
  <si>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</si>
  <si>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</si>
  <si>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</si>
  <si>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</si>
  <si>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</si>
  <si>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</si>
  <si>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</si>
  <si>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</si>
  <si>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</si>
  <si>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</si>
  <si>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</si>
  <si>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</si>
  <si>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</si>
  <si>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</si>
  <si>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</si>
  <si>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</si>
  <si>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</si>
  <si>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</si>
  <si>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</si>
  <si>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</si>
  <si>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</si>
  <si>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</si>
  <si>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</si>
  <si>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</si>
  <si>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</si>
  <si>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</si>
  <si>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</si>
  <si>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</si>
  <si>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</si>
  <si>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</si>
  <si>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</si>
  <si>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</si>
  <si>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</si>
  <si>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</si>
  <si>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</si>
  <si>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</si>
  <si>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</si>
  <si>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</si>
  <si>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</si>
  <si>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</si>
  <si>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</si>
  <si>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</si>
  <si>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</si>
  <si>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</si>
  <si>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</si>
  <si>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</si>
  <si>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</si>
  <si>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</si>
  <si>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</si>
  <si>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</si>
  <si>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</si>
  <si>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</si>
  <si>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</si>
  <si>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</si>
  <si>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</si>
  <si>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</si>
  <si>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</si>
  <si>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</si>
  <si>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</si>
  <si>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</si>
  <si>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</si>
  <si>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</si>
  <si>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</si>
  <si>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</si>
  <si>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</si>
  <si>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</si>
  <si>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</si>
  <si>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</si>
  <si>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</si>
  <si>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</si>
  <si>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</si>
  <si>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</si>
  <si>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</si>
  <si>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</si>
  <si>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</si>
  <si>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</si>
  <si>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</si>
  <si>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</si>
  <si>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</si>
  <si>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</si>
  <si>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</si>
  <si>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</si>
  <si>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</si>
  <si>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</si>
  <si>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</si>
  <si>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</si>
  <si>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</si>
  <si>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</si>
  <si>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</si>
  <si>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</si>
  <si>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</si>
  <si>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</si>
  <si>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</si>
  <si>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</si>
  <si>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</si>
  <si>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</si>
  <si>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</si>
  <si>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</si>
  <si>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</si>
  <si>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</si>
  <si>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</si>
  <si>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</si>
  <si>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</si>
  <si>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</si>
  <si>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</si>
  <si>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</si>
  <si>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</si>
  <si>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</si>
  <si>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</si>
  <si>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</si>
  <si>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</si>
  <si>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</si>
  <si>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</si>
  <si>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</si>
  <si>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</si>
  <si>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</si>
  <si>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</si>
  <si>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</si>
  <si>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</si>
  <si>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</si>
  <si>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</si>
  <si>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</si>
  <si>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</si>
  <si>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</si>
  <si>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</si>
  <si>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</si>
  <si>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</si>
  <si>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</si>
  <si>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</si>
  <si>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</si>
  <si>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</si>
  <si>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</si>
  <si>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</si>
  <si>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</si>
  <si>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</si>
  <si>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</si>
  <si>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</si>
  <si>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</si>
  <si>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</si>
  <si>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</si>
  <si>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</si>
  <si>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</si>
  <si>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</si>
  <si>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</si>
  <si>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</si>
  <si>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</si>
  <si>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увеличение</t>
  </si>
  <si>
    <t>уменьшение</t>
  </si>
  <si>
    <t>ПО долга</t>
  </si>
  <si>
    <t>верх.предел</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</si>
  <si>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</si>
  <si>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</si>
  <si>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</si>
  <si>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</si>
  <si>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</si>
  <si>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</si>
  <si>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</si>
  <si>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</si>
  <si>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</si>
  <si>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</si>
  <si>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</si>
  <si>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</si>
  <si>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</si>
  <si>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</si>
  <si>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</si>
  <si>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</si>
  <si>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</si>
  <si>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</si>
  <si>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</si>
  <si>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</si>
  <si>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</si>
  <si>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</si>
  <si>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</si>
  <si>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</si>
  <si>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</si>
  <si>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</si>
  <si>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</si>
  <si>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</si>
  <si>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</si>
  <si>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</si>
  <si>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Межбюджетные трансферты общего характера бюджетам субъектов Российской Федерации и муниципальных образований</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</si>
  <si>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</si>
  <si>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</si>
  <si>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</si>
  <si>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</si>
  <si>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Развитие образования Сковородинского района на 2015-2020 годы</t>
  </si>
  <si>
    <t>Реабилитация и обеспечение жизнедеятельности инвалидов в Сковородинском районе на 2015-2020 годы</t>
  </si>
  <si>
    <t>Благоустройство Сковородинского района на 2015-2020 годы</t>
  </si>
  <si>
    <t>Развитие физической культуры и спорта  на территории Сковородинского района  на 2015-2020 годы</t>
  </si>
  <si>
    <t>Развитие сельского хозяйства  в Сковородинском  районе на 2015-2020 годы</t>
  </si>
  <si>
    <t>Модернизация жилищно-коммунального комлекса, энергосбережение и повышение энергитической эффективности в Сковородинском районе в 2015-2020 годы</t>
  </si>
  <si>
    <t>Охрана окружающей среды в Сковородинском районе в 2015-2020 годы</t>
  </si>
  <si>
    <t xml:space="preserve">Развитие и сохранение сферы культуры и искусства Сковородинского района на 2015-2020 годы </t>
  </si>
  <si>
    <t>Продиводействие злоупотреблению наркотическими средствами и их незаконному обороту в Сковородинском районе на 2015-2020 годы</t>
  </si>
  <si>
    <t>Экономическое развитие Сковородинского района в 2015-2020 годы</t>
  </si>
  <si>
    <t>Обеспечение доступным и качественным жильем населения Сковородинского района на 2015-2020 годы</t>
  </si>
  <si>
    <t>Повышение эффективности деятельности органов местного самоуправления Сковородинского района в 2015-2020 годы</t>
  </si>
  <si>
    <t>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</si>
  <si>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Развитие транспортной системы Сковородинского района на 2015-2020 годы</t>
  </si>
  <si>
    <t xml:space="preserve"> (руб.)</t>
  </si>
  <si>
    <t>Мин</t>
  </si>
  <si>
    <t>Рз</t>
  </si>
  <si>
    <t>ПР</t>
  </si>
  <si>
    <t>Код расхода</t>
  </si>
  <si>
    <t>Доп.ФК</t>
  </si>
  <si>
    <t>Доп.ЭК</t>
  </si>
  <si>
    <t>2016 г.</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</si>
  <si>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</si>
  <si>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</si>
  <si>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</si>
  <si>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</si>
  <si>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</si>
  <si>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</si>
  <si>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</si>
  <si>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</si>
  <si>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</si>
  <si>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</si>
  <si>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</si>
  <si>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</si>
  <si>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</si>
  <si>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</si>
  <si>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</si>
  <si>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</si>
  <si>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</si>
  <si>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</si>
  <si>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</si>
  <si>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</si>
  <si>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</si>
  <si>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</si>
  <si>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</si>
  <si>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</si>
  <si>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</si>
  <si>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</si>
  <si>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</si>
  <si>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</si>
  <si>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</si>
  <si>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</si>
  <si>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</si>
  <si>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</si>
  <si>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</si>
  <si>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</si>
  <si>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</si>
  <si>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</si>
  <si>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</si>
  <si>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</si>
  <si>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</si>
  <si>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</si>
  <si>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</si>
  <si>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</si>
  <si>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</si>
  <si>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</si>
  <si>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</si>
  <si>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</si>
  <si>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</si>
  <si>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</si>
  <si>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</si>
  <si>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</si>
  <si>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</si>
  <si>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</si>
  <si>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</si>
  <si>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</si>
  <si>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</si>
  <si>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</si>
  <si>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</si>
  <si>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</si>
  <si>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</si>
  <si>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</si>
  <si>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</si>
  <si>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</si>
  <si>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</si>
  <si>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</si>
  <si>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</si>
  <si>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</si>
  <si>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Осуществление муниципальными образованиями района дорожной деятельности в отношении автомобильных дорог местного значения и сооружений на них</t>
  </si>
  <si>
    <t>Осуществление муниципальными образованиями района дорожной деятельности в отношении автомобильных дорог местного значения и сооружений на них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</si>
  <si>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</si>
  <si>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08 1 0801</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</si>
  <si>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</si>
  <si>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</si>
  <si>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08 1 0802</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</si>
  <si>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</si>
  <si>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</si>
  <si>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</si>
  <si>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</si>
  <si>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</si>
  <si>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</si>
  <si>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</si>
  <si>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</si>
  <si>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</si>
  <si>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</si>
  <si>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</si>
  <si>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</si>
  <si>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</si>
  <si>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</si>
  <si>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</si>
  <si>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</si>
  <si>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</si>
  <si>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</si>
  <si>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</si>
  <si>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</si>
  <si>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</si>
  <si>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</si>
  <si>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</si>
  <si>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</si>
  <si>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</si>
  <si>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</si>
  <si>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</si>
  <si>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</si>
  <si>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</si>
  <si>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</si>
  <si>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</si>
  <si>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</si>
  <si>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</si>
  <si>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</si>
  <si>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</si>
  <si>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</si>
  <si>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</si>
  <si>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</si>
  <si>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</si>
  <si>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</si>
  <si>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</si>
  <si>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</si>
  <si>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</si>
  <si>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</si>
  <si>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</si>
  <si>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</si>
  <si>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</si>
  <si>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</si>
  <si>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</si>
  <si>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</si>
  <si>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</si>
  <si>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</si>
  <si>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</si>
  <si>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</si>
  <si>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</si>
  <si>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</si>
  <si>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07 7 5082</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</si>
  <si>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</si>
  <si>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07 7 8732</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</si>
  <si>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</si>
  <si>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</si>
  <si>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</si>
  <si>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</si>
  <si>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</si>
  <si>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</si>
  <si>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</si>
  <si>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</si>
  <si>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</si>
  <si>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</si>
  <si>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</si>
  <si>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</si>
  <si>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</si>
  <si>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</si>
  <si>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</si>
  <si>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</si>
  <si>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</si>
  <si>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</si>
  <si>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</si>
  <si>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</si>
  <si>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</si>
  <si>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</si>
  <si>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700</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</si>
  <si>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</si>
  <si>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</si>
  <si>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</si>
  <si>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</si>
  <si>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</si>
  <si>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</si>
  <si>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</si>
  <si>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</si>
  <si>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</si>
  <si>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</si>
  <si>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</si>
  <si>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</si>
  <si>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</si>
  <si>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</si>
  <si>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Установка и ремонт ограждения территорий муниципальных образовательных организаций</t>
  </si>
  <si>
    <t>Установка и ремонт ограждения территорий муниципальных образовательных организаций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</si>
  <si>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</si>
  <si>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</si>
  <si>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</si>
  <si>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</si>
  <si>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</si>
  <si>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</si>
  <si>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</si>
  <si>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</si>
  <si>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</si>
  <si>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</si>
  <si>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</si>
  <si>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</si>
  <si>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</si>
  <si>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</si>
  <si>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</si>
  <si>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</si>
  <si>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</si>
  <si>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</si>
  <si>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</si>
  <si>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</si>
  <si>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Развитие инфраструктуры отдыха, оздоровления и занятости детей и подростков в каникулярное время</t>
  </si>
  <si>
    <t>Развитие инфраструктуры отдыха, оздоровления и занятости детей и подростков в каникулярное время (Предоставление субсидий бюджетным, автономным учреждениям и иным некоммерческим организациям)</t>
  </si>
  <si>
    <t>Организация и осуществление деятельности по опеке и попечительству в отношении несовершеннолетних</t>
  </si>
  <si>
    <t>Организация и осуществление деятельности по опеке и попечительству в отношении несовершеннолетних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</si>
  <si>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несовершеннолетних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</si>
  <si>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</si>
  <si>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</si>
  <si>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</si>
  <si>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образования (Иные бюджетные ассигнования)</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</si>
  <si>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</si>
  <si>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</si>
  <si>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</si>
  <si>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</si>
  <si>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</si>
  <si>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</si>
  <si>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</si>
  <si>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99 3 0163</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</si>
  <si>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</si>
  <si>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</si>
  <si>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</si>
  <si>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</si>
  <si>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</si>
  <si>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</si>
  <si>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</si>
  <si>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12 2 8725</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</si>
  <si>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</si>
  <si>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</si>
  <si>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</si>
  <si>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</si>
  <si>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</si>
  <si>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</si>
  <si>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</si>
  <si>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</si>
  <si>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</si>
  <si>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</si>
  <si>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</si>
  <si>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</si>
  <si>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</si>
  <si>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</si>
  <si>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</si>
  <si>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</si>
  <si>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</si>
  <si>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</si>
  <si>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</si>
  <si>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</si>
  <si>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</si>
  <si>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</si>
  <si>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</si>
  <si>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</si>
  <si>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</si>
  <si>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Условно утвержленные расходы</t>
  </si>
  <si>
    <t>9999999</t>
  </si>
  <si>
    <t>000</t>
  </si>
  <si>
    <t xml:space="preserve">Дорожное хозяйство </t>
  </si>
  <si>
    <t>Комитет по управлению муниципальныи имуществом</t>
  </si>
  <si>
    <t>Комитет по управлению муниципальным имуществом</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</si>
  <si>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</si>
  <si>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</si>
  <si>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</si>
  <si>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дефицит</t>
  </si>
  <si>
    <t>обл.</t>
  </si>
  <si>
    <t>непрогрм.</t>
  </si>
  <si>
    <t>=('п5 ведомстаенная'!Z342!</t>
  </si>
  <si>
    <t>Предоставление субсидий бюджетным, автономным учреждениям и иным некоммерческим организациям</t>
  </si>
  <si>
    <t>Капитальные вложения в объекты недвижимого имущества государственной (муниципальной) собственности</t>
  </si>
  <si>
    <t>Реконструкция стадиона в квартале 9/23 г.Сковородино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</si>
  <si>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Дорожное хозяйство(дорожные фонды)</t>
  </si>
  <si>
    <t>Земельный налог с физических лиц, обладающих земельным участком, расположенным в границах межселенных территорий</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</si>
  <si>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</si>
  <si>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</si>
  <si>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 xml:space="preserve">Организация и прведение мероприятий по реализации муниципальной подпрограммы "Развитие лесного хозяйства" муниципальной программы "Охрана оокружающей среды в Сковородинском районе в 2015-2020 годы" </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</si>
  <si>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</si>
  <si>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Прочие межбюджетные трансферты общего характера</t>
  </si>
  <si>
    <t xml:space="preserve">Плата за выбросы загрязняющих веществ в атмосферный воздух стационарными объектами </t>
  </si>
  <si>
    <t xml:space="preserve">Плата за выбросы загрязняющих веществ в атмосферный воздух передвижными объектами </t>
  </si>
  <si>
    <t>Плата за сбросы загрязняющих веществ в водные объекты</t>
  </si>
  <si>
    <t xml:space="preserve">Плата за размещение отходов производства и потребления </t>
  </si>
  <si>
    <t>Мероприятия, направленные на обеспечение выполнения функций органов местного самоуправления в части реализации муниципальных программ</t>
  </si>
  <si>
    <t>Иные бюджетные ассигнования</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</si>
  <si>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</si>
  <si>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2015 г.</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</si>
  <si>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</si>
  <si>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</si>
  <si>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</si>
  <si>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(иные бюджетные ассигнования)</t>
  </si>
  <si>
    <t>Расходы районного бюджета по предоставлению бюджетам поселений района дотаций на выравнивание бюджетной обеспеченности (Межбюджетные трансферты)</t>
  </si>
  <si>
    <t>Единовременная денежная выплата при передаче ребенка на воспитание в семью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 на 2014-2020г.г."</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</si>
  <si>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 на 2014-2020г.г."</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</si>
  <si>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"Социальная поддержка семьи и детей в Амурской области" Государственной программы "Развитие системы социальной защиты населения Амурской области на 2014-2020г.г."</t>
  </si>
  <si>
    <t>Организация и осуществление деятельности по опеке и попечительству в отношении несовершеннолетних в рамках подпрограммы "Социальная поддержка семьи и детей в Амурской области" государственой программы "Развитие системы социальной защиты населения Амурской области на 2014-2020 г.г."</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</si>
  <si>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годы»(иные бюджетные ассигнования)</t>
  </si>
  <si>
    <t xml:space="preserve"> Доходы районного бюджета  на 2016  год  </t>
  </si>
  <si>
    <t>Единица измерения руб.</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</si>
  <si>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</si>
  <si>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полученные в виде арендной платы за земельные участки, государственная собственность на которые не разграничена и которые расположениы в границах городских поселений, а также средства от продажи права на заключение договоров аренды указанных земельных участков</t>
  </si>
  <si>
    <t>Доходы от реализации иного имущества, находящегося в собственности муниципальных районов,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</si>
  <si>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</si>
  <si>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 xml:space="preserve">Прочие поступления от денежных взысканий (штрафов) и иных сумм в возмещение ущерба, зачисляемые в бюджеты муниципальных районов </t>
  </si>
  <si>
    <t>081</t>
  </si>
  <si>
    <t>177</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</si>
  <si>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</si>
  <si>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</si>
  <si>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взымаемый в связи с применением патентной системы налогооблажения, зачисляемый в бюджеты муниципальных районов</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</si>
  <si>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</si>
  <si>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</si>
  <si>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Дотации бюджетам субъектов Российской Федерации и муниципальных образований</t>
  </si>
  <si>
    <t>Прочие межбюджетные трансферты, передаваемые бюджетам муниципальных районов</t>
  </si>
  <si>
    <t>Прочие субвенции бюджетам муниципальных районов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</si>
  <si>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</si>
  <si>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</si>
  <si>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</si>
  <si>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субсидии бюджетам муниципальных районов</t>
  </si>
  <si>
    <t>собственные</t>
  </si>
  <si>
    <t>прочие</t>
  </si>
  <si>
    <t>Источники внутреннего финансирования дефицита районного бюджета на 2016 год</t>
  </si>
  <si>
    <t>Расходы на уплату взносов  на капитальный ремонт многоквартирных домов по прочим непрограммным расходам</t>
  </si>
  <si>
    <t>Закупка товаров, работ и услуг для государственных (муниципальных) нужд</t>
  </si>
  <si>
    <t>Мероприятия по обеспечению деятельности добровольнных формирований населения по охране общественнного порядка в рамках  подпрограммы "Профилактика правонарушений, терроризма и экстремизма в районе" муниципальной программы "Снижение рисков и смягчения последствий чрезвычайных ситуаций природного и техногеного характера, а также обеспечение безопасности Сковородинского района на 2015-2020 годы"(Закупка товаров, работ и услуг для государственных (муниципальных) нужд)</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</si>
  <si>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</si>
  <si>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межбюджетка</t>
  </si>
  <si>
    <t xml:space="preserve">Муниципальные программы на 2016 год </t>
  </si>
  <si>
    <t>99 1 01 01120</t>
  </si>
  <si>
    <t>99 1 01 01130</t>
  </si>
  <si>
    <t>Расходы на обеспечение деятельности (оказание услуг) муниципальных учреждений в рамках подпроограммы "Архивное дело" муниципальной программы "Развитие и сохранение культуры и искусства Сковородинского района на 2015-2020годы"</t>
  </si>
  <si>
    <t>03 2 02 0310</t>
  </si>
  <si>
    <t>Расходы на обеспечение функций исполнительных органов местного самоуправления в рамках продпрограммы "Повышение эффективности деятельности админнистрации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</si>
  <si>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10 4 04 01140</t>
  </si>
  <si>
    <t>99 3 03 01970</t>
  </si>
  <si>
    <t>10 6 01 51200</t>
  </si>
  <si>
    <t>99 1 01 01150</t>
  </si>
  <si>
    <t>Резервный фонд администрации Сковородинского района в рамках подпрограммы "Повышенние эффективности деятельности администрации района" муниципальной программы "Повышение эффективнности деятельности органов местного самоуправления Сковородинского районна в 2015-2020 годы"</t>
  </si>
  <si>
    <t>10 4 04 01910</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</si>
  <si>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</si>
  <si>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01 2 02 01140</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</si>
  <si>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"Повышение эффективности деятельности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</si>
  <si>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10 4 04 01410</t>
  </si>
  <si>
    <t>10 6 01 88430</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</si>
  <si>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2015-20520 годы"</t>
  </si>
  <si>
    <t>11 1 01 11010</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</si>
  <si>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 на 2015-2020 годы"</t>
  </si>
  <si>
    <t>11 2 02 11040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</si>
  <si>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</si>
  <si>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</si>
  <si>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</si>
  <si>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01 1 01 01020</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</si>
  <si>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 на 2015-2020 годы"</t>
  </si>
  <si>
    <t>01 1 01 01050</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</si>
  <si>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</si>
  <si>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01 1 01 01070</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</si>
  <si>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</si>
  <si>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01 1 01 01080</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</si>
  <si>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</si>
  <si>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01 2 02 01090</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</si>
  <si>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</si>
  <si>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01 2 02 01100</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</si>
  <si>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</si>
  <si>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01 5 01 69700</t>
  </si>
  <si>
    <t xml:space="preserve">Субсидии субъектам малого и среднего предпринимательства по возмещению затрат на производство хлеба и хлебобулочных изделий </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</si>
  <si>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</si>
  <si>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t>
  </si>
  <si>
    <t>08 1 01 08060</t>
  </si>
  <si>
    <t>Приобретение циклонов на котельные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</si>
  <si>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04 1 01 04010</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</si>
  <si>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</si>
  <si>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04 1 01 04020</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</si>
  <si>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</si>
  <si>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13 1 01 13020</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</si>
  <si>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</si>
  <si>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13 1 01 13030</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</si>
  <si>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</si>
  <si>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13 1 01 13050</t>
  </si>
  <si>
    <t>Компенсация выпадающих доходов при обслуживании населения на социально-значимых маршрутах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</si>
  <si>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13 1 01 13060</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</si>
  <si>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t>
  </si>
  <si>
    <t>13 2 02 13100</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</si>
  <si>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 на 2015-2020 годы"</t>
  </si>
  <si>
    <t>13 2 02 13110</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</si>
  <si>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нна 2015-2020 годы"</t>
  </si>
  <si>
    <t>13 3 03 13120</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</si>
  <si>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</si>
  <si>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13 3 03 13140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</si>
  <si>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</si>
  <si>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08 1 01 08010</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</si>
  <si>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</si>
  <si>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08 1 01 08020</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</si>
  <si>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 в 2015-2020 годы"</t>
  </si>
  <si>
    <t>08 1 01 08040</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</si>
  <si>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t>
  </si>
  <si>
    <t>07 2 02 07020</t>
  </si>
  <si>
    <t>99 3 03 01980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</si>
  <si>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</si>
  <si>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</si>
  <si>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05 1 01 87120</t>
  </si>
  <si>
    <t>Обустройство санкционированных свалок захоронения твердых бытовых отходов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</si>
  <si>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04 1 01 04040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</si>
  <si>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t>
  </si>
  <si>
    <t>04 1 01 04050</t>
  </si>
  <si>
    <t>Приобретение и посадка деревьев, газона, живой изгороди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</si>
  <si>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14 1 01 14010</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</si>
  <si>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</si>
  <si>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14 1 01 14030</t>
  </si>
  <si>
    <t>Приобретение урн для мусора а рамках подпрограммы "Благоусройство Сковородинского района на 2015-2020 годы" муниципальной программы "Благоустройство Сковородинского района на 2015-2020 годы"</t>
  </si>
  <si>
    <t>14 1 01 14040</t>
  </si>
  <si>
    <t>Благоустройство муниципальных образований Сковородинского района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годы2</t>
  </si>
  <si>
    <t>14 1 01 14060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</si>
  <si>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</si>
  <si>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</si>
  <si>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</si>
  <si>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 на 2015-2020 годы"</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</si>
  <si>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</si>
  <si>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11 2 02 11020</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</si>
  <si>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</si>
  <si>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11 2 02 11030</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</si>
  <si>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</si>
  <si>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11 2 02 11070</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</si>
  <si>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 на 2015-2020 годы"</t>
  </si>
  <si>
    <t>12 3 03 12080</t>
  </si>
  <si>
    <t>12 3 02 87290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</si>
  <si>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</si>
  <si>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</si>
  <si>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 на 2015-2020 годы"</t>
  </si>
  <si>
    <t>03 6 06 03030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</si>
  <si>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 на 2015-2020 годы"</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</si>
  <si>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</si>
  <si>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</si>
  <si>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</si>
  <si>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</si>
  <si>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06 7 03 87360</t>
  </si>
  <si>
    <t>99 3 03 01620</t>
  </si>
  <si>
    <t>99 3 03 01630</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</si>
  <si>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 на 2015-2020 годы"</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</si>
  <si>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</si>
  <si>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</si>
  <si>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07 1 01 07010</t>
  </si>
  <si>
    <t>07 7 01 R0820</t>
  </si>
  <si>
    <t>07 7 01 50820</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</si>
  <si>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t>
  </si>
  <si>
    <t>09 1 01 09020</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</si>
  <si>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t>
  </si>
  <si>
    <t>09 1 01 09040</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</si>
  <si>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t>
  </si>
  <si>
    <t>09 1 01 09010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</si>
  <si>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t>
  </si>
  <si>
    <t>09 1 01 09030</t>
  </si>
  <si>
    <t>09 1 01 09050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</si>
  <si>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</si>
  <si>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</si>
  <si>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</si>
  <si>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</si>
  <si>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</si>
  <si>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99 9 09 20730</t>
  </si>
  <si>
    <t>Расходы на обслуживание муниципального долга перед другими бюджетами бюджетной системы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</si>
  <si>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10 1 01 01710</t>
  </si>
  <si>
    <t>Расходы районного бюджета по предоставлению бюджетам поселений района дотаций на выравнивание бюджетной обеспеченности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</si>
  <si>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10 1 01 01510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</si>
  <si>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</si>
  <si>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12 1 01 01210</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</si>
  <si>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</si>
  <si>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12 1 01 12010</t>
  </si>
  <si>
    <t>99 3 03 01640</t>
  </si>
  <si>
    <t>12 2 01 87510</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</si>
  <si>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а 2015-2020 годы"</t>
  </si>
  <si>
    <t>05 3 03 05060</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</si>
  <si>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</si>
  <si>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11 2 02 11050</t>
  </si>
  <si>
    <t>Установка и ремонт ограждения территорий муниципальных образовательных организаций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 на 2015-2020 годы"</t>
  </si>
  <si>
    <t>11 2 02 11060</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</si>
  <si>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</si>
  <si>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</si>
  <si>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</si>
  <si>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</si>
  <si>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</si>
  <si>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12 1 01 12030</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</si>
  <si>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</si>
  <si>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12 1 01 12040</t>
  </si>
  <si>
    <t>12 2 01 87260</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</si>
  <si>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t>
  </si>
  <si>
    <t>13 2 02 13070</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</si>
  <si>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t>
  </si>
  <si>
    <t>13 2 02 13080</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</si>
  <si>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</si>
  <si>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</si>
  <si>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</si>
  <si>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Сковородинскогоь района на 2015-2020 годы"</t>
  </si>
  <si>
    <t>12 2 02 12050</t>
  </si>
  <si>
    <t>Развитие инфраструктуры отдыха, оздоровления и занятости детей и подростков в каникулярное время в рамках подпрограммы "Развитие системы защиты прав детей"  муниципальной программы "Развитие образования Сковородинскогоь района на 2015-2020 годы"</t>
  </si>
  <si>
    <t>12 2 02 12060</t>
  </si>
  <si>
    <t>12 3 01 87500</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</si>
  <si>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</si>
  <si>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12 4 04 01170</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</si>
  <si>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</si>
  <si>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</si>
  <si>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</si>
  <si>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</si>
  <si>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02 2 01 11020</t>
  </si>
  <si>
    <t>02 2 01 70000</t>
  </si>
  <si>
    <t>02 2 01 8770</t>
  </si>
  <si>
    <t>12 2 01 87250</t>
  </si>
  <si>
    <t>02 2 01 87300</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</si>
  <si>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 в 2015-2020 годы"</t>
  </si>
  <si>
    <t>10 2 02 10040</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</si>
  <si>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</si>
  <si>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</si>
  <si>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</si>
  <si>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</si>
  <si>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 на 2015-2020 годы"</t>
  </si>
  <si>
    <t>03 1 01 01310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</si>
  <si>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 на 2015-2020 годы"</t>
  </si>
  <si>
    <t>03 3 03 01330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</si>
  <si>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</si>
  <si>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03 5 05 01320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</si>
  <si>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 в 2015-2020 годы"</t>
  </si>
  <si>
    <t>10 3 03 10070</t>
  </si>
  <si>
    <t>99 3 03 01610</t>
  </si>
  <si>
    <t>03 2 02 03010</t>
  </si>
  <si>
    <t>10 1 01 01160</t>
  </si>
  <si>
    <t>10 2 02 01180</t>
  </si>
  <si>
    <t>Оосуществление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</si>
  <si>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</si>
  <si>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</si>
  <si>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Приложение № 2</t>
  </si>
  <si>
    <t xml:space="preserve"> 2016 год</t>
  </si>
  <si>
    <t>Распределение бюджетных ассигнований по разделам и подразделам классификации расходов районного бюджета на 2016 год</t>
  </si>
  <si>
    <t>на 2016 год</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</si>
  <si>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</si>
  <si>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99 1 01 01110</t>
  </si>
  <si>
    <t>02 2 01 87700</t>
  </si>
  <si>
    <t>Наименование кода поступлений в бюджет, группы, подгруппы, статьи, подстатьи, элеменнта, подвида, аналитической группы вида источников финансирования дефицита бюджета</t>
  </si>
  <si>
    <t>КОД</t>
  </si>
  <si>
    <t>Код</t>
  </si>
  <si>
    <t>11690050050000140</t>
  </si>
  <si>
    <t>20203999050000151</t>
  </si>
  <si>
    <t>20203119050000151</t>
  </si>
  <si>
    <t>11103050050000120</t>
  </si>
  <si>
    <t>20204014050000151</t>
  </si>
  <si>
    <t>20204999050000151</t>
  </si>
  <si>
    <t>20202999050000151</t>
  </si>
  <si>
    <t>11105013050000120</t>
  </si>
  <si>
    <t>11105013100000120</t>
  </si>
  <si>
    <t>11105013130000120</t>
  </si>
  <si>
    <t>11406013050000430</t>
  </si>
  <si>
    <t>11406013100000430</t>
  </si>
  <si>
    <t>11406013130000430</t>
  </si>
  <si>
    <t>11201010016000120</t>
  </si>
  <si>
    <t>11201020016000120</t>
  </si>
  <si>
    <t>11201030016000120</t>
  </si>
  <si>
    <t>11201040016000120</t>
  </si>
  <si>
    <t>10302230010000110</t>
  </si>
  <si>
    <t>10302240010000110</t>
  </si>
  <si>
    <t>10302250010000110</t>
  </si>
  <si>
    <t>10302260010000110</t>
  </si>
  <si>
    <t>11643000016000110</t>
  </si>
  <si>
    <t>10102010010000110</t>
  </si>
  <si>
    <t>10102020010000110</t>
  </si>
  <si>
    <t>10102030010000110</t>
  </si>
  <si>
    <t>10502010020000110</t>
  </si>
  <si>
    <t>10504020020000110</t>
  </si>
  <si>
    <t>10803010011000110</t>
  </si>
  <si>
    <t>11603010016000140</t>
  </si>
  <si>
    <t>11608010016000140</t>
  </si>
  <si>
    <t>11690050056000140</t>
  </si>
  <si>
    <t>11643000016000140</t>
  </si>
  <si>
    <t>11625030010000140</t>
  </si>
  <si>
    <t>Наименование кода поступлений в бюджет, группы, подгруппы, статьи, подстатьи, элемента, группы подвида, аналитической группы подвида доходов</t>
  </si>
  <si>
    <t xml:space="preserve">сумма </t>
  </si>
  <si>
    <t>Расходы направленые на модернизацию коммунальной инфраструктуры</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</si>
  <si>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</si>
  <si>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</si>
  <si>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</si>
  <si>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автобусов для развития перевозок</t>
  </si>
  <si>
    <t>13 1 01 13010</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</si>
  <si>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муниципальной программы "Обеспечение доступным и качественным жильем населения Сковородинского района на 2015-2020 годы"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мероприятия по софинансированию расходов местного бюджета</t>
  </si>
  <si>
    <t>Расходы на проведение мероприятий в области социальной политики по прочим непрограммным расходам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</si>
  <si>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</si>
  <si>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</si>
  <si>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14 1 01 14020</t>
  </si>
  <si>
    <t xml:space="preserve">Расходы районного бюджета на исполненние мировых соглашений, подлежащих выплате в денежном выражении </t>
  </si>
  <si>
    <t>Расходы районного бюджета на исполнение мировых соглашений, подлежащих выплате в денежном выражении по прочим программным расходам в рамках подпрограммы "Повышение эффективности деятельности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</si>
  <si>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10 4 04 01840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</si>
  <si>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</si>
  <si>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21905000050000151</t>
  </si>
  <si>
    <t>межбюджетка с учетом возврата</t>
  </si>
  <si>
    <t>результат</t>
  </si>
  <si>
    <t>дефицит с учетом остаков</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</si>
  <si>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</si>
  <si>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</si>
  <si>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13 1 01 13040</t>
  </si>
  <si>
    <t xml:space="preserve">Расходы на приобретение объектов недвижимого имущества в муниципальную собственность </t>
  </si>
  <si>
    <t>(Капитальные вложения в объекты недвижимого имущества (государственной) муниципальной собственности</t>
  </si>
  <si>
    <t>99 9 09 21010</t>
  </si>
  <si>
    <t>Иные межбюдетные трансферты</t>
  </si>
  <si>
    <t>г.Сковородино</t>
  </si>
  <si>
    <t>Вед.</t>
  </si>
  <si>
    <t>04 1 01 04060</t>
  </si>
  <si>
    <t>Обустройство скотомогильников</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</si>
  <si>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</si>
  <si>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20203007050000151</t>
  </si>
  <si>
    <t>Субвенции на осуществление полномочий по составлению и изменению списка кандидатов в присяжные заседатели</t>
  </si>
  <si>
    <t>20201003050000151</t>
  </si>
  <si>
    <t>20203020050000151</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</si>
  <si>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</si>
  <si>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20203027050000151</t>
  </si>
  <si>
    <t>Расходы направленные на модернизацию коммунальной инфраструктуры</t>
  </si>
  <si>
    <t>Расходы направленныве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жилищно-коммунальнного обслуживания населения государственной программы Амурской области "Модернизация жилищно-коммунального комплекса, энергосбережение и повышение энергитической эффеутивности в Амурской области на 2014-2020 годы" (Закупка товаров, работ и услуг для государственных (муниципальных) нужд)</t>
  </si>
  <si>
    <t>05 1 02 87400</t>
  </si>
  <si>
    <t>1060604305000110</t>
  </si>
  <si>
    <t>11628000016000140</t>
  </si>
  <si>
    <t>11630030016000140</t>
  </si>
  <si>
    <t>07 2 02 S9602</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</si>
  <si>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остатки 2015 года)</t>
  </si>
  <si>
    <t>07 5 01 09502</t>
  </si>
  <si>
    <t>(руб.)</t>
  </si>
  <si>
    <t>Модернизация региональных систем дошкольного образования</t>
  </si>
  <si>
    <t>Государственная программа "Развитие образования Амурской области на 2014-2020 годы" подпрограмма "Развитие дошкольного, общего и дополнительного образования детей"(Предоставление субсидий бюджетным, автономным учреждениям и иным некоммерческим организациям)</t>
  </si>
  <si>
    <t>12 2 02 R0590</t>
  </si>
  <si>
    <t>20203121050000151</t>
  </si>
  <si>
    <t>Субвенции на проведение Всероссийской сельскохозяйственной переписи в 2016 году</t>
  </si>
  <si>
    <t>01 9 02 53910</t>
  </si>
  <si>
    <t xml:space="preserve">Мероприятия на проведение Всероссийской сельскозхозяйственной переписи </t>
  </si>
  <si>
    <t>Мероприятия на проведение Всероссийской сельскозхозяйственной переписи  (Закупка товаров, работ и услуг для государственных (муниципальных) нужд)</t>
  </si>
  <si>
    <t>10502020020000110</t>
  </si>
  <si>
    <t>10503010010000110</t>
  </si>
  <si>
    <t>498</t>
  </si>
  <si>
    <t>11633050050000140</t>
  </si>
  <si>
    <t>11645000016000140</t>
  </si>
  <si>
    <t>Денежные взыскания (штрафы) за нарушение законодательства Российской Федерации о промышленной безопасности</t>
  </si>
  <si>
    <t>Приложение № 5</t>
  </si>
  <si>
    <t>Приложение № 3</t>
  </si>
  <si>
    <t>Приложение № 4</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</si>
  <si>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</si>
  <si>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</si>
  <si>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</si>
  <si>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</si>
  <si>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</si>
  <si>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</si>
  <si>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</si>
  <si>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</si>
  <si>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</si>
  <si>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</si>
  <si>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</si>
  <si>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</si>
  <si>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</si>
  <si>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</si>
  <si>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</si>
  <si>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(Закупка товаров, работ и услуг для государственных (муниципальных) нужд)</t>
  </si>
  <si>
    <t>11109045050000120</t>
  </si>
  <si>
    <t>20705030050000180</t>
  </si>
  <si>
    <t>Возврат прочих безвозмездные поступлений в бюджеты муниципальных районов</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</si>
  <si>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</si>
  <si>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</si>
  <si>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99 3 03 01920</t>
  </si>
  <si>
    <t>Расходы районного бюджета на финнансовое обеспеченние исковых требований предъявленных к администрации Сковородинского райогнна по решениям судов, государственная пошлина по судебным решениям, подлежащим выплате в денежном выражении</t>
  </si>
  <si>
    <t>Расходы районного бюджета на финансовое обеспечение исковых требований предъявленных к администрации Сковородинского района по решениям судов, государственная пошлина по судебным решениям, подлежащих выплате в денежном выражении в рамках подпрограмм "Повышение эффективности деятельности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</si>
  <si>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10 4 04 01810</t>
  </si>
  <si>
    <t>13 2 03 87480</t>
  </si>
  <si>
    <t>20202008050000151</t>
  </si>
  <si>
    <t>20202051050000151</t>
  </si>
  <si>
    <t>Субсидии бюджетам муниципальных районов на обеспечение жильем молодых семей (средства областного бюджета)</t>
  </si>
  <si>
    <t>Субсидии бюджетам муниципальных районов на реализацию федеральных целевых программ</t>
  </si>
  <si>
    <t>Средства областного бюджета, предусмотренные на реализацию мероприятий подрограммы "Обеспечение жильем молодых семей" государственой программы "Обеспечение доступным и качественым жильем населения Амурской области на 2014-2020 годы"</t>
  </si>
  <si>
    <t>Социальное обеспеечение и иные выплаты населению</t>
  </si>
  <si>
    <t>Средства федерального бюджета, предусмотренные на реализацию мероприятий подрограммы "Обеспечение жильем молодых семей" государственой программы "Обеспечение доступным и качественым жильем населения Амурской области на 2014-2020 годы"</t>
  </si>
  <si>
    <t>07 4 01 R0200</t>
  </si>
  <si>
    <t>07 4 02 50200</t>
  </si>
  <si>
    <t>20204056050000151</t>
  </si>
  <si>
    <t>Межбюджетные трансферты, передаваемые бюджетам муниципальных райнов на финансовое обеспечение доорожной деятельности в отноошении автомобильных дорог общего пользования местного значения</t>
  </si>
  <si>
    <t>Прочиее расходы по содержанию муниципального имущества, находящегося в собствености муниципального ообразования Сковоородинский райоон по прочим непрограммным мероприятияи</t>
  </si>
  <si>
    <t>(Закупка товаров, работ и услуг для государственных (муниципальных) нужд)</t>
  </si>
  <si>
    <t>99 3 03 01910</t>
  </si>
  <si>
    <t>п.г.т.Ерофей Павлович</t>
  </si>
  <si>
    <t>п.г.т. Уруша</t>
  </si>
  <si>
    <t>с/с Талдан</t>
  </si>
  <si>
    <t>с/с Албазино</t>
  </si>
  <si>
    <t>с/с Джалинда</t>
  </si>
  <si>
    <t>с/с Невер</t>
  </si>
  <si>
    <t xml:space="preserve">с/с Солнечный </t>
  </si>
  <si>
    <t>с/с Тахтамыгда</t>
  </si>
  <si>
    <t>г. Сковородино</t>
  </si>
  <si>
    <t>Иные межбюджетные трансферты  бюджетам муниципального образования на осуществление дорожной деятельности в отношении автомобильных дорог местного значения и сооружений на них</t>
  </si>
  <si>
    <t>11402053050000410</t>
  </si>
  <si>
    <t>11107015050000120</t>
  </si>
  <si>
    <t>Доходы от перечисления части прибыли, оставшейся после уплаты налогов и иных обязательных платежей муниципальных унитарных предприятий, созданных муниципальными районами</t>
  </si>
  <si>
    <t>11605000016000140</t>
  </si>
  <si>
    <t>Денежные взыскания (штрафы) за нарушение законодательства о применении конрольнно-кассовой техники при осуществлении наличных денежнных расчетов и (или) расчетов с использованием платежных карт</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</si>
  <si>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расходам(Закупка товаров, работ и услуг для государственных (муниципальных) нужд)</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</si>
  <si>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годы»(Закупка товаров, работ и услуг для государственных (муниципальных) нужд)</t>
  </si>
  <si>
    <t>Субсидия бюджету муниципального образования Сковородинский района на осуществление дорожной деятельности в отношении автомобильных дорог местного значения и сооружений на них</t>
  </si>
  <si>
    <t>20202088050002151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</si>
  <si>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</si>
  <si>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и остатки 2015 года)</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</si>
  <si>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</si>
  <si>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07 4 01 50200</t>
  </si>
  <si>
    <t>Единовременная денежная выплата при передаче ребенка на воспитание в семью(Закупка товаров, работ и услуг для государственных (муниципальных) нужд)</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</si>
  <si>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</si>
  <si>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</si>
  <si>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</si>
  <si>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Развитие инфраструктуры отдыха, оздоровления и занятости детей и подростков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</si>
  <si>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141</t>
  </si>
  <si>
    <t>116030300160000140</t>
  </si>
  <si>
    <t>Денежные взыскания (штрафы) за админнистративнные правонарушения в области налогов и сборов, предусмотренные Кодексом Российской Федерации об административных правонарушениях</t>
  </si>
  <si>
    <t>11606000016000140</t>
  </si>
  <si>
    <t>321</t>
  </si>
  <si>
    <t>116250600160000140</t>
  </si>
  <si>
    <t>Денежные взыскания (штрафы) за нарушение земельного законодательства</t>
  </si>
  <si>
    <t>Распределение бюджетных ассигнований по целевым статьям (муниципальным програмамм и непрограммным направлениям деятельности), группам видов расходов классификации расходов районного бюджета на 2016 год</t>
  </si>
  <si>
    <t>Ведомственная структура расходов районного бюджета на 2016 год</t>
  </si>
  <si>
    <t>с/с Тахтамыгдинский</t>
  </si>
  <si>
    <t>Расходы, направленные на ремонт бань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</si>
  <si>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05 1 01 05020</t>
  </si>
  <si>
    <t xml:space="preserve"> Расходы районного бюджета по предоставлению бюджетам поселений межбюджетных трансфертов на покрытие временного кассового разрыва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</si>
  <si>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10 1 01 01530</t>
  </si>
  <si>
    <t>Прочие безвозмездные поступления в бюджеты муниципальных районов</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</si>
  <si>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</si>
  <si>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20202215050000151</t>
  </si>
  <si>
    <t>12 2 02 50970</t>
  </si>
  <si>
    <t>12 2 02 R0970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</si>
  <si>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</si>
  <si>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омсу</t>
  </si>
  <si>
    <t>дошкольные</t>
  </si>
  <si>
    <t>общее</t>
  </si>
  <si>
    <t>дополнительное</t>
  </si>
  <si>
    <t>по зао</t>
  </si>
  <si>
    <t>всего собств+дотация+3,41 деф.</t>
  </si>
  <si>
    <t>Расходы районного бюджета на финансовое обеспечение исковых требований предъявленных к администрации Сковородинского района по решениям судов, государственная пошлина по судебным решениям, подлежащих выплате в денежном выражении в рамках подпрограмм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</si>
  <si>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</si>
  <si>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районна в 2015-2020 годы"</t>
  </si>
  <si>
    <t>Расходы районного бюджета на исполнение мировых соглашений, подлежащих выплате в денежном выражении по прочим программным расходам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</si>
  <si>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</si>
  <si>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Благоустройство муниципальных образований Сковородинского района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</si>
  <si>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Приложение  №  1</t>
  </si>
  <si>
    <t xml:space="preserve">к решению районного  Совета </t>
  </si>
  <si>
    <r>
      <t xml:space="preserve">                                                                                                     </t>
    </r>
    <r>
      <rPr>
        <sz val="12"/>
        <rFont val="Arial Narrow"/>
        <family val="2"/>
        <charset val="204"/>
      </rPr>
      <t xml:space="preserve">                            </t>
    </r>
  </si>
  <si>
    <t xml:space="preserve">Главные администраторы (администраторы) доходов районного бюджета, закрепляемые за ними виды (подвиды) доходов </t>
  </si>
  <si>
    <t>Код ГАД (АД)</t>
  </si>
  <si>
    <t>Код вида (подвида) доходов</t>
  </si>
  <si>
    <t>Главные администраторы - органы государственной власти Российской Федерации</t>
  </si>
  <si>
    <t xml:space="preserve">Федеральная налоговая служба </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</si>
  <si>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</si>
  <si>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</si>
  <si>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1 01 02020 01 0000 110</t>
  </si>
  <si>
    <t>1 01 02030 01 0000 110</t>
  </si>
  <si>
    <t>1 05 02010 02 0000 110</t>
  </si>
  <si>
    <t>1 05 02020 02 0000 110</t>
  </si>
  <si>
    <t>1 05 04020 02 0000 110</t>
  </si>
  <si>
    <t>1 05 03010 01 0000 110</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</si>
  <si>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</si>
  <si>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</si>
  <si>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1 06 06033 05 0000 110</t>
  </si>
  <si>
    <t>Земельный налог с организаций, обладающих земельным участком, расположенным в границах межселенных территорий</t>
  </si>
  <si>
    <t>1 06 06043 05 0000 110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</si>
  <si>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</si>
  <si>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</si>
  <si>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</si>
  <si>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</si>
  <si>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1 09 04053 05 0000 110</t>
  </si>
  <si>
    <t>Земельный налог (по обязательствам, возникшим до 1 января 2006 года), мобилизуемый на межселенных территориях</t>
  </si>
  <si>
    <t>1 16 03010 01 6000 140</t>
  </si>
  <si>
    <t>1 16 03030 01 6000 140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</si>
  <si>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</si>
  <si>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</si>
  <si>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</si>
  <si>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</si>
  <si>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</si>
  <si>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</si>
  <si>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</si>
  <si>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Федеральная служба по надзору в сфере природопользования</t>
  </si>
  <si>
    <t>1 12 01010 01 6000 120</t>
  </si>
  <si>
    <t>Плата за выбросы загрязняющих веществ в атмосферный воздух стационарными объектами</t>
  </si>
  <si>
    <t>1 12 01020 01 6000 120</t>
  </si>
  <si>
    <t>Плата за выбросы загрязняющих веществ в атмосферный воздух передвижными объектами</t>
  </si>
  <si>
    <t>1 12 01030 01 6000 120</t>
  </si>
  <si>
    <t>Плата за сбросы загрязняющих веществ в водные объкты</t>
  </si>
  <si>
    <t>1 12 01040 01 6000 120</t>
  </si>
  <si>
    <t>Плата за размещение отходов производства и  потребления</t>
  </si>
  <si>
    <t>1 12 01050 01 6000 120</t>
  </si>
  <si>
    <t xml:space="preserve">Плата за иные виды негативного воздействия на окружающую среду </t>
  </si>
  <si>
    <t>Федеральное агентство по рыболовству</t>
  </si>
  <si>
    <t>1 16 90050 05 6000 140</t>
  </si>
  <si>
    <t>1 16 25030 01 6000 140</t>
  </si>
  <si>
    <t>Денежные взыскания (штрафы) за нарушение  законодательства Российской Федерации об охране и использовании животного мира</t>
  </si>
  <si>
    <t>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</si>
  <si>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</si>
  <si>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Федеральная миграционная служба</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</si>
  <si>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</si>
  <si>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Федеральная служба государственной регистрации, кадастра и картографии</t>
  </si>
  <si>
    <t>1 16 25060 01 6000 140</t>
  </si>
  <si>
    <t>Министерство внутренних дел Российской Федерации</t>
  </si>
  <si>
    <t>1 16 08010 01 6000 140</t>
  </si>
  <si>
    <t>1 16 30030 01 6000 140</t>
  </si>
  <si>
    <t>1 16 30014 01 6000 140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</si>
  <si>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</si>
  <si>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1 16 28000 01 6000 140</t>
  </si>
  <si>
    <t>Федеральная служба по надзору в сфере защиты прав потребителей и благополучия человека</t>
  </si>
  <si>
    <t>1 16 25050 01 6000 140</t>
  </si>
  <si>
    <t>Денежные взыскания (штрафы) за нарушение  законодательства в области охраны окружающей среды</t>
  </si>
  <si>
    <t>Федеральное казначейство</t>
  </si>
  <si>
    <t>1 17 01010 01 6000 180</t>
  </si>
  <si>
    <t>Невыясненные поступления, зачисляемые в федеральный бюджет</t>
  </si>
  <si>
    <t>1 03 02230 01 0000 110</t>
  </si>
  <si>
    <t>1 03 02240 01 0000 110</t>
  </si>
  <si>
    <t>1 03 02250 01 0000 110</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</si>
  <si>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</si>
  <si>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1 03 02260 01 0000 110</t>
  </si>
  <si>
    <t>Федеральная антимонопольная служба</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</si>
  <si>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</si>
  <si>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</si>
  <si>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Главные администраторы - органы государственной власти субъекта Российской Федерации</t>
  </si>
  <si>
    <t>Государственная инспекция по надзору за техническим состоянием самоходных машин и других видов техники Амурской области (Гостехнадзор)</t>
  </si>
  <si>
    <t>1 16 90050 05 0000 140</t>
  </si>
  <si>
    <t>Управление федеральной службы по ветеренарному и фитосанитарному надзору по Забайкальскому краю и Амурской области, по РПБС</t>
  </si>
  <si>
    <t>Управление ветеринарии Амурской области</t>
  </si>
  <si>
    <t>Инспекция государственного строительного надзора Амурской области</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</si>
  <si>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</si>
  <si>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</si>
  <si>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Управление по охране, контролю и регулированию использования объектов животного мира и среды их обитания Амурской области</t>
  </si>
  <si>
    <t>1 16 25030 01 0000 140</t>
  </si>
  <si>
    <t>Государственная жилищная инспекция Амурской области</t>
  </si>
  <si>
    <t>Министерство здравоохранения Амурской области</t>
  </si>
  <si>
    <t xml:space="preserve">Управление государственного автодорожного надзора по Ам. области Федеральной службы по надзору в сфере транспорта </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</si>
  <si>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Амурской области</t>
  </si>
  <si>
    <t>Главные администраторы - органы местного самоуправления</t>
  </si>
  <si>
    <t>1 13 02995 05 0000 130</t>
  </si>
  <si>
    <t>Прочие доходы от компенсации затрат бюджетов муниципальных районов</t>
  </si>
  <si>
    <t>1 16 33050 05 0000 140</t>
  </si>
  <si>
    <t>1 17 01050 05 0000 180</t>
  </si>
  <si>
    <t>Невыясненные поступления, зачисляемые в бюджеты муниципальных районов</t>
  </si>
  <si>
    <t xml:space="preserve">1 17 05050 05 0000 180 </t>
  </si>
  <si>
    <t>2 00 00000 00 0000 000*</t>
  </si>
  <si>
    <t xml:space="preserve">Безвозмездные поступления </t>
  </si>
  <si>
    <t>Финансовое управление  администрации Сковородинского района</t>
  </si>
  <si>
    <t>1 08 04020 01 1000 110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</si>
  <si>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(перерасчеты, недоимка и задолженность по соответствующему платежу, в том числе по отмененному)</t>
  </si>
  <si>
    <t>1 08 04020 01 4000 110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</si>
  <si>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(прочие поступления)</t>
  </si>
  <si>
    <t>1 11 03050 05 0000 120</t>
  </si>
  <si>
    <t>Проценты, полученные от предоставления бюджетных кредитов внутри  страны за счет средств бюджетов муниципальных районов</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</si>
  <si>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</si>
  <si>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</si>
  <si>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1 17 05050 05 0000 180</t>
  </si>
  <si>
    <t>Безвозмездные поступления</t>
  </si>
  <si>
    <t xml:space="preserve">Комитет по управлению муниципальным  имуществом  </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</si>
  <si>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</si>
  <si>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 же средства от продажи права на  заключение  договоров аренды указанных земельных участков</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</si>
  <si>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</si>
  <si>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 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</si>
  <si>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</si>
  <si>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</si>
  <si>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</si>
  <si>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 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</si>
  <si>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</si>
  <si>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</si>
  <si>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1 11 07015 05 0000 120</t>
  </si>
  <si>
    <t xml:space="preserve">1 11 09035 05 0000 120  </t>
  </si>
  <si>
    <t>Доходы от эксплуатации и использования имущества автомобильных дорог, находящихся в собственности муниципальных районов</t>
  </si>
  <si>
    <t>1 11 09045 05 0000 120</t>
  </si>
  <si>
    <t>1 14 02053 05 0000 410</t>
  </si>
  <si>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 </t>
  </si>
  <si>
    <t>1 14 06013 05 0000 430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</si>
  <si>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</si>
  <si>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</si>
  <si>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</si>
  <si>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1 14 06013 10 0000 430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</si>
  <si>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</si>
  <si>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</si>
  <si>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</si>
  <si>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</si>
  <si>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</si>
  <si>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</si>
  <si>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 или) земельных участков, государственная собственность на которые не разграничена и которые расположены в границах сельских поселений</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</si>
  <si>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</si>
  <si>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 или) земельных участков, государственная собственность на которые не разграничена и которые расположены в границах городских поселений</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</si>
  <si>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</si>
  <si>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</si>
  <si>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Прочие поступления от денежных взысканий (шрафов) и иных сумм в возмещение ущрба, зачисляемые в бюджеты муниципальных районов</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</si>
  <si>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</si>
  <si>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</si>
  <si>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</si>
  <si>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</si>
  <si>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</si>
  <si>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</si>
  <si>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 Администрирование поступлений по всем подстатьям и программам соответствующей статьи осуществляется администратором, указанным в группировочном коде бюджетной  классификации</t>
  </si>
  <si>
    <t>Приложение № 6</t>
  </si>
  <si>
    <t xml:space="preserve">                                                     Приложение № 7</t>
  </si>
  <si>
    <t>Приложение № 8</t>
  </si>
  <si>
    <t>Управление образования администрации Сковородинского района</t>
  </si>
  <si>
    <t>111302995050000130</t>
  </si>
  <si>
    <t>УПРАВЛЕНИЕ ОБРАЗОВАНИЯ АДМИНИСТРАЦИИ СКОВОРОДИНСКОГО РАЙОНА</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</si>
  <si>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</si>
  <si>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12 2 02 87520</t>
  </si>
  <si>
    <t>008</t>
  </si>
  <si>
    <t>009</t>
  </si>
  <si>
    <t>11406313130000430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</si>
  <si>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</si>
  <si>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Расходы районного бюджета по предоставлению бюджетам поселений межбюджетных трансфертов на покрытие временного кассового разрыва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</si>
  <si>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Приобретение автобусов для развития перевозок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</si>
  <si>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</si>
  <si>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 xml:space="preserve">Компенсация выпадающих доходов при обслуживании населения на социально-значимых маршрутах </t>
  </si>
  <si>
    <t>Субсидии  бюджетам муниципального образования на осуществление дорожной деятельности в отношении автомобильных дорог местного значения и сооружений на них(фонд софинансирования)</t>
  </si>
  <si>
    <t>Закупка товаров, работ и услуг для государственных (муниципальных) нужд)</t>
  </si>
  <si>
    <t>015</t>
  </si>
  <si>
    <t>Министерство финансов Амурской области</t>
  </si>
  <si>
    <t xml:space="preserve">1 08 07150 01 1000 110 </t>
  </si>
  <si>
    <t>Государственная пошлина за выдачу разрешения на установку рекламной конструкции (перерасчеты, недоимка и задолженность по соответствующему платежу, в том числе по отмененному)</t>
  </si>
  <si>
    <t>1 08 07150 01 4000 110</t>
  </si>
  <si>
    <t>Государственная пошлина за выдачу разрешения на установку рекламной конструкции (прочие поступления)</t>
  </si>
  <si>
    <t>1 13 01995 05 0000 130</t>
  </si>
  <si>
    <t>Прочие доходы от оказания платных услуг (работ) получателями средств бюджетов муниципальных районов</t>
  </si>
  <si>
    <t xml:space="preserve">1 15 02050 05 0000 140  </t>
  </si>
  <si>
    <t>Платежи, взимаемые  органами местного самоуправления (организациями)  муниципальных районов за  выполнение определенных функций</t>
  </si>
  <si>
    <t>11105314100000120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</si>
  <si>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</si>
  <si>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011</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</si>
  <si>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</si>
  <si>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</si>
  <si>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11406025050000430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</si>
  <si>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</si>
  <si>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10601030050000110</t>
  </si>
  <si>
    <t xml:space="preserve">Нормативы распределения доходов между районным бюджетом, бюджетами городских  и сельских поселений Сковородинского района Амурской области, не установленные Бюджетным кодексом Российской Федерации,федеральным законом о федеральном бюджете, законами Амурской области, принятыми в соответствии с положениями Бюджетного кодекса Российской Федерации на 2016 год </t>
  </si>
  <si>
    <t>процентов</t>
  </si>
  <si>
    <t>Наименование доходов</t>
  </si>
  <si>
    <t>Бюджет района</t>
  </si>
  <si>
    <t xml:space="preserve">бюджет городских поселений  </t>
  </si>
  <si>
    <t>бюджет сельских поселений</t>
  </si>
  <si>
    <t>1 13 02065 05</t>
  </si>
  <si>
    <t>Доходы, поступающие в порядке возмещения расходов, понесенных в связи с эксплуатацией имущества муниципальных районов</t>
  </si>
  <si>
    <t>1 13 02065 10</t>
  </si>
  <si>
    <t>Доходы, поступающие в порядке возмещения расходов, понесенных в связи с эксплуатацией имущества сельских поселений</t>
  </si>
  <si>
    <t>1 13 02065 13</t>
  </si>
  <si>
    <t>Доходы, поступающие в порядке возмещения расходов, понесенных в связи с эксплуатацией имущества городских поселений</t>
  </si>
  <si>
    <t>1 13 02995 05</t>
  </si>
  <si>
    <t>1 13 02995 10</t>
  </si>
  <si>
    <t>Прочие доходы от компенсации затрат бюджетов сельских поселений</t>
  </si>
  <si>
    <t>1 13 02995 13</t>
  </si>
  <si>
    <t>Прочие доходы от компенсации затрат бюджетов городских поселений</t>
  </si>
  <si>
    <t>1 15 02050 05</t>
  </si>
  <si>
    <t>1 15 02050 10</t>
  </si>
  <si>
    <t>Платежи, взимаемые органами местного самоуправления (организациями) сельских поселений за выполнение определенных функций</t>
  </si>
  <si>
    <t>1 15 02050 13</t>
  </si>
  <si>
    <t>Платежи, взимаемые органами местного самоуправления (организациями) городских поселений за выполнение определенных функций</t>
  </si>
  <si>
    <t>В ЧАСТИ ПОГАШЕНИЯ ЗАДОЛЖЕННОСТИ И ПЕРЕРАСЧЕТОВ ПО ОТМЕНЕННЫМ НАЛОГАМ, СБОРАМ И ИНЫМ НАЛОГОВЫМ ПЛАТЕЖАМ</t>
  </si>
  <si>
    <t>1 09 04053 05</t>
  </si>
  <si>
    <t>Земельный налог (по обязательствам, возникшим до 01 января 2006 года), мобилизуемый на межселенных территориях</t>
  </si>
  <si>
    <t>1 09 04053 13</t>
  </si>
  <si>
    <t>Земельный налог (по обязательствам, возникшим до 01 января 2006 года), мобилизуемый на  территориях городских поселений</t>
  </si>
  <si>
    <t>1 09 04053 10</t>
  </si>
  <si>
    <t>Земельный налог (по обязательствам, возникшим до 01 января 2006 года), мобилизуемый на  территориях сельских поселений</t>
  </si>
  <si>
    <t>1 09 04010 02</t>
  </si>
  <si>
    <t>Налог на имущество предприятий</t>
  </si>
  <si>
    <t>50</t>
  </si>
  <si>
    <t>1 09 07013 05</t>
  </si>
  <si>
    <t>Налог на рекламу, мобилизуемый на территориях муниципальных районов</t>
  </si>
  <si>
    <t>1 09 07033 05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</si>
  <si>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</si>
  <si>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1 09 07053 05</t>
  </si>
  <si>
    <t>Прочие местные налоги и сборы, мобилизуемые на территориях муниципальных районов</t>
  </si>
  <si>
    <t>1 13 01995 05</t>
  </si>
  <si>
    <t>1 13 01995 10</t>
  </si>
  <si>
    <t>Прочие доходы от оказания платных услуг (работ) получателями средств бюджетов сельских поселений</t>
  </si>
  <si>
    <t>1 13 01995 13</t>
  </si>
  <si>
    <t>Прочие доходы от оказания платных услуг (работ) получателями средств бюджетов городских поселений</t>
  </si>
  <si>
    <t>1 16 23051 05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</si>
  <si>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</si>
  <si>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</si>
  <si>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</si>
  <si>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1 16 23051 13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</si>
  <si>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</si>
  <si>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 xml:space="preserve">1 16 23052 05 </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</si>
  <si>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</si>
  <si>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 xml:space="preserve">1 16 23052 10 </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</si>
  <si>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</si>
  <si>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1 16 23052 13</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</si>
  <si>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</si>
  <si>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В ЧАСТИ ПРОЧИХ НЕНАЛОГОВЫХ ДОХОДОВ</t>
  </si>
  <si>
    <t>1 17 01050 05</t>
  </si>
  <si>
    <t>1 17 01050 13</t>
  </si>
  <si>
    <t>Невыясненные поступления, зачисляемые в бюджеты  городских поселений</t>
  </si>
  <si>
    <t>1 17 01050 10</t>
  </si>
  <si>
    <t>Невыясненные поступления, зачисляемые в бюджеты  сельских поселений</t>
  </si>
  <si>
    <t>1 17 05050 05</t>
  </si>
  <si>
    <t>1 17 05050 13</t>
  </si>
  <si>
    <t>Прочие неналоговые доходы бюджетов городских  поселений</t>
  </si>
  <si>
    <t>1 17 05050 10</t>
  </si>
  <si>
    <t>Прочие неналоговые доходы бюджетов  сельских поселений</t>
  </si>
  <si>
    <t>1 17 14030 05</t>
  </si>
  <si>
    <t>Средства самообложения граждан, зачисляемые в бюджеты муниципальных районов</t>
  </si>
  <si>
    <t>1 17 14030 10</t>
  </si>
  <si>
    <t>Средства самообложения граждан, зачисляемые в бюджеты сельских поселений</t>
  </si>
  <si>
    <t>1 17 14030 13</t>
  </si>
  <si>
    <t>Средства самообложения граждан, зачисляемые в бюджеты городских поселений</t>
  </si>
  <si>
    <t>Приложение №9</t>
  </si>
  <si>
    <t>от 21.10.2016  № 476</t>
  </si>
  <si>
    <t>от 21.10.2016 № 476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</si>
</sst>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61"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sz val="12"/>
      <color rgb="FFFF0000"/>
      <name val="Arial Narrow"/>
      <family val="2"/>
      <charset val="204"/>
    </font>
    <font>
      <sz val="10"/>
      <name val="Times New Roman"/>
      <family val="1"/>
      <charset val="204"/>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2"/>
      <color theme="1"/>
      <name val="Times New Roman"/>
      <family val="1"/>
      <charset val="204"/>
    </font>
    <font>
      <b/>
      <sz val="12"/>
      <color theme="1"/>
      <name val="Calibri"/>
      <family val="2"/>
      <charset val="204"/>
      <scheme val="minor"/>
    </font>
    <font>
      <b/>
      <sz val="14"/>
      <color indexed="8"/>
      <name val="Times New Roman"/>
      <family val="1"/>
      <charset val="204"/>
    </font>
    <font>
      <b/>
      <sz val="11"/>
      <color theme="1"/>
      <name val="Calibri"/>
      <family val="2"/>
      <charset val="204"/>
      <scheme val="minor"/>
    </font>
    <font>
      <sz val="14"/>
      <color theme="1"/>
      <name val="Times New Roman"/>
      <family val="1"/>
      <charset val="204"/>
    </font>
    <font>
      <sz val="12"/>
      <color rgb="FF7030A0"/>
      <name val="Times New Roman"/>
      <family val="1"/>
      <charset val="204"/>
    </font>
    <font>
      <i/>
      <sz val="12"/>
      <name val="Times New Roman"/>
      <family val="1"/>
      <charset val="204"/>
    </font>
    <font>
      <i/>
      <sz val="12"/>
      <color theme="1"/>
      <name val="Times New Roman"/>
      <family val="1"/>
      <charset val="204"/>
    </font>
    <font>
      <b/>
      <sz val="12"/>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1"/>
      <name val="Arial Narrow"/>
      <family val="2"/>
    </font>
    <font>
      <b/>
      <sz val="11"/>
      <name val="MS Sans Serif"/>
      <family val="2"/>
      <charset val="204"/>
    </font>
    <font>
      <b/>
      <sz val="11"/>
      <name val="Arial Narrow"/>
      <family val="2"/>
    </font>
    <font>
      <sz val="11"/>
      <name val="Times New Roman"/>
      <family val="1"/>
      <charset val="204"/>
    </font>
    <font>
      <b/>
      <sz val="14"/>
      <color theme="1"/>
      <name val="Calibri"/>
      <family val="2"/>
      <charset val="204"/>
      <scheme val="minor"/>
    </font>
    <font>
      <sz val="14"/>
      <color indexed="8"/>
      <name val="Times New Roman"/>
      <family val="1"/>
      <charset val="204"/>
    </font>
    <font>
      <sz val="11"/>
      <color theme="1"/>
      <name val="Calibri"/>
      <family val="2"/>
      <scheme val="minor"/>
    </font>
    <font>
      <b/>
      <sz val="14"/>
      <name val="Times New Roman"/>
      <family val="1"/>
      <charset val="204"/>
    </font>
    <font>
      <i/>
      <sz val="12"/>
      <color rgb="FF7030A0"/>
      <name val="Times New Roman"/>
      <family val="1"/>
      <charset val="204"/>
    </font>
    <font>
      <sz val="11"/>
      <color rgb="FF7030A0"/>
      <name val="Arial Narrow"/>
      <family val="2"/>
    </font>
    <font>
      <sz val="11"/>
      <color rgb="FF7030A0"/>
      <name val="Times New Roman"/>
      <family val="1"/>
      <charset val="204"/>
    </font>
    <font>
      <sz val="11"/>
      <name val="Calibri"/>
      <family val="2"/>
      <scheme val="minor"/>
    </font>
    <font>
      <sz val="12"/>
      <name val="Calibri"/>
      <family val="2"/>
      <scheme val="minor"/>
    </font>
    <font>
      <b/>
      <sz val="12"/>
      <name val="Calibri"/>
      <family val="2"/>
      <charset val="204"/>
      <scheme val="minor"/>
    </font>
    <font>
      <b/>
      <i/>
      <sz val="11"/>
      <name val="Calibri"/>
      <family val="2"/>
      <charset val="204"/>
      <scheme val="minor"/>
    </font>
    <font>
      <sz val="11"/>
      <color rgb="FF7030A0"/>
      <name val="Calibri"/>
      <family val="2"/>
      <scheme val="minor"/>
    </font>
    <font>
      <sz val="14"/>
      <color rgb="FF7030A0"/>
      <name val="Times New Roman"/>
      <family val="1"/>
      <charset val="204"/>
    </font>
    <font>
      <sz val="14"/>
      <name val="Calibri"/>
      <family val="2"/>
      <scheme val="minor"/>
    </font>
    <font>
      <b/>
      <sz val="14"/>
      <name val="Calibri"/>
      <family val="2"/>
      <charset val="204"/>
      <scheme val="minor"/>
    </font>
    <font>
      <i/>
      <sz val="14"/>
      <name val="Times New Roman"/>
      <family val="1"/>
      <charset val="204"/>
    </font>
    <font>
      <i/>
      <sz val="14"/>
      <color rgb="FF7030A0"/>
      <name val="Times New Roman"/>
      <family val="1"/>
      <charset val="204"/>
    </font>
    <font>
      <i/>
      <sz val="14"/>
      <color indexed="8"/>
      <name val="Times New Roman"/>
      <family val="1"/>
      <charset val="204"/>
    </font>
    <font>
      <i/>
      <sz val="14"/>
      <name val="Arial Narrow"/>
      <family val="2"/>
      <charset val="204"/>
    </font>
    <font>
      <b/>
      <sz val="14"/>
      <color rgb="FF7030A0"/>
      <name val="Times New Roman"/>
      <family val="1"/>
      <charset val="204"/>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8"/>
      </left>
      <right style="thin">
        <color indexed="8"/>
      </right>
      <top/>
      <bottom style="thin">
        <color indexed="8"/>
      </bottom>
      <diagonal/>
    </border>
    <border diagonalUp="1" diagonalDown="1">
      <left style="thin">
        <color indexed="8"/>
      </left>
      <right/>
      <top style="thin">
        <color indexed="8"/>
      </top>
      <bottom style="thin">
        <color indexed="8"/>
      </bottom>
      <diagonal/>
    </border>
    <border diagonalUp="1" diagonalDown="1">
      <left/>
      <right style="thin">
        <color indexed="8"/>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diagonalUp="1" diagonalDown="1">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diagonalUp="1" diagonalDown="1">
      <left/>
      <right style="thin">
        <color indexed="8"/>
      </right>
      <top style="thin">
        <color indexed="8"/>
      </top>
      <bottom/>
      <diagonal/>
    </border>
    <border diagonalUp="1" diagonalDown="1">
      <left style="thin">
        <color indexed="8"/>
      </left>
      <right/>
      <top style="thin">
        <color indexed="8"/>
      </top>
      <bottom/>
      <diagonal/>
    </border>
    <border diagonalUp="1" diagonalDown="1">
      <left style="thin">
        <color indexed="8"/>
      </left>
      <right/>
      <top/>
      <bottom style="thin">
        <color indexed="8"/>
      </bottom>
      <diagonal/>
    </border>
    <border>
      <left style="thin">
        <color indexed="64"/>
      </left>
      <right style="hair">
        <color auto="1"/>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left style="thin">
        <color indexed="64"/>
      </left>
      <right/>
      <top/>
      <bottom/>
      <diagonal/>
    </border>
    <border diagonalUp="1" diagonalDown="1">
      <left/>
      <right/>
      <top/>
      <bottom/>
      <diagonal/>
    </border>
  </borders>
  <cellStyleXfs count="4">
    <xf numFmtId="0" fontId="0" fillId="0" borderId="0"/>
    <xf numFmtId="0" fontId="4" fillId="0" borderId="0"/>
    <xf numFmtId="0" fontId="6" fillId="0" borderId="0"/>
    <xf numFmtId="0" fontId="43" fillId="0" borderId="0"/>
  </cellStyleXfs>
  <cellXfs count="541">
    <xf numFmtId="0" fontId="0" fillId="0" borderId="0" xfId="0"/>
    <xf numFmtId="0" fontId="1"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0"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6"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0" fontId="1" fillId="0" borderId="2" xfId="0" applyFont="1" applyFill="1" applyBorder="1" applyAlignment="1">
      <alignment horizontal="left" wrapText="1"/>
    </xf>
    <xf numFmtId="3" fontId="1" fillId="0" borderId="15" xfId="0" applyNumberFormat="1" applyFont="1" applyFill="1" applyBorder="1" applyAlignment="1">
      <alignment wrapText="1"/>
    </xf>
    <xf numFmtId="3" fontId="1" fillId="0" borderId="16" xfId="0" applyNumberFormat="1" applyFont="1" applyFill="1" applyBorder="1" applyAlignment="1">
      <alignment wrapText="1"/>
    </xf>
    <xf numFmtId="1" fontId="1" fillId="0" borderId="8" xfId="0" applyNumberFormat="1" applyFont="1" applyFill="1" applyBorder="1" applyAlignment="1">
      <alignment wrapText="1"/>
    </xf>
    <xf numFmtId="4" fontId="2" fillId="0" borderId="16"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6" xfId="0" applyFont="1" applyBorder="1" applyAlignment="1">
      <alignment horizontal="left"/>
    </xf>
    <xf numFmtId="0" fontId="1" fillId="0" borderId="16"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1"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2" fillId="0" borderId="0" xfId="0" applyFont="1" applyFill="1" applyBorder="1" applyAlignment="1">
      <alignment horizontal="right" wrapText="1"/>
    </xf>
    <xf numFmtId="4" fontId="12" fillId="0" borderId="0" xfId="0" applyNumberFormat="1" applyFont="1"/>
    <xf numFmtId="0" fontId="12" fillId="0" borderId="0" xfId="0" applyFont="1" applyAlignment="1">
      <alignment horizontal="right"/>
    </xf>
    <xf numFmtId="0" fontId="10" fillId="0" borderId="0" xfId="0" applyFont="1"/>
    <xf numFmtId="4" fontId="6" fillId="0" borderId="0" xfId="0" applyNumberFormat="1" applyFont="1"/>
    <xf numFmtId="0" fontId="1" fillId="0" borderId="0" xfId="0" applyFont="1" applyAlignment="1">
      <alignment horizontal="right" wrapText="1"/>
    </xf>
    <xf numFmtId="0" fontId="13" fillId="0" borderId="0" xfId="0" applyFont="1" applyFill="1"/>
    <xf numFmtId="0" fontId="11"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4" fillId="0" borderId="8" xfId="0" applyFont="1" applyBorder="1" applyAlignment="1">
      <alignment wrapText="1"/>
    </xf>
    <xf numFmtId="0" fontId="15" fillId="0" borderId="0" xfId="0" applyFont="1"/>
    <xf numFmtId="0" fontId="13" fillId="0" borderId="0" xfId="0" applyFont="1"/>
    <xf numFmtId="0" fontId="13" fillId="0" borderId="0" xfId="0" applyFont="1" applyAlignment="1">
      <alignment wrapText="1"/>
    </xf>
    <xf numFmtId="0" fontId="19" fillId="0" borderId="0" xfId="0" applyFont="1" applyBorder="1" applyAlignment="1" applyProtection="1">
      <alignment horizontal="center" vertical="center"/>
    </xf>
    <xf numFmtId="0" fontId="21" fillId="0" borderId="18" xfId="0" applyFont="1" applyBorder="1" applyAlignment="1" applyProtection="1">
      <alignment vertical="center"/>
    </xf>
    <xf numFmtId="0" fontId="21" fillId="0" borderId="8" xfId="0" applyFont="1" applyBorder="1" applyAlignment="1" applyProtection="1">
      <alignment vertical="center"/>
    </xf>
    <xf numFmtId="49" fontId="20" fillId="0" borderId="18" xfId="0" applyNumberFormat="1" applyFont="1" applyBorder="1" applyAlignment="1" applyProtection="1">
      <alignment horizontal="justify" vertical="center" wrapText="1"/>
    </xf>
    <xf numFmtId="4" fontId="20" fillId="0" borderId="18" xfId="0" applyNumberFormat="1" applyFont="1" applyBorder="1" applyAlignment="1" applyProtection="1">
      <alignment horizontal="right"/>
    </xf>
    <xf numFmtId="49" fontId="22" fillId="0" borderId="18" xfId="0" applyNumberFormat="1" applyFont="1" applyBorder="1" applyAlignment="1" applyProtection="1">
      <alignment horizontal="justify" vertical="center" wrapText="1"/>
    </xf>
    <xf numFmtId="49" fontId="22" fillId="0" borderId="18" xfId="0" applyNumberFormat="1" applyFont="1" applyBorder="1" applyAlignment="1" applyProtection="1">
      <alignment horizontal="center" vertical="center" wrapText="1"/>
    </xf>
    <xf numFmtId="4" fontId="22" fillId="0" borderId="18" xfId="0" applyNumberFormat="1" applyFont="1" applyBorder="1" applyAlignment="1" applyProtection="1">
      <alignment horizontal="right"/>
    </xf>
    <xf numFmtId="164" fontId="23" fillId="0" borderId="18" xfId="0" applyNumberFormat="1" applyFont="1" applyBorder="1" applyAlignment="1" applyProtection="1">
      <alignment horizontal="justify" vertical="center" wrapText="1"/>
    </xf>
    <xf numFmtId="49" fontId="23" fillId="0" borderId="18" xfId="0" applyNumberFormat="1" applyFont="1" applyBorder="1" applyAlignment="1" applyProtection="1">
      <alignment horizontal="center" vertical="center" wrapText="1"/>
    </xf>
    <xf numFmtId="4" fontId="23" fillId="0" borderId="18" xfId="0" applyNumberFormat="1" applyFont="1" applyBorder="1" applyAlignment="1" applyProtection="1">
      <alignment horizontal="right"/>
    </xf>
    <xf numFmtId="49" fontId="23" fillId="0" borderId="18" xfId="0" applyNumberFormat="1" applyFont="1" applyBorder="1" applyAlignment="1" applyProtection="1">
      <alignment horizontal="justify" vertical="center" wrapText="1"/>
    </xf>
    <xf numFmtId="164" fontId="22" fillId="0" borderId="18" xfId="0" applyNumberFormat="1" applyFont="1" applyBorder="1" applyAlignment="1" applyProtection="1">
      <alignment horizontal="justify" vertical="center" wrapText="1"/>
    </xf>
    <xf numFmtId="164" fontId="20" fillId="0" borderId="18" xfId="0" applyNumberFormat="1" applyFont="1" applyBorder="1" applyAlignment="1" applyProtection="1">
      <alignment horizontal="justify" vertical="center" wrapText="1"/>
    </xf>
    <xf numFmtId="164" fontId="18" fillId="0" borderId="0" xfId="0" applyNumberFormat="1" applyFont="1" applyBorder="1" applyAlignment="1" applyProtection="1">
      <alignment horizontal="center" vertical="center" wrapText="1"/>
    </xf>
    <xf numFmtId="49" fontId="20" fillId="0" borderId="18" xfId="0" applyNumberFormat="1" applyFont="1" applyBorder="1" applyAlignment="1" applyProtection="1">
      <alignment horizontal="center" vertical="center" wrapText="1"/>
    </xf>
    <xf numFmtId="4" fontId="0" fillId="0" borderId="0" xfId="0" applyNumberFormat="1"/>
    <xf numFmtId="4" fontId="16" fillId="0" borderId="8" xfId="0" applyNumberFormat="1" applyFont="1" applyBorder="1" applyAlignment="1">
      <alignment horizontal="center" wrapText="1"/>
    </xf>
    <xf numFmtId="49" fontId="20" fillId="0" borderId="18"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16" xfId="0" applyFont="1" applyFill="1" applyBorder="1" applyAlignment="1">
      <alignment wrapText="1"/>
    </xf>
    <xf numFmtId="0" fontId="1" fillId="0" borderId="16" xfId="0" applyFont="1" applyFill="1" applyBorder="1" applyAlignment="1">
      <alignment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16" xfId="0" applyFont="1" applyFill="1" applyBorder="1" applyAlignment="1">
      <alignment wrapText="1"/>
    </xf>
    <xf numFmtId="0" fontId="1" fillId="0" borderId="8" xfId="0" applyFont="1" applyFill="1" applyBorder="1" applyAlignment="1">
      <alignment horizontal="center" wrapText="1"/>
    </xf>
    <xf numFmtId="0" fontId="1" fillId="0" borderId="8" xfId="0" applyFont="1" applyBorder="1" applyAlignment="1">
      <alignment horizontal="center" vertical="center"/>
    </xf>
    <xf numFmtId="0" fontId="1" fillId="0" borderId="8" xfId="0" applyFont="1" applyBorder="1" applyAlignment="1">
      <alignment vertical="top" wrapText="1"/>
    </xf>
    <xf numFmtId="49" fontId="22" fillId="0" borderId="20" xfId="0" applyNumberFormat="1" applyFont="1" applyBorder="1" applyAlignment="1" applyProtection="1">
      <alignment horizontal="justify" vertical="center" wrapText="1"/>
    </xf>
    <xf numFmtId="164" fontId="22" fillId="0" borderId="20" xfId="0" applyNumberFormat="1" applyFont="1" applyBorder="1" applyAlignment="1" applyProtection="1">
      <alignment horizontal="justify" vertical="center" wrapText="1"/>
    </xf>
    <xf numFmtId="49" fontId="20" fillId="0" borderId="21" xfId="0" applyNumberFormat="1" applyFont="1" applyBorder="1" applyAlignment="1" applyProtection="1">
      <alignment horizontal="justify" vertical="center" wrapText="1"/>
    </xf>
    <xf numFmtId="49" fontId="20" fillId="0" borderId="22" xfId="0" applyNumberFormat="1" applyFont="1" applyBorder="1" applyAlignment="1" applyProtection="1">
      <alignment horizontal="justify" vertical="center" wrapText="1"/>
    </xf>
    <xf numFmtId="4" fontId="22" fillId="0" borderId="20" xfId="0" applyNumberFormat="1" applyFont="1" applyBorder="1" applyAlignment="1" applyProtection="1">
      <alignment horizontal="right"/>
    </xf>
    <xf numFmtId="0" fontId="21" fillId="0" borderId="19" xfId="0" applyFont="1" applyBorder="1" applyAlignment="1" applyProtection="1">
      <alignment vertical="center"/>
    </xf>
    <xf numFmtId="4" fontId="27" fillId="0" borderId="8" xfId="0" applyNumberFormat="1" applyFont="1" applyBorder="1"/>
    <xf numFmtId="4" fontId="10" fillId="0" borderId="0" xfId="0" applyNumberFormat="1" applyFont="1" applyFill="1"/>
    <xf numFmtId="0" fontId="24" fillId="0" borderId="23" xfId="0" applyFont="1" applyBorder="1" applyAlignment="1">
      <alignment horizontal="justify" vertical="center" wrapText="1"/>
    </xf>
    <xf numFmtId="164" fontId="29" fillId="0" borderId="18" xfId="0" applyNumberFormat="1" applyFont="1" applyBorder="1" applyAlignment="1" applyProtection="1">
      <alignment horizontal="justify" vertical="center" wrapText="1"/>
    </xf>
    <xf numFmtId="4" fontId="29" fillId="0" borderId="18" xfId="0" applyNumberFormat="1" applyFont="1" applyBorder="1" applyAlignment="1" applyProtection="1">
      <alignment horizontal="right"/>
    </xf>
    <xf numFmtId="49" fontId="30" fillId="0" borderId="18" xfId="0" applyNumberFormat="1" applyFont="1" applyBorder="1" applyAlignment="1" applyProtection="1">
      <alignment horizontal="justify" vertical="center" wrapText="1"/>
    </xf>
    <xf numFmtId="49" fontId="8" fillId="0" borderId="18" xfId="0" applyNumberFormat="1" applyFont="1" applyBorder="1" applyAlignment="1" applyProtection="1">
      <alignment horizontal="justify" vertical="center" wrapText="1"/>
    </xf>
    <xf numFmtId="49" fontId="8" fillId="0" borderId="18" xfId="0" applyNumberFormat="1" applyFont="1" applyBorder="1" applyAlignment="1" applyProtection="1">
      <alignment horizontal="center" vertical="center" wrapText="1"/>
    </xf>
    <xf numFmtId="4" fontId="8" fillId="0" borderId="18" xfId="0" applyNumberFormat="1" applyFont="1" applyBorder="1" applyAlignment="1" applyProtection="1">
      <alignment horizontal="right"/>
    </xf>
    <xf numFmtId="164" fontId="30" fillId="0" borderId="18" xfId="0" applyNumberFormat="1" applyFont="1" applyBorder="1" applyAlignment="1" applyProtection="1">
      <alignment horizontal="justify" vertical="center" wrapText="1"/>
    </xf>
    <xf numFmtId="0" fontId="2" fillId="0" borderId="2" xfId="0" applyFont="1" applyFill="1" applyBorder="1" applyAlignment="1">
      <alignment horizontal="center" wrapText="1"/>
    </xf>
    <xf numFmtId="164" fontId="8" fillId="0" borderId="18" xfId="0" applyNumberFormat="1" applyFont="1" applyBorder="1" applyAlignment="1" applyProtection="1">
      <alignment horizontal="justify" vertical="center" wrapText="1"/>
    </xf>
    <xf numFmtId="4" fontId="25" fillId="0" borderId="24" xfId="0" applyNumberFormat="1" applyFont="1" applyBorder="1"/>
    <xf numFmtId="4" fontId="25" fillId="0" borderId="25" xfId="0" applyNumberFormat="1" applyFont="1" applyBorder="1"/>
    <xf numFmtId="4" fontId="25" fillId="0" borderId="26" xfId="0" applyNumberFormat="1" applyFont="1" applyBorder="1"/>
    <xf numFmtId="49" fontId="23" fillId="0" borderId="19" xfId="0" applyNumberFormat="1" applyFont="1" applyBorder="1" applyAlignment="1" applyProtection="1">
      <alignment horizontal="justify" vertical="center" wrapText="1"/>
    </xf>
    <xf numFmtId="49" fontId="31" fillId="0" borderId="18" xfId="0" applyNumberFormat="1" applyFont="1" applyBorder="1" applyAlignment="1" applyProtection="1">
      <alignment horizontal="center" vertical="center" wrapText="1"/>
    </xf>
    <xf numFmtId="0" fontId="5" fillId="0" borderId="8" xfId="0" applyFont="1" applyFill="1" applyBorder="1" applyAlignment="1">
      <alignment wrapText="1"/>
    </xf>
    <xf numFmtId="49" fontId="23" fillId="0" borderId="8"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0" fontId="5" fillId="0" borderId="0" xfId="0" applyFont="1" applyFill="1" applyBorder="1" applyAlignment="1">
      <alignment wrapText="1"/>
    </xf>
    <xf numFmtId="0" fontId="30" fillId="0" borderId="8" xfId="0" applyFont="1" applyBorder="1" applyAlignment="1">
      <alignment wrapText="1"/>
    </xf>
    <xf numFmtId="49" fontId="30" fillId="0" borderId="8" xfId="0" applyNumberFormat="1" applyFont="1" applyBorder="1" applyAlignment="1" applyProtection="1">
      <alignment horizontal="center" vertical="center" wrapText="1"/>
    </xf>
    <xf numFmtId="49" fontId="22" fillId="0" borderId="19" xfId="0" applyNumberFormat="1" applyFont="1" applyBorder="1" applyAlignment="1" applyProtection="1">
      <alignment horizontal="center" vertical="center" wrapText="1"/>
    </xf>
    <xf numFmtId="49" fontId="22" fillId="0" borderId="20" xfId="0" applyNumberFormat="1" applyFont="1" applyBorder="1" applyAlignment="1" applyProtection="1">
      <alignment horizontal="center" vertical="center" wrapText="1"/>
    </xf>
    <xf numFmtId="49" fontId="22" fillId="0" borderId="8" xfId="0" applyNumberFormat="1" applyFont="1" applyBorder="1" applyAlignment="1" applyProtection="1">
      <alignment horizontal="center" vertical="center" wrapText="1"/>
    </xf>
    <xf numFmtId="49" fontId="22" fillId="0" borderId="21" xfId="0" applyNumberFormat="1" applyFont="1" applyBorder="1" applyAlignment="1" applyProtection="1">
      <alignment horizontal="center" vertical="center" wrapText="1"/>
    </xf>
    <xf numFmtId="0" fontId="24" fillId="0" borderId="28" xfId="0" applyFont="1" applyBorder="1" applyAlignment="1">
      <alignment horizontal="justify" vertical="center"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8" fillId="0" borderId="8" xfId="0" applyNumberFormat="1" applyFont="1" applyBorder="1" applyAlignment="1" applyProtection="1">
      <alignment horizontal="justify" vertical="center" wrapText="1"/>
    </xf>
    <xf numFmtId="49" fontId="22" fillId="0" borderId="27" xfId="0" applyNumberFormat="1" applyFont="1" applyBorder="1" applyAlignment="1" applyProtection="1">
      <alignment horizontal="justify" vertical="center" wrapText="1"/>
    </xf>
    <xf numFmtId="0" fontId="1" fillId="0" borderId="16" xfId="0" applyFont="1" applyFill="1" applyBorder="1" applyAlignment="1">
      <alignment wrapText="1"/>
    </xf>
    <xf numFmtId="0" fontId="2" fillId="0" borderId="2" xfId="0" applyFont="1" applyFill="1" applyBorder="1" applyAlignment="1">
      <alignment wrapText="1"/>
    </xf>
    <xf numFmtId="0" fontId="8" fillId="0" borderId="8" xfId="0" applyFont="1" applyBorder="1" applyAlignment="1">
      <alignment wrapText="1"/>
    </xf>
    <xf numFmtId="4" fontId="22" fillId="2" borderId="18" xfId="0" applyNumberFormat="1" applyFont="1" applyFill="1" applyBorder="1" applyAlignment="1" applyProtection="1">
      <alignment horizontal="right"/>
    </xf>
    <xf numFmtId="4" fontId="30" fillId="0" borderId="0" xfId="0" applyNumberFormat="1" applyFont="1" applyBorder="1" applyAlignment="1" applyProtection="1">
      <alignment horizontal="right"/>
    </xf>
    <xf numFmtId="4" fontId="32" fillId="0" borderId="0" xfId="0" applyNumberFormat="1" applyFont="1" applyBorder="1" applyAlignment="1" applyProtection="1">
      <alignment horizontal="right"/>
    </xf>
    <xf numFmtId="0" fontId="0" fillId="2" borderId="0" xfId="0" applyFill="1"/>
    <xf numFmtId="0" fontId="17"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7" fillId="0" borderId="8" xfId="0" applyNumberFormat="1" applyFont="1" applyBorder="1" applyAlignment="1">
      <alignment horizontal="center" wrapText="1"/>
    </xf>
    <xf numFmtId="4" fontId="37" fillId="0" borderId="8" xfId="0" applyNumberFormat="1" applyFont="1" applyBorder="1" applyAlignment="1">
      <alignment horizontal="right" wrapText="1"/>
    </xf>
    <xf numFmtId="49" fontId="38" fillId="0" borderId="32" xfId="0" applyNumberFormat="1" applyFont="1" applyBorder="1" applyAlignment="1">
      <alignment horizontal="center" wrapText="1"/>
    </xf>
    <xf numFmtId="49" fontId="6" fillId="0" borderId="0" xfId="0" applyNumberFormat="1" applyFont="1"/>
    <xf numFmtId="0" fontId="8" fillId="0" borderId="8" xfId="0" applyFont="1" applyBorder="1" applyAlignment="1">
      <alignment horizontal="justify" vertical="center" wrapText="1"/>
    </xf>
    <xf numFmtId="164" fontId="40" fillId="0" borderId="8" xfId="0" applyNumberFormat="1" applyFont="1" applyBorder="1" applyAlignment="1">
      <alignment horizontal="left" wrapText="1"/>
    </xf>
    <xf numFmtId="4" fontId="1" fillId="0" borderId="8" xfId="0" applyNumberFormat="1" applyFont="1" applyFill="1" applyBorder="1" applyAlignment="1">
      <alignment horizontal="center"/>
    </xf>
    <xf numFmtId="0" fontId="1" fillId="0" borderId="3" xfId="0" applyFont="1" applyFill="1" applyBorder="1" applyAlignment="1">
      <alignment horizontal="center"/>
    </xf>
    <xf numFmtId="4" fontId="41" fillId="0" borderId="8" xfId="0" applyNumberFormat="1" applyFont="1" applyBorder="1"/>
    <xf numFmtId="4" fontId="42" fillId="0" borderId="18" xfId="0" applyNumberFormat="1" applyFont="1" applyBorder="1" applyAlignment="1" applyProtection="1">
      <alignment horizontal="right"/>
    </xf>
    <xf numFmtId="4" fontId="42" fillId="2" borderId="18" xfId="0" applyNumberFormat="1" applyFont="1" applyFill="1" applyBorder="1" applyAlignment="1" applyProtection="1">
      <alignment horizontal="right"/>
    </xf>
    <xf numFmtId="4" fontId="19" fillId="0" borderId="18" xfId="0" applyNumberFormat="1" applyFont="1" applyBorder="1" applyAlignment="1" applyProtection="1">
      <alignment horizontal="right"/>
    </xf>
    <xf numFmtId="4" fontId="26" fillId="2" borderId="18" xfId="0" applyNumberFormat="1" applyFont="1" applyFill="1" applyBorder="1" applyAlignment="1" applyProtection="1">
      <alignment horizontal="right"/>
    </xf>
    <xf numFmtId="4" fontId="26" fillId="0" borderId="18" xfId="0" applyNumberFormat="1" applyFont="1" applyBorder="1" applyAlignment="1" applyProtection="1">
      <alignment horizontal="right"/>
    </xf>
    <xf numFmtId="4" fontId="19" fillId="0" borderId="22" xfId="0" applyNumberFormat="1" applyFont="1" applyBorder="1" applyAlignment="1" applyProtection="1">
      <alignment horizontal="right"/>
    </xf>
    <xf numFmtId="0" fontId="1" fillId="0" borderId="8" xfId="0" applyFont="1" applyFill="1" applyBorder="1" applyAlignment="1">
      <alignment horizontal="center" wrapText="1"/>
    </xf>
    <xf numFmtId="0" fontId="1" fillId="0" borderId="4" xfId="0" applyFont="1" applyFill="1" applyBorder="1" applyAlignment="1"/>
    <xf numFmtId="0" fontId="1" fillId="0" borderId="5" xfId="0" applyFont="1" applyFill="1" applyBorder="1" applyAlignment="1"/>
    <xf numFmtId="4" fontId="1" fillId="0" borderId="3" xfId="0" applyNumberFormat="1" applyFont="1" applyFill="1" applyBorder="1" applyAlignment="1"/>
    <xf numFmtId="4" fontId="1" fillId="0" borderId="4" xfId="0" applyNumberFormat="1" applyFont="1" applyFill="1" applyBorder="1" applyAlignment="1"/>
    <xf numFmtId="4" fontId="1" fillId="0" borderId="5" xfId="0" applyNumberFormat="1" applyFont="1" applyFill="1" applyBorder="1" applyAlignment="1"/>
    <xf numFmtId="165" fontId="1" fillId="0" borderId="3" xfId="0" applyNumberFormat="1" applyFont="1" applyFill="1" applyBorder="1" applyAlignment="1"/>
    <xf numFmtId="165" fontId="1" fillId="0" borderId="4" xfId="0" applyNumberFormat="1" applyFont="1" applyFill="1" applyBorder="1" applyAlignment="1"/>
    <xf numFmtId="165" fontId="1" fillId="0" borderId="5" xfId="0" applyNumberFormat="1" applyFont="1" applyFill="1" applyBorder="1" applyAlignment="1"/>
    <xf numFmtId="4" fontId="2" fillId="0" borderId="3" xfId="0" applyNumberFormat="1" applyFont="1" applyFill="1" applyBorder="1" applyAlignment="1"/>
    <xf numFmtId="4" fontId="2" fillId="0" borderId="4" xfId="0" applyNumberFormat="1" applyFont="1" applyFill="1" applyBorder="1" applyAlignment="1"/>
    <xf numFmtId="4" fontId="2" fillId="0" borderId="5" xfId="0" applyNumberFormat="1" applyFont="1" applyFill="1" applyBorder="1" applyAlignment="1"/>
    <xf numFmtId="49" fontId="42" fillId="0" borderId="18" xfId="0" applyNumberFormat="1" applyFont="1" applyBorder="1" applyAlignment="1" applyProtection="1">
      <alignment horizontal="center" vertical="center" wrapText="1"/>
    </xf>
    <xf numFmtId="4" fontId="42" fillId="0" borderId="27" xfId="0" applyNumberFormat="1" applyFont="1" applyBorder="1" applyAlignment="1" applyProtection="1">
      <alignment horizontal="right"/>
    </xf>
    <xf numFmtId="49" fontId="19" fillId="0" borderId="18" xfId="0" applyNumberFormat="1" applyFont="1" applyBorder="1" applyAlignment="1" applyProtection="1">
      <alignment horizontal="center" vertical="center" wrapText="1"/>
    </xf>
    <xf numFmtId="49" fontId="42" fillId="0" borderId="20" xfId="0" applyNumberFormat="1" applyFont="1" applyBorder="1" applyAlignment="1" applyProtection="1">
      <alignment horizontal="center" vertical="center" wrapText="1"/>
    </xf>
    <xf numFmtId="49" fontId="42" fillId="0" borderId="8" xfId="0" applyNumberFormat="1" applyFont="1" applyBorder="1" applyAlignment="1" applyProtection="1">
      <alignment horizontal="center" vertical="center" wrapText="1"/>
    </xf>
    <xf numFmtId="0" fontId="30" fillId="0" borderId="8" xfId="0" applyFont="1" applyBorder="1" applyAlignment="1">
      <alignment horizontal="left" wrapText="1"/>
    </xf>
    <xf numFmtId="0" fontId="0" fillId="0" borderId="0" xfId="0" applyAlignment="1">
      <alignment horizontal="right"/>
    </xf>
    <xf numFmtId="49" fontId="42" fillId="0" borderId="19" xfId="0" applyNumberFormat="1" applyFont="1" applyBorder="1" applyAlignment="1" applyProtection="1">
      <alignment horizontal="center" vertical="center" wrapText="1"/>
    </xf>
    <xf numFmtId="49" fontId="42" fillId="0" borderId="27" xfId="0" applyNumberFormat="1" applyFont="1" applyBorder="1" applyAlignment="1" applyProtection="1">
      <alignment horizontal="center" vertical="center" wrapText="1"/>
    </xf>
    <xf numFmtId="49" fontId="28" fillId="0" borderId="18" xfId="0" applyNumberFormat="1" applyFont="1" applyBorder="1" applyAlignment="1" applyProtection="1">
      <alignment horizontal="center" vertical="center" wrapText="1"/>
    </xf>
    <xf numFmtId="4" fontId="19" fillId="2" borderId="20" xfId="0" applyNumberFormat="1" applyFont="1" applyFill="1" applyBorder="1" applyAlignment="1" applyProtection="1">
      <alignment horizontal="right"/>
    </xf>
    <xf numFmtId="4" fontId="19" fillId="2" borderId="18" xfId="0" applyNumberFormat="1" applyFont="1" applyFill="1" applyBorder="1" applyAlignment="1" applyProtection="1">
      <alignment horizontal="right"/>
    </xf>
    <xf numFmtId="0" fontId="24" fillId="0" borderId="33" xfId="0" applyFont="1" applyBorder="1" applyAlignment="1">
      <alignment horizontal="justify" vertical="center" wrapText="1"/>
    </xf>
    <xf numFmtId="49" fontId="22" fillId="0" borderId="34" xfId="0" applyNumberFormat="1" applyFont="1" applyBorder="1" applyAlignment="1" applyProtection="1">
      <alignment horizontal="center" vertical="center" wrapText="1"/>
    </xf>
    <xf numFmtId="49" fontId="42" fillId="0" borderId="34" xfId="0" applyNumberFormat="1" applyFont="1" applyBorder="1" applyAlignment="1" applyProtection="1">
      <alignment horizontal="center" vertical="center" wrapText="1"/>
    </xf>
    <xf numFmtId="164" fontId="22" fillId="0" borderId="34" xfId="0" applyNumberFormat="1" applyFont="1" applyBorder="1" applyAlignment="1" applyProtection="1">
      <alignment horizontal="justify" vertical="center" wrapText="1"/>
    </xf>
    <xf numFmtId="4" fontId="42" fillId="2" borderId="34" xfId="0" applyNumberFormat="1" applyFont="1" applyFill="1" applyBorder="1" applyAlignment="1" applyProtection="1">
      <alignment horizontal="right"/>
    </xf>
    <xf numFmtId="4" fontId="42" fillId="2" borderId="27" xfId="0" applyNumberFormat="1" applyFont="1" applyFill="1" applyBorder="1" applyAlignment="1" applyProtection="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9" fillId="0" borderId="20" xfId="0" applyNumberFormat="1" applyFont="1" applyBorder="1" applyAlignment="1" applyProtection="1">
      <alignment horizontal="center" vertical="center" wrapText="1"/>
    </xf>
    <xf numFmtId="49" fontId="22" fillId="0" borderId="8" xfId="0" applyNumberFormat="1" applyFont="1" applyBorder="1" applyAlignment="1" applyProtection="1">
      <alignment horizontal="justify" vertical="center" wrapText="1"/>
    </xf>
    <xf numFmtId="49" fontId="30" fillId="0" borderId="8" xfId="0" applyNumberFormat="1" applyFont="1" applyBorder="1" applyAlignment="1" applyProtection="1">
      <alignment horizontal="justify" vertical="center" wrapText="1"/>
    </xf>
    <xf numFmtId="49" fontId="22" fillId="0" borderId="21" xfId="0" applyNumberFormat="1" applyFont="1" applyBorder="1" applyAlignment="1" applyProtection="1">
      <alignment horizontal="justify" vertical="center" wrapText="1"/>
    </xf>
    <xf numFmtId="4" fontId="22" fillId="0" borderId="22" xfId="0" applyNumberFormat="1" applyFont="1" applyBorder="1" applyAlignment="1" applyProtection="1">
      <alignment horizontal="right"/>
    </xf>
    <xf numFmtId="4" fontId="42" fillId="2" borderId="19" xfId="0" applyNumberFormat="1" applyFont="1" applyFill="1" applyBorder="1" applyAlignment="1" applyProtection="1">
      <alignment horizontal="right"/>
    </xf>
    <xf numFmtId="49" fontId="8" fillId="0" borderId="20" xfId="0" applyNumberFormat="1" applyFont="1" applyBorder="1" applyAlignment="1" applyProtection="1">
      <alignment horizontal="center" vertical="center" wrapText="1"/>
    </xf>
    <xf numFmtId="49" fontId="8" fillId="0" borderId="31" xfId="0" applyNumberFormat="1" applyFont="1" applyBorder="1" applyAlignment="1" applyProtection="1">
      <alignment horizontal="center" vertical="center" wrapText="1"/>
    </xf>
    <xf numFmtId="0" fontId="24" fillId="0" borderId="16" xfId="0" applyFont="1" applyBorder="1" applyAlignment="1">
      <alignment wrapText="1"/>
    </xf>
    <xf numFmtId="4" fontId="19" fillId="2" borderId="37" xfId="0" applyNumberFormat="1" applyFont="1" applyFill="1" applyBorder="1" applyAlignment="1" applyProtection="1">
      <alignment horizontal="right"/>
    </xf>
    <xf numFmtId="49" fontId="22" fillId="0" borderId="27" xfId="0" applyNumberFormat="1" applyFont="1" applyBorder="1" applyAlignment="1" applyProtection="1">
      <alignment horizontal="center" vertical="center" wrapText="1"/>
    </xf>
    <xf numFmtId="4" fontId="46" fillId="0" borderId="8" xfId="0" applyNumberFormat="1" applyFont="1" applyBorder="1" applyAlignment="1">
      <alignment horizontal="right" wrapText="1"/>
    </xf>
    <xf numFmtId="49" fontId="39" fillId="0" borderId="11" xfId="0" applyNumberFormat="1" applyFont="1" applyBorder="1" applyAlignment="1">
      <alignment horizontal="left" wrapText="1"/>
    </xf>
    <xf numFmtId="4" fontId="39" fillId="0" borderId="8" xfId="0" applyNumberFormat="1" applyFont="1" applyBorder="1" applyAlignment="1">
      <alignment horizontal="right" wrapText="1"/>
    </xf>
    <xf numFmtId="0" fontId="24" fillId="0" borderId="8" xfId="0" applyFont="1" applyBorder="1" applyAlignment="1">
      <alignment horizontal="justify" vertical="center" wrapText="1"/>
    </xf>
    <xf numFmtId="0" fontId="29" fillId="0" borderId="8" xfId="0" applyFont="1" applyBorder="1" applyAlignment="1">
      <alignment horizontal="justify" vertical="center" wrapText="1"/>
    </xf>
    <xf numFmtId="49" fontId="47" fillId="0" borderId="8" xfId="0" applyNumberFormat="1" applyFont="1" applyBorder="1" applyAlignment="1">
      <alignment horizontal="left" wrapText="1"/>
    </xf>
    <xf numFmtId="49" fontId="40" fillId="0" borderId="8" xfId="0" applyNumberFormat="1" applyFont="1" applyBorder="1" applyAlignment="1">
      <alignment horizontal="left" wrapText="1"/>
    </xf>
    <xf numFmtId="0" fontId="33" fillId="0" borderId="0" xfId="0" applyFont="1" applyBorder="1"/>
    <xf numFmtId="0" fontId="34" fillId="0" borderId="0" xfId="0" applyFont="1" applyBorder="1"/>
    <xf numFmtId="49" fontId="37" fillId="0" borderId="38" xfId="0" applyNumberFormat="1" applyFont="1" applyFill="1" applyBorder="1" applyAlignment="1">
      <alignment horizontal="center" wrapText="1"/>
    </xf>
    <xf numFmtId="4" fontId="42" fillId="0" borderId="19" xfId="0" applyNumberFormat="1" applyFont="1" applyBorder="1" applyAlignment="1" applyProtection="1">
      <alignment horizontal="right"/>
    </xf>
    <xf numFmtId="14" fontId="1" fillId="0" borderId="0" xfId="0" applyNumberFormat="1" applyFont="1" applyAlignment="1"/>
    <xf numFmtId="164" fontId="18" fillId="0" borderId="0" xfId="0" applyNumberFormat="1" applyFont="1" applyBorder="1" applyAlignment="1" applyProtection="1">
      <alignment vertical="center" wrapText="1"/>
    </xf>
    <xf numFmtId="0" fontId="19" fillId="0" borderId="0" xfId="0" applyFont="1" applyBorder="1" applyAlignment="1" applyProtection="1">
      <alignment horizontal="right" vertical="center"/>
    </xf>
    <xf numFmtId="164" fontId="22" fillId="0" borderId="21" xfId="0" applyNumberFormat="1" applyFont="1" applyBorder="1" applyAlignment="1" applyProtection="1">
      <alignment horizontal="justify" vertical="center" wrapText="1"/>
    </xf>
    <xf numFmtId="49" fontId="30" fillId="0" borderId="20" xfId="0" applyNumberFormat="1" applyFont="1" applyBorder="1" applyAlignment="1" applyProtection="1">
      <alignment horizontal="justify" vertical="center" wrapText="1"/>
    </xf>
    <xf numFmtId="4" fontId="42" fillId="2" borderId="20" xfId="0" applyNumberFormat="1" applyFont="1" applyFill="1" applyBorder="1" applyAlignment="1" applyProtection="1">
      <alignment horizontal="right"/>
    </xf>
    <xf numFmtId="4" fontId="42" fillId="2" borderId="8" xfId="0" applyNumberFormat="1" applyFont="1" applyFill="1" applyBorder="1" applyAlignment="1" applyProtection="1">
      <alignment horizontal="right"/>
    </xf>
    <xf numFmtId="164" fontId="47" fillId="0" borderId="8" xfId="0" applyNumberFormat="1" applyFont="1" applyBorder="1" applyAlignment="1">
      <alignment horizontal="left" wrapText="1"/>
    </xf>
    <xf numFmtId="49" fontId="1" fillId="0" borderId="8" xfId="1" applyNumberFormat="1" applyFont="1" applyBorder="1" applyAlignment="1"/>
    <xf numFmtId="0" fontId="48" fillId="0" borderId="0" xfId="0" applyFont="1"/>
    <xf numFmtId="49" fontId="37" fillId="0" borderId="8" xfId="0" applyNumberFormat="1" applyFont="1" applyBorder="1" applyAlignment="1">
      <alignment horizontal="left" wrapText="1"/>
    </xf>
    <xf numFmtId="0" fontId="47" fillId="0" borderId="8" xfId="0" applyFont="1" applyBorder="1" applyAlignment="1">
      <alignment wrapText="1"/>
    </xf>
    <xf numFmtId="0" fontId="29" fillId="0" borderId="8" xfId="0" applyFont="1" applyBorder="1" applyAlignment="1">
      <alignment vertical="top" wrapText="1"/>
    </xf>
    <xf numFmtId="49" fontId="46" fillId="0" borderId="8" xfId="0" applyNumberFormat="1" applyFont="1" applyBorder="1" applyAlignment="1">
      <alignment horizontal="left" wrapText="1"/>
    </xf>
    <xf numFmtId="0" fontId="1" fillId="0" borderId="0" xfId="0" applyFont="1" applyAlignment="1">
      <alignment horizontal="right"/>
    </xf>
    <xf numFmtId="49" fontId="30" fillId="0" borderId="18" xfId="0" applyNumberFormat="1" applyFont="1" applyBorder="1" applyAlignment="1" applyProtection="1">
      <alignment horizontal="center" vertical="center" wrapText="1"/>
    </xf>
    <xf numFmtId="0" fontId="49" fillId="0" borderId="0" xfId="0" applyFont="1"/>
    <xf numFmtId="49" fontId="32" fillId="0" borderId="22" xfId="0" applyNumberFormat="1" applyFont="1" applyBorder="1" applyAlignment="1" applyProtection="1">
      <alignment horizontal="justify" vertical="center" wrapText="1"/>
    </xf>
    <xf numFmtId="4" fontId="48" fillId="0" borderId="0" xfId="0" applyNumberFormat="1" applyFont="1"/>
    <xf numFmtId="4" fontId="50" fillId="0" borderId="0" xfId="0" applyNumberFormat="1" applyFont="1" applyBorder="1"/>
    <xf numFmtId="4" fontId="8" fillId="0" borderId="0" xfId="0" applyNumberFormat="1" applyFont="1" applyBorder="1" applyAlignment="1" applyProtection="1">
      <alignment horizontal="right"/>
    </xf>
    <xf numFmtId="49" fontId="8" fillId="0" borderId="22" xfId="0" applyNumberFormat="1" applyFont="1" applyBorder="1" applyAlignment="1" applyProtection="1">
      <alignment horizontal="justify" vertical="center" wrapText="1"/>
    </xf>
    <xf numFmtId="164" fontId="30" fillId="0" borderId="22" xfId="0" applyNumberFormat="1" applyFont="1" applyBorder="1" applyAlignment="1" applyProtection="1">
      <alignment horizontal="justify" vertical="center" wrapText="1"/>
    </xf>
    <xf numFmtId="49" fontId="30" fillId="0" borderId="22" xfId="0" applyNumberFormat="1" applyFont="1" applyBorder="1" applyAlignment="1" applyProtection="1">
      <alignment horizontal="justify" vertical="center" wrapText="1"/>
    </xf>
    <xf numFmtId="0" fontId="48" fillId="2" borderId="0" xfId="0" applyFont="1" applyFill="1"/>
    <xf numFmtId="164" fontId="8" fillId="0" borderId="22" xfId="0" applyNumberFormat="1" applyFont="1" applyBorder="1" applyAlignment="1" applyProtection="1">
      <alignment horizontal="justify" vertical="center" wrapText="1"/>
    </xf>
    <xf numFmtId="4" fontId="32" fillId="0" borderId="18" xfId="0" applyNumberFormat="1" applyFont="1" applyBorder="1" applyAlignment="1" applyProtection="1">
      <alignment horizontal="right"/>
    </xf>
    <xf numFmtId="4" fontId="32" fillId="2" borderId="0" xfId="0" applyNumberFormat="1" applyFont="1" applyFill="1" applyBorder="1" applyAlignment="1" applyProtection="1">
      <alignment horizontal="right"/>
    </xf>
    <xf numFmtId="4" fontId="44" fillId="0" borderId="0" xfId="0" applyNumberFormat="1" applyFont="1" applyBorder="1" applyAlignment="1" applyProtection="1">
      <alignment horizontal="right"/>
    </xf>
    <xf numFmtId="164" fontId="32" fillId="0" borderId="22" xfId="0" applyNumberFormat="1" applyFont="1" applyBorder="1" applyAlignment="1" applyProtection="1">
      <alignment horizontal="justify" vertical="center" wrapText="1"/>
    </xf>
    <xf numFmtId="4" fontId="49" fillId="0" borderId="0" xfId="0" applyNumberFormat="1" applyFont="1"/>
    <xf numFmtId="0" fontId="48" fillId="0" borderId="0" xfId="0" applyFont="1" applyBorder="1"/>
    <xf numFmtId="0" fontId="48" fillId="2" borderId="0" xfId="0" applyFont="1" applyFill="1" applyBorder="1"/>
    <xf numFmtId="49" fontId="48" fillId="0" borderId="0" xfId="0" applyNumberFormat="1" applyFont="1"/>
    <xf numFmtId="4" fontId="51" fillId="0" borderId="0" xfId="0" applyNumberFormat="1" applyFont="1"/>
    <xf numFmtId="0" fontId="52" fillId="0" borderId="0" xfId="0" applyFont="1"/>
    <xf numFmtId="0" fontId="24" fillId="0" borderId="0" xfId="0" applyFont="1" applyAlignment="1">
      <alignment wrapText="1"/>
    </xf>
    <xf numFmtId="0" fontId="24" fillId="0" borderId="0" xfId="0" applyFont="1" applyAlignment="1">
      <alignment horizontal="justify" vertical="center"/>
    </xf>
    <xf numFmtId="4" fontId="45" fillId="0" borderId="0" xfId="0" applyNumberFormat="1" applyFont="1" applyBorder="1" applyAlignment="1" applyProtection="1">
      <alignment horizontal="right"/>
    </xf>
    <xf numFmtId="164" fontId="45" fillId="0" borderId="22" xfId="0" applyNumberFormat="1" applyFont="1" applyBorder="1" applyAlignment="1" applyProtection="1">
      <alignment horizontal="justify" vertical="center" wrapText="1"/>
    </xf>
    <xf numFmtId="49" fontId="53" fillId="0" borderId="18" xfId="0" applyNumberFormat="1" applyFont="1" applyBorder="1" applyAlignment="1" applyProtection="1">
      <alignment horizontal="center" vertical="center" wrapText="1"/>
    </xf>
    <xf numFmtId="0" fontId="49" fillId="0" borderId="0" xfId="0" applyFont="1" applyAlignment="1">
      <alignment wrapText="1"/>
    </xf>
    <xf numFmtId="4" fontId="49" fillId="0" borderId="0" xfId="0" applyNumberFormat="1" applyFont="1" applyAlignment="1">
      <alignment horizontal="right"/>
    </xf>
    <xf numFmtId="0" fontId="54" fillId="0" borderId="0" xfId="0" applyFont="1"/>
    <xf numFmtId="49" fontId="19" fillId="0" borderId="0" xfId="0" applyNumberFormat="1" applyFont="1" applyBorder="1" applyAlignment="1" applyProtection="1">
      <alignment horizontal="center" vertical="center"/>
    </xf>
    <xf numFmtId="49" fontId="44" fillId="0" borderId="18" xfId="0" applyNumberFormat="1" applyFont="1" applyBorder="1" applyAlignment="1" applyProtection="1">
      <alignment horizontal="justify" vertical="center" wrapText="1"/>
    </xf>
    <xf numFmtId="49" fontId="44" fillId="0" borderId="18" xfId="0" applyNumberFormat="1" applyFont="1" applyBorder="1" applyAlignment="1" applyProtection="1">
      <alignment horizontal="center" vertical="center" wrapText="1"/>
    </xf>
    <xf numFmtId="49" fontId="44" fillId="0" borderId="18" xfId="0" applyNumberFormat="1" applyFont="1" applyBorder="1" applyAlignment="1" applyProtection="1">
      <alignment horizontal="right" vertical="center" wrapText="1"/>
    </xf>
    <xf numFmtId="4" fontId="44" fillId="0" borderId="30" xfId="0" applyNumberFormat="1" applyFont="1" applyBorder="1" applyAlignment="1" applyProtection="1">
      <alignment horizontal="right"/>
    </xf>
    <xf numFmtId="4" fontId="44" fillId="0" borderId="8" xfId="0" applyNumberFormat="1" applyFont="1" applyBorder="1" applyAlignment="1" applyProtection="1">
      <alignment horizontal="right"/>
    </xf>
    <xf numFmtId="49" fontId="44" fillId="0" borderId="21" xfId="0" applyNumberFormat="1" applyFont="1" applyBorder="1" applyAlignment="1" applyProtection="1">
      <alignment horizontal="justify" vertical="center" wrapText="1"/>
    </xf>
    <xf numFmtId="4" fontId="55" fillId="0" borderId="3" xfId="0" applyNumberFormat="1" applyFont="1" applyBorder="1"/>
    <xf numFmtId="4" fontId="55" fillId="0" borderId="8" xfId="0" applyNumberFormat="1" applyFont="1" applyBorder="1"/>
    <xf numFmtId="4" fontId="44" fillId="0" borderId="31" xfId="0" applyNumberFormat="1" applyFont="1" applyBorder="1" applyAlignment="1" applyProtection="1">
      <alignment horizontal="right"/>
    </xf>
    <xf numFmtId="4" fontId="44" fillId="2" borderId="27" xfId="0" applyNumberFormat="1" applyFont="1" applyFill="1" applyBorder="1" applyAlignment="1" applyProtection="1">
      <alignment horizontal="right"/>
    </xf>
    <xf numFmtId="49" fontId="19" fillId="0" borderId="18" xfId="0" applyNumberFormat="1" applyFont="1" applyBorder="1" applyAlignment="1" applyProtection="1">
      <alignment horizontal="justify" vertical="center" wrapText="1"/>
    </xf>
    <xf numFmtId="49" fontId="19" fillId="0" borderId="18" xfId="0" applyNumberFormat="1" applyFont="1" applyBorder="1" applyAlignment="1" applyProtection="1">
      <alignment horizontal="right" vertical="center" wrapText="1"/>
    </xf>
    <xf numFmtId="4" fontId="19" fillId="0" borderId="21" xfId="0" applyNumberFormat="1" applyFont="1" applyBorder="1" applyAlignment="1" applyProtection="1">
      <alignment horizontal="right"/>
    </xf>
    <xf numFmtId="4" fontId="19" fillId="0" borderId="27" xfId="0" applyNumberFormat="1" applyFont="1" applyBorder="1" applyAlignment="1" applyProtection="1">
      <alignment horizontal="right"/>
    </xf>
    <xf numFmtId="164" fontId="56" fillId="0" borderId="18" xfId="0" applyNumberFormat="1" applyFont="1" applyBorder="1" applyAlignment="1" applyProtection="1">
      <alignment horizontal="justify" vertical="center" wrapText="1"/>
    </xf>
    <xf numFmtId="49" fontId="56" fillId="0" borderId="18" xfId="0" applyNumberFormat="1" applyFont="1" applyBorder="1" applyAlignment="1" applyProtection="1">
      <alignment horizontal="center" vertical="center" wrapText="1"/>
    </xf>
    <xf numFmtId="49" fontId="56" fillId="0" borderId="18" xfId="0" applyNumberFormat="1" applyFont="1" applyBorder="1" applyAlignment="1" applyProtection="1">
      <alignment horizontal="right" vertical="center" wrapText="1"/>
    </xf>
    <xf numFmtId="4" fontId="56" fillId="0" borderId="30" xfId="0" applyNumberFormat="1" applyFont="1" applyBorder="1" applyAlignment="1" applyProtection="1">
      <alignment horizontal="right"/>
    </xf>
    <xf numFmtId="4" fontId="56" fillId="0" borderId="27" xfId="0" applyNumberFormat="1" applyFont="1" applyBorder="1" applyAlignment="1" applyProtection="1">
      <alignment horizontal="right"/>
    </xf>
    <xf numFmtId="4" fontId="19" fillId="0" borderId="31" xfId="0" applyNumberFormat="1" applyFont="1" applyBorder="1" applyAlignment="1" applyProtection="1">
      <alignment horizontal="right"/>
    </xf>
    <xf numFmtId="4" fontId="19" fillId="2" borderId="27" xfId="0" applyNumberFormat="1" applyFont="1" applyFill="1" applyBorder="1" applyAlignment="1" applyProtection="1">
      <alignment horizontal="right"/>
    </xf>
    <xf numFmtId="4" fontId="56" fillId="0" borderId="21" xfId="0" applyNumberFormat="1" applyFont="1" applyBorder="1" applyAlignment="1" applyProtection="1">
      <alignment horizontal="right"/>
    </xf>
    <xf numFmtId="4" fontId="19" fillId="2" borderId="8" xfId="0" applyNumberFormat="1" applyFont="1" applyFill="1" applyBorder="1" applyAlignment="1" applyProtection="1">
      <alignment horizontal="right"/>
    </xf>
    <xf numFmtId="49" fontId="56" fillId="0" borderId="18" xfId="0" applyNumberFormat="1" applyFont="1" applyBorder="1" applyAlignment="1" applyProtection="1">
      <alignment horizontal="justify" vertical="center" wrapText="1"/>
    </xf>
    <xf numFmtId="4" fontId="44" fillId="0" borderId="21" xfId="0" applyNumberFormat="1" applyFont="1" applyBorder="1" applyAlignment="1" applyProtection="1">
      <alignment horizontal="right"/>
    </xf>
    <xf numFmtId="4" fontId="44" fillId="2" borderId="8" xfId="0" applyNumberFormat="1" applyFont="1" applyFill="1" applyBorder="1" applyAlignment="1" applyProtection="1">
      <alignment horizontal="right"/>
    </xf>
    <xf numFmtId="4" fontId="19" fillId="0" borderId="8" xfId="0" applyNumberFormat="1" applyFont="1" applyBorder="1" applyAlignment="1" applyProtection="1">
      <alignment horizontal="right"/>
    </xf>
    <xf numFmtId="49" fontId="57" fillId="0" borderId="18" xfId="0" applyNumberFormat="1" applyFont="1" applyBorder="1" applyAlignment="1" applyProtection="1">
      <alignment horizontal="center" vertical="center" wrapText="1"/>
    </xf>
    <xf numFmtId="49" fontId="57" fillId="0" borderId="18" xfId="0" applyNumberFormat="1" applyFont="1" applyBorder="1" applyAlignment="1" applyProtection="1">
      <alignment horizontal="right" vertical="center" wrapText="1"/>
    </xf>
    <xf numFmtId="4" fontId="57" fillId="0" borderId="21" xfId="0" applyNumberFormat="1" applyFont="1" applyBorder="1" applyAlignment="1" applyProtection="1">
      <alignment horizontal="right"/>
    </xf>
    <xf numFmtId="164" fontId="19" fillId="0" borderId="18" xfId="0" applyNumberFormat="1" applyFont="1" applyBorder="1" applyAlignment="1" applyProtection="1">
      <alignment horizontal="justify" vertical="center" wrapText="1"/>
    </xf>
    <xf numFmtId="4" fontId="56" fillId="0" borderId="8" xfId="0" applyNumberFormat="1" applyFont="1" applyBorder="1" applyAlignment="1" applyProtection="1">
      <alignment horizontal="right"/>
    </xf>
    <xf numFmtId="164" fontId="44" fillId="0" borderId="18" xfId="0" applyNumberFormat="1" applyFont="1" applyBorder="1" applyAlignment="1" applyProtection="1">
      <alignment horizontal="justify" vertical="center" wrapText="1"/>
    </xf>
    <xf numFmtId="4" fontId="56" fillId="2" borderId="27" xfId="0" applyNumberFormat="1" applyFont="1" applyFill="1" applyBorder="1" applyAlignment="1" applyProtection="1">
      <alignment horizontal="right"/>
    </xf>
    <xf numFmtId="49" fontId="19" fillId="0" borderId="19" xfId="0" applyNumberFormat="1" applyFont="1" applyBorder="1" applyAlignment="1" applyProtection="1">
      <alignment horizontal="justify" vertical="center" wrapText="1"/>
    </xf>
    <xf numFmtId="49" fontId="56" fillId="0" borderId="27" xfId="0" applyNumberFormat="1" applyFont="1" applyBorder="1" applyAlignment="1" applyProtection="1">
      <alignment horizontal="justify" vertical="center" wrapText="1"/>
    </xf>
    <xf numFmtId="49" fontId="56" fillId="0" borderId="19" xfId="0" applyNumberFormat="1" applyFont="1" applyBorder="1" applyAlignment="1" applyProtection="1">
      <alignment horizontal="center" vertical="center" wrapText="1"/>
    </xf>
    <xf numFmtId="49" fontId="56" fillId="0" borderId="19" xfId="0" applyNumberFormat="1" applyFont="1" applyBorder="1" applyAlignment="1" applyProtection="1">
      <alignment horizontal="right" vertical="center" wrapText="1"/>
    </xf>
    <xf numFmtId="49" fontId="56" fillId="0" borderId="19" xfId="0" applyNumberFormat="1" applyFont="1" applyBorder="1" applyAlignment="1" applyProtection="1">
      <alignment horizontal="justify" vertical="center" wrapText="1"/>
    </xf>
    <xf numFmtId="0" fontId="19" fillId="0" borderId="8" xfId="0" applyFont="1" applyBorder="1" applyAlignment="1">
      <alignment wrapText="1"/>
    </xf>
    <xf numFmtId="49" fontId="56" fillId="0" borderId="5" xfId="0" applyNumberFormat="1" applyFont="1" applyBorder="1" applyAlignment="1" applyProtection="1">
      <alignment horizontal="center" vertical="center" wrapText="1"/>
    </xf>
    <xf numFmtId="49" fontId="56" fillId="0" borderId="8" xfId="0" applyNumberFormat="1" applyFont="1" applyBorder="1" applyAlignment="1" applyProtection="1">
      <alignment horizontal="center" vertical="center" wrapText="1"/>
    </xf>
    <xf numFmtId="49" fontId="19" fillId="0" borderId="8" xfId="0" applyNumberFormat="1" applyFont="1" applyBorder="1" applyAlignment="1" applyProtection="1">
      <alignment horizontal="center" vertical="center" wrapText="1"/>
    </xf>
    <xf numFmtId="49" fontId="56" fillId="0" borderId="8" xfId="0" applyNumberFormat="1" applyFont="1" applyBorder="1" applyAlignment="1" applyProtection="1">
      <alignment horizontal="right" vertical="center" wrapText="1"/>
    </xf>
    <xf numFmtId="49" fontId="56" fillId="0" borderId="8" xfId="0" applyNumberFormat="1" applyFont="1" applyBorder="1" applyAlignment="1" applyProtection="1">
      <alignment horizontal="justify" vertical="center" wrapText="1"/>
    </xf>
    <xf numFmtId="4" fontId="56" fillId="0" borderId="3" xfId="0" applyNumberFormat="1" applyFont="1" applyBorder="1" applyAlignment="1" applyProtection="1">
      <alignment horizontal="right"/>
    </xf>
    <xf numFmtId="0" fontId="56" fillId="0" borderId="8" xfId="0" applyFont="1" applyBorder="1" applyAlignment="1">
      <alignment wrapText="1"/>
    </xf>
    <xf numFmtId="4" fontId="56" fillId="2" borderId="8" xfId="0" applyNumberFormat="1" applyFont="1" applyFill="1" applyBorder="1" applyAlignment="1" applyProtection="1">
      <alignment horizontal="right"/>
    </xf>
    <xf numFmtId="49" fontId="44" fillId="0" borderId="20" xfId="0" applyNumberFormat="1" applyFont="1" applyBorder="1" applyAlignment="1" applyProtection="1">
      <alignment horizontal="justify" vertical="center" wrapText="1"/>
    </xf>
    <xf numFmtId="49" fontId="44" fillId="0" borderId="20" xfId="0" applyNumberFormat="1" applyFont="1" applyBorder="1" applyAlignment="1" applyProtection="1">
      <alignment horizontal="center" vertical="center" wrapText="1"/>
    </xf>
    <xf numFmtId="49" fontId="44" fillId="0" borderId="20" xfId="0" applyNumberFormat="1" applyFont="1" applyBorder="1" applyAlignment="1" applyProtection="1">
      <alignment horizontal="right" vertical="center" wrapText="1"/>
    </xf>
    <xf numFmtId="49" fontId="44" fillId="0" borderId="19" xfId="0" applyNumberFormat="1" applyFont="1" applyBorder="1" applyAlignment="1" applyProtection="1">
      <alignment horizontal="justify" vertical="center" wrapText="1"/>
    </xf>
    <xf numFmtId="49" fontId="19" fillId="0" borderId="22" xfId="0" applyNumberFormat="1" applyFont="1" applyBorder="1" applyAlignment="1" applyProtection="1">
      <alignment horizontal="center" vertical="center" wrapText="1"/>
    </xf>
    <xf numFmtId="49" fontId="19" fillId="0" borderId="20" xfId="0" applyNumberFormat="1" applyFont="1" applyBorder="1" applyAlignment="1" applyProtection="1">
      <alignment horizontal="justify" vertical="center" wrapText="1"/>
    </xf>
    <xf numFmtId="49" fontId="57" fillId="0" borderId="18" xfId="0" applyNumberFormat="1" applyFont="1" applyBorder="1" applyAlignment="1" applyProtection="1">
      <alignment horizontal="justify" vertical="center" wrapText="1"/>
    </xf>
    <xf numFmtId="49" fontId="19" fillId="0" borderId="19" xfId="0" applyNumberFormat="1" applyFont="1" applyBorder="1" applyAlignment="1" applyProtection="1">
      <alignment horizontal="center" vertical="center" wrapText="1"/>
    </xf>
    <xf numFmtId="4" fontId="56" fillId="2" borderId="35" xfId="0" applyNumberFormat="1" applyFont="1" applyFill="1" applyBorder="1" applyAlignment="1" applyProtection="1">
      <alignment horizontal="right"/>
    </xf>
    <xf numFmtId="0" fontId="9" fillId="0" borderId="8" xfId="0" applyFont="1" applyFill="1" applyBorder="1" applyAlignment="1">
      <alignment wrapText="1"/>
    </xf>
    <xf numFmtId="49" fontId="56" fillId="0" borderId="27" xfId="0" applyNumberFormat="1" applyFont="1" applyBorder="1" applyAlignment="1" applyProtection="1">
      <alignment horizontal="center" vertical="center" wrapText="1"/>
    </xf>
    <xf numFmtId="49" fontId="19" fillId="0" borderId="27" xfId="0" applyNumberFormat="1" applyFont="1" applyBorder="1" applyAlignment="1" applyProtection="1">
      <alignment horizontal="center" vertical="center" wrapText="1"/>
    </xf>
    <xf numFmtId="49" fontId="56" fillId="0" borderId="39" xfId="0" applyNumberFormat="1" applyFont="1" applyBorder="1" applyAlignment="1" applyProtection="1">
      <alignment horizontal="center" vertical="center" wrapText="1"/>
    </xf>
    <xf numFmtId="49" fontId="56" fillId="0" borderId="39" xfId="0" applyNumberFormat="1" applyFont="1" applyBorder="1" applyAlignment="1" applyProtection="1">
      <alignment horizontal="right" vertical="center" wrapText="1"/>
    </xf>
    <xf numFmtId="49" fontId="56" fillId="0" borderId="39" xfId="0" applyNumberFormat="1" applyFont="1" applyBorder="1" applyAlignment="1" applyProtection="1">
      <alignment horizontal="justify" vertical="center" wrapText="1"/>
    </xf>
    <xf numFmtId="4" fontId="56" fillId="0" borderId="39" xfId="0" applyNumberFormat="1" applyFont="1" applyBorder="1" applyAlignment="1" applyProtection="1">
      <alignment horizontal="right"/>
    </xf>
    <xf numFmtId="49" fontId="19" fillId="0" borderId="8" xfId="0" applyNumberFormat="1" applyFont="1" applyBorder="1" applyAlignment="1" applyProtection="1">
      <alignment horizontal="justify" vertical="center" wrapText="1"/>
    </xf>
    <xf numFmtId="49" fontId="56" fillId="0" borderId="27" xfId="0" applyNumberFormat="1" applyFont="1" applyBorder="1" applyAlignment="1" applyProtection="1">
      <alignment horizontal="right" vertical="center" wrapText="1"/>
    </xf>
    <xf numFmtId="0" fontId="19" fillId="0" borderId="16" xfId="0" applyFont="1" applyBorder="1" applyAlignment="1">
      <alignment wrapText="1"/>
    </xf>
    <xf numFmtId="49" fontId="56" fillId="0" borderId="36" xfId="0" applyNumberFormat="1" applyFont="1" applyBorder="1" applyAlignment="1" applyProtection="1">
      <alignment horizontal="center" vertical="center" wrapText="1"/>
    </xf>
    <xf numFmtId="49" fontId="56" fillId="0" borderId="37" xfId="0" applyNumberFormat="1" applyFont="1" applyBorder="1" applyAlignment="1" applyProtection="1">
      <alignment horizontal="center" vertical="center" wrapText="1"/>
    </xf>
    <xf numFmtId="49" fontId="56" fillId="0" borderId="20" xfId="0" applyNumberFormat="1" applyFont="1" applyBorder="1" applyAlignment="1" applyProtection="1">
      <alignment horizontal="center" vertical="center" wrapText="1"/>
    </xf>
    <xf numFmtId="49" fontId="56" fillId="0" borderId="20" xfId="0" applyNumberFormat="1" applyFont="1" applyBorder="1" applyAlignment="1" applyProtection="1">
      <alignment horizontal="right" vertical="center" wrapText="1"/>
    </xf>
    <xf numFmtId="49" fontId="56" fillId="0" borderId="20" xfId="0" applyNumberFormat="1" applyFont="1" applyBorder="1" applyAlignment="1" applyProtection="1">
      <alignment horizontal="justify" vertical="center" wrapText="1"/>
    </xf>
    <xf numFmtId="4" fontId="56" fillId="0" borderId="31" xfId="0" applyNumberFormat="1" applyFont="1" applyBorder="1" applyAlignment="1" applyProtection="1">
      <alignment horizontal="right"/>
    </xf>
    <xf numFmtId="4" fontId="56" fillId="2" borderId="36" xfId="0" applyNumberFormat="1" applyFont="1" applyFill="1" applyBorder="1" applyAlignment="1" applyProtection="1">
      <alignment horizontal="right"/>
    </xf>
    <xf numFmtId="49" fontId="56" fillId="0" borderId="22" xfId="0" applyNumberFormat="1" applyFont="1" applyBorder="1" applyAlignment="1" applyProtection="1">
      <alignment horizontal="center" vertical="center" wrapText="1"/>
    </xf>
    <xf numFmtId="0" fontId="19" fillId="0" borderId="0" xfId="0" applyFont="1" applyAlignment="1">
      <alignment horizontal="justify" vertical="center"/>
    </xf>
    <xf numFmtId="4" fontId="44" fillId="0" borderId="27" xfId="0" applyNumberFormat="1" applyFont="1" applyBorder="1" applyAlignment="1" applyProtection="1">
      <alignment horizontal="right"/>
    </xf>
    <xf numFmtId="0" fontId="19" fillId="0" borderId="8" xfId="0" applyFont="1" applyBorder="1" applyAlignment="1">
      <alignment horizontal="justify" vertical="center" wrapText="1"/>
    </xf>
    <xf numFmtId="49" fontId="9" fillId="0" borderId="18" xfId="0" applyNumberFormat="1" applyFont="1" applyBorder="1" applyAlignment="1" applyProtection="1">
      <alignment horizontal="center" vertical="center" wrapText="1"/>
    </xf>
    <xf numFmtId="0" fontId="9" fillId="0" borderId="8" xfId="0" applyFont="1" applyBorder="1" applyAlignment="1">
      <alignment vertical="top" wrapText="1"/>
    </xf>
    <xf numFmtId="4" fontId="57" fillId="0" borderId="8" xfId="0" applyNumberFormat="1" applyFont="1" applyBorder="1" applyAlignment="1" applyProtection="1">
      <alignment horizontal="right"/>
    </xf>
    <xf numFmtId="0" fontId="28" fillId="0" borderId="0" xfId="0" applyFont="1" applyAlignment="1">
      <alignment wrapText="1"/>
    </xf>
    <xf numFmtId="0" fontId="28" fillId="0" borderId="0" xfId="0" applyFont="1" applyAlignment="1">
      <alignment horizontal="justify" vertical="center"/>
    </xf>
    <xf numFmtId="49" fontId="19" fillId="0" borderId="27" xfId="0" applyNumberFormat="1" applyFont="1" applyBorder="1" applyAlignment="1" applyProtection="1">
      <alignment horizontal="justify" vertical="center" wrapText="1"/>
    </xf>
    <xf numFmtId="0" fontId="9" fillId="0" borderId="0" xfId="0" applyFont="1" applyFill="1" applyBorder="1" applyAlignment="1">
      <alignment wrapText="1"/>
    </xf>
    <xf numFmtId="49" fontId="44" fillId="0" borderId="8" xfId="0" applyNumberFormat="1" applyFont="1" applyBorder="1" applyAlignment="1" applyProtection="1">
      <alignment horizontal="justify" vertical="center" wrapText="1"/>
    </xf>
    <xf numFmtId="49" fontId="44" fillId="0" borderId="22" xfId="0" applyNumberFormat="1" applyFont="1" applyBorder="1" applyAlignment="1" applyProtection="1">
      <alignment horizontal="center" vertical="center" wrapText="1"/>
    </xf>
    <xf numFmtId="0" fontId="19" fillId="0" borderId="28" xfId="0" applyFont="1" applyBorder="1" applyAlignment="1">
      <alignment horizontal="justify" vertical="center" wrapText="1"/>
    </xf>
    <xf numFmtId="164" fontId="19" fillId="0" borderId="20" xfId="0" applyNumberFormat="1" applyFont="1" applyBorder="1" applyAlignment="1" applyProtection="1">
      <alignment horizontal="justify" vertical="center" wrapText="1"/>
    </xf>
    <xf numFmtId="0" fontId="19" fillId="0" borderId="23" xfId="0" applyFont="1" applyBorder="1" applyAlignment="1">
      <alignment horizontal="justify" vertical="center" wrapText="1"/>
    </xf>
    <xf numFmtId="0" fontId="8" fillId="0" borderId="8" xfId="0" applyFont="1" applyBorder="1" applyAlignment="1">
      <alignment vertical="top" wrapText="1"/>
    </xf>
    <xf numFmtId="49" fontId="37" fillId="0" borderId="8" xfId="0" applyNumberFormat="1" applyFont="1" applyBorder="1" applyAlignment="1">
      <alignment horizontal="center" wrapText="1"/>
    </xf>
    <xf numFmtId="4" fontId="57" fillId="0" borderId="27" xfId="0" applyNumberFormat="1" applyFont="1" applyBorder="1" applyAlignment="1" applyProtection="1">
      <alignment horizontal="right"/>
    </xf>
    <xf numFmtId="0" fontId="1" fillId="0" borderId="0" xfId="0" applyFont="1" applyAlignment="1">
      <alignment horizontal="right" vertical="center"/>
    </xf>
    <xf numFmtId="0" fontId="2" fillId="0" borderId="0" xfId="0" applyFont="1" applyAlignment="1">
      <alignment vertical="center"/>
    </xf>
    <xf numFmtId="0" fontId="32" fillId="0" borderId="8" xfId="0" applyFont="1" applyBorder="1" applyAlignment="1">
      <alignment horizontal="center" vertical="center" wrapText="1"/>
    </xf>
    <xf numFmtId="0" fontId="8" fillId="0" borderId="8" xfId="0" applyFont="1" applyBorder="1" applyAlignment="1">
      <alignment vertical="center" wrapText="1"/>
    </xf>
    <xf numFmtId="0" fontId="32"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Border="1" applyAlignment="1">
      <alignment horizontal="left" vertical="center" wrapText="1"/>
    </xf>
    <xf numFmtId="49" fontId="32" fillId="0" borderId="8" xfId="0" applyNumberFormat="1" applyFont="1" applyBorder="1" applyAlignment="1">
      <alignment horizontal="center" vertical="center" wrapText="1"/>
    </xf>
    <xf numFmtId="0" fontId="32" fillId="0" borderId="8" xfId="0" applyFont="1" applyBorder="1" applyAlignment="1">
      <alignment horizontal="justify" vertical="center" wrapText="1"/>
    </xf>
    <xf numFmtId="49" fontId="8" fillId="0" borderId="8" xfId="0" applyNumberFormat="1" applyFont="1" applyBorder="1" applyAlignment="1">
      <alignment horizontal="center" vertical="center" wrapText="1"/>
    </xf>
    <xf numFmtId="0" fontId="24" fillId="0" borderId="8" xfId="0" applyFont="1" applyBorder="1" applyAlignment="1">
      <alignment horizontal="justify" vertical="center"/>
    </xf>
    <xf numFmtId="0" fontId="24" fillId="0" borderId="8" xfId="0" applyFont="1" applyBorder="1" applyAlignment="1">
      <alignment wrapText="1"/>
    </xf>
    <xf numFmtId="0" fontId="8" fillId="0" borderId="2" xfId="0" applyFont="1" applyBorder="1" applyAlignment="1">
      <alignment vertical="top" wrapText="1"/>
    </xf>
    <xf numFmtId="164" fontId="8" fillId="0" borderId="8" xfId="0" applyNumberFormat="1" applyFont="1" applyBorder="1" applyAlignment="1">
      <alignment horizontal="left" wrapText="1"/>
    </xf>
    <xf numFmtId="49" fontId="32" fillId="0" borderId="8" xfId="0" applyNumberFormat="1" applyFont="1" applyBorder="1" applyAlignment="1">
      <alignment horizontal="center" vertical="center"/>
    </xf>
    <xf numFmtId="0" fontId="8" fillId="0" borderId="8" xfId="0" applyFont="1" applyBorder="1" applyAlignment="1">
      <alignment horizontal="left"/>
    </xf>
    <xf numFmtId="0" fontId="32" fillId="0" borderId="8" xfId="0" applyFont="1" applyBorder="1" applyAlignment="1">
      <alignment horizontal="left"/>
    </xf>
    <xf numFmtId="49" fontId="8" fillId="0" borderId="8" xfId="0" applyNumberFormat="1" applyFont="1" applyBorder="1" applyAlignment="1">
      <alignment horizontal="center" vertical="center"/>
    </xf>
    <xf numFmtId="0" fontId="8" fillId="0" borderId="8" xfId="0" applyFont="1" applyBorder="1" applyAlignment="1">
      <alignment horizontal="left" wrapText="1"/>
    </xf>
    <xf numFmtId="49" fontId="37" fillId="0" borderId="8" xfId="0" applyNumberFormat="1" applyFont="1" applyBorder="1" applyAlignment="1">
      <alignment horizontal="center" wrapText="1"/>
    </xf>
    <xf numFmtId="49" fontId="12" fillId="0" borderId="8" xfId="0" applyNumberFormat="1" applyFont="1" applyBorder="1" applyAlignment="1">
      <alignment horizontal="left" wrapText="1"/>
    </xf>
    <xf numFmtId="164" fontId="58" fillId="0" borderId="18" xfId="0" applyNumberFormat="1" applyFont="1" applyBorder="1" applyAlignment="1" applyProtection="1">
      <alignment horizontal="justify" vertical="center" wrapText="1"/>
    </xf>
    <xf numFmtId="49" fontId="37" fillId="0" borderId="8" xfId="0" applyNumberFormat="1" applyFont="1" applyBorder="1" applyAlignment="1">
      <alignment horizontal="center" wrapText="1"/>
    </xf>
    <xf numFmtId="49" fontId="44" fillId="0" borderId="18" xfId="0" applyNumberFormat="1" applyFont="1" applyBorder="1" applyAlignment="1" applyProtection="1">
      <alignment horizontal="center" vertical="center" wrapText="1"/>
    </xf>
    <xf numFmtId="49" fontId="56" fillId="0" borderId="29" xfId="0" applyNumberFormat="1" applyFont="1" applyBorder="1" applyAlignment="1" applyProtection="1">
      <alignment horizontal="center" vertical="center" wrapText="1"/>
    </xf>
    <xf numFmtId="0" fontId="56" fillId="0" borderId="8" xfId="0" applyFont="1" applyBorder="1" applyAlignment="1">
      <alignment horizontal="left" wrapText="1"/>
    </xf>
    <xf numFmtId="0" fontId="59" fillId="0" borderId="8" xfId="0" applyFont="1" applyFill="1" applyBorder="1" applyAlignment="1">
      <alignment wrapText="1"/>
    </xf>
    <xf numFmtId="49" fontId="40" fillId="0" borderId="8" xfId="0" applyNumberFormat="1" applyFont="1" applyBorder="1" applyAlignment="1">
      <alignment horizontal="left" vertical="center" wrapText="1"/>
    </xf>
    <xf numFmtId="49" fontId="44" fillId="0" borderId="18" xfId="0" applyNumberFormat="1" applyFont="1" applyBorder="1" applyAlignment="1" applyProtection="1">
      <alignment horizontal="center" vertical="center" wrapText="1"/>
    </xf>
    <xf numFmtId="49" fontId="53" fillId="0" borderId="18" xfId="0" applyNumberFormat="1" applyFont="1" applyBorder="1" applyAlignment="1" applyProtection="1">
      <alignment horizontal="justify" vertical="center" wrapText="1"/>
    </xf>
    <xf numFmtId="49" fontId="53" fillId="0" borderId="18" xfId="0" applyNumberFormat="1" applyFont="1" applyBorder="1" applyAlignment="1" applyProtection="1">
      <alignment horizontal="right" vertical="center" wrapText="1"/>
    </xf>
    <xf numFmtId="4" fontId="53" fillId="0" borderId="21" xfId="0" applyNumberFormat="1" applyFont="1" applyBorder="1" applyAlignment="1" applyProtection="1">
      <alignment horizontal="right"/>
    </xf>
    <xf numFmtId="4" fontId="53" fillId="0" borderId="27" xfId="0" applyNumberFormat="1" applyFont="1" applyBorder="1" applyAlignment="1" applyProtection="1">
      <alignment horizontal="right"/>
    </xf>
    <xf numFmtId="49" fontId="46" fillId="0" borderId="8" xfId="0" applyNumberFormat="1" applyFont="1" applyBorder="1" applyAlignment="1">
      <alignment horizontal="center" wrapText="1"/>
    </xf>
    <xf numFmtId="4" fontId="57" fillId="2" borderId="27" xfId="0" applyNumberFormat="1" applyFont="1" applyFill="1" applyBorder="1" applyAlignment="1" applyProtection="1">
      <alignment horizontal="right"/>
    </xf>
    <xf numFmtId="0" fontId="53" fillId="0" borderId="8" xfId="0" applyFont="1" applyBorder="1" applyAlignment="1">
      <alignment horizontal="justify" vertical="center" wrapText="1"/>
    </xf>
    <xf numFmtId="49" fontId="57" fillId="0" borderId="27" xfId="0" applyNumberFormat="1" applyFont="1" applyBorder="1" applyAlignment="1" applyProtection="1">
      <alignment horizontal="center" vertical="center" wrapText="1"/>
    </xf>
    <xf numFmtId="49" fontId="53" fillId="0" borderId="27" xfId="0" applyNumberFormat="1" applyFont="1" applyBorder="1" applyAlignment="1" applyProtection="1">
      <alignment horizontal="center" vertical="center" wrapText="1"/>
    </xf>
    <xf numFmtId="49" fontId="57" fillId="0" borderId="22" xfId="0" applyNumberFormat="1" applyFont="1" applyBorder="1" applyAlignment="1" applyProtection="1">
      <alignment horizontal="center" vertical="center" wrapText="1"/>
    </xf>
    <xf numFmtId="0" fontId="53" fillId="0" borderId="28" xfId="0" applyFont="1" applyBorder="1" applyAlignment="1">
      <alignment horizontal="justify" vertical="center" wrapText="1"/>
    </xf>
    <xf numFmtId="0" fontId="19" fillId="0" borderId="8" xfId="0" applyFont="1" applyBorder="1" applyAlignment="1">
      <alignment vertical="top" wrapText="1"/>
    </xf>
    <xf numFmtId="0" fontId="53" fillId="0" borderId="8" xfId="0" applyFont="1" applyBorder="1" applyAlignment="1">
      <alignment vertical="top" wrapText="1"/>
    </xf>
    <xf numFmtId="49" fontId="60" fillId="0" borderId="18" xfId="0" applyNumberFormat="1" applyFont="1" applyBorder="1" applyAlignment="1" applyProtection="1">
      <alignment horizontal="center" vertical="center" wrapText="1"/>
    </xf>
    <xf numFmtId="49" fontId="60" fillId="0" borderId="18" xfId="0" applyNumberFormat="1" applyFont="1" applyBorder="1" applyAlignment="1" applyProtection="1">
      <alignment horizontal="right" vertical="center" wrapText="1"/>
    </xf>
    <xf numFmtId="49" fontId="60" fillId="0" borderId="18" xfId="0" applyNumberFormat="1" applyFont="1" applyBorder="1" applyAlignment="1" applyProtection="1">
      <alignment horizontal="justify" vertical="center" wrapText="1"/>
    </xf>
    <xf numFmtId="4" fontId="60" fillId="0" borderId="21" xfId="0" applyNumberFormat="1" applyFont="1" applyBorder="1" applyAlignment="1" applyProtection="1">
      <alignment horizontal="right"/>
    </xf>
    <xf numFmtId="4" fontId="53" fillId="2" borderId="8" xfId="0" applyNumberFormat="1" applyFont="1" applyFill="1" applyBorder="1" applyAlignment="1" applyProtection="1">
      <alignment horizontal="right"/>
    </xf>
    <xf numFmtId="49" fontId="53" fillId="0" borderId="20" xfId="0" applyNumberFormat="1" applyFont="1" applyBorder="1" applyAlignment="1" applyProtection="1">
      <alignment horizontal="justify" vertical="center" wrapText="1"/>
    </xf>
    <xf numFmtId="0" fontId="1" fillId="0" borderId="0" xfId="0" applyFont="1" applyAlignment="1">
      <alignment horizontal="center" vertical="center" wrapText="1"/>
    </xf>
    <xf numFmtId="0" fontId="1" fillId="0" borderId="8" xfId="0" applyFont="1" applyBorder="1" applyAlignment="1">
      <alignment horizontal="center"/>
    </xf>
    <xf numFmtId="0" fontId="8" fillId="0" borderId="8" xfId="0" applyFont="1" applyBorder="1" applyAlignment="1">
      <alignment horizontal="center"/>
    </xf>
    <xf numFmtId="0" fontId="8" fillId="0" borderId="0" xfId="0" applyFont="1"/>
    <xf numFmtId="49" fontId="8" fillId="0" borderId="8" xfId="0" applyNumberFormat="1" applyFont="1" applyBorder="1" applyAlignment="1">
      <alignment horizontal="center"/>
    </xf>
    <xf numFmtId="0" fontId="32" fillId="0" borderId="8" xfId="0" applyFont="1" applyBorder="1" applyAlignment="1">
      <alignment wrapText="1"/>
    </xf>
    <xf numFmtId="0" fontId="47" fillId="2" borderId="0" xfId="0" applyFont="1" applyFill="1" applyAlignment="1">
      <alignment horizontal="justify" vertical="center"/>
    </xf>
    <xf numFmtId="49" fontId="57" fillId="0" borderId="18" xfId="0" applyNumberFormat="1" applyFont="1" applyBorder="1" applyAlignment="1" applyProtection="1">
      <alignment horizontal="center" vertical="center"/>
    </xf>
    <xf numFmtId="4" fontId="53" fillId="2" borderId="27" xfId="0" applyNumberFormat="1" applyFont="1" applyFill="1" applyBorder="1" applyAlignment="1" applyProtection="1">
      <alignment horizontal="right"/>
    </xf>
    <xf numFmtId="164" fontId="57" fillId="0" borderId="18" xfId="0" applyNumberFormat="1" applyFont="1" applyBorder="1" applyAlignment="1" applyProtection="1">
      <alignment horizontal="justify" vertical="center" wrapText="1"/>
    </xf>
    <xf numFmtId="0" fontId="0" fillId="0" borderId="0" xfId="0" applyAlignment="1">
      <alignment horizontal="center"/>
    </xf>
    <xf numFmtId="49" fontId="0" fillId="0" borderId="8" xfId="0" applyNumberFormat="1" applyBorder="1" applyAlignment="1">
      <alignment horizontal="center" wrapText="1"/>
    </xf>
    <xf numFmtId="49" fontId="0" fillId="0" borderId="0" xfId="0" applyNumberFormat="1" applyBorder="1" applyAlignment="1">
      <alignment wrapText="1"/>
    </xf>
    <xf numFmtId="49" fontId="0" fillId="0" borderId="8" xfId="0" applyNumberFormat="1" applyBorder="1" applyAlignment="1">
      <alignment wrapText="1"/>
    </xf>
    <xf numFmtId="49" fontId="0" fillId="0" borderId="13" xfId="0" applyNumberFormat="1" applyBorder="1" applyAlignment="1">
      <alignment wrapText="1"/>
    </xf>
    <xf numFmtId="49" fontId="0" fillId="0" borderId="2" xfId="0" applyNumberFormat="1" applyBorder="1" applyAlignment="1">
      <alignment wrapText="1"/>
    </xf>
    <xf numFmtId="164" fontId="53" fillId="0" borderId="18" xfId="0" applyNumberFormat="1" applyFont="1" applyBorder="1" applyAlignment="1" applyProtection="1">
      <alignment horizontal="justify" vertical="center" wrapText="1"/>
    </xf>
    <xf numFmtId="0" fontId="1" fillId="0" borderId="0" xfId="0" applyFont="1" applyAlignment="1">
      <alignment horizontal="left" wrapText="1"/>
    </xf>
    <xf numFmtId="0" fontId="1" fillId="0" borderId="0" xfId="0" applyFont="1" applyAlignment="1">
      <alignment horizontal="center" vertical="center" wrapText="1"/>
    </xf>
    <xf numFmtId="0" fontId="32" fillId="0" borderId="8" xfId="0" applyFont="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1" fillId="0" borderId="0" xfId="0" applyFont="1" applyAlignment="1">
      <alignment horizontal="center" wrapText="1"/>
    </xf>
    <xf numFmtId="0" fontId="1" fillId="0" borderId="2" xfId="0" applyFont="1" applyBorder="1" applyAlignment="1">
      <alignment horizontal="center"/>
    </xf>
    <xf numFmtId="0" fontId="1" fillId="0" borderId="16" xfId="0" applyFont="1" applyBorder="1" applyAlignment="1">
      <alignment horizontal="center"/>
    </xf>
    <xf numFmtId="0" fontId="1" fillId="0" borderId="2" xfId="0" applyFont="1" applyBorder="1" applyAlignment="1">
      <alignment horizontal="center" wrapText="1"/>
    </xf>
    <xf numFmtId="0" fontId="1" fillId="0" borderId="16" xfId="0" applyFont="1" applyBorder="1" applyAlignment="1">
      <alignment horizontal="center" wrapText="1"/>
    </xf>
    <xf numFmtId="0" fontId="1" fillId="0" borderId="8" xfId="0" applyFont="1" applyFill="1" applyBorder="1" applyAlignment="1">
      <alignment horizontal="center"/>
    </xf>
    <xf numFmtId="0" fontId="7" fillId="0" borderId="0" xfId="0" applyFont="1" applyAlignment="1">
      <alignment horizontal="center"/>
    </xf>
    <xf numFmtId="0" fontId="1" fillId="0" borderId="3" xfId="0" applyFont="1" applyFill="1" applyBorder="1" applyAlignment="1">
      <alignment horizontal="center"/>
    </xf>
    <xf numFmtId="0" fontId="1" fillId="0" borderId="5" xfId="0" applyFont="1" applyFill="1" applyBorder="1" applyAlignment="1">
      <alignment horizontal="center"/>
    </xf>
    <xf numFmtId="4" fontId="1" fillId="0" borderId="3" xfId="0" applyNumberFormat="1" applyFont="1" applyFill="1" applyBorder="1" applyAlignment="1">
      <alignment horizontal="center"/>
    </xf>
    <xf numFmtId="4" fontId="1" fillId="0" borderId="5" xfId="0" applyNumberFormat="1" applyFont="1" applyFill="1" applyBorder="1" applyAlignment="1">
      <alignment horizontal="center"/>
    </xf>
    <xf numFmtId="0" fontId="6" fillId="0" borderId="0" xfId="0" applyFont="1" applyAlignment="1">
      <alignment horizontal="center"/>
    </xf>
    <xf numFmtId="4" fontId="6" fillId="0" borderId="0" xfId="0" applyNumberFormat="1" applyFont="1" applyAlignment="1">
      <alignment horizontal="center"/>
    </xf>
    <xf numFmtId="4" fontId="12" fillId="0" borderId="0" xfId="0" applyNumberFormat="1" applyFont="1" applyAlignment="1">
      <alignment horizontal="center"/>
    </xf>
    <xf numFmtId="49" fontId="46" fillId="0" borderId="3" xfId="0" applyNumberFormat="1" applyFont="1" applyBorder="1" applyAlignment="1">
      <alignment horizontal="center" wrapText="1"/>
    </xf>
    <xf numFmtId="49" fontId="46" fillId="0" borderId="5" xfId="0" applyNumberFormat="1" applyFont="1" applyBorder="1" applyAlignment="1">
      <alignment horizontal="center" wrapText="1"/>
    </xf>
    <xf numFmtId="49" fontId="37" fillId="0" borderId="8" xfId="0" applyNumberFormat="1" applyFont="1" applyBorder="1" applyAlignment="1">
      <alignment horizontal="center" wrapText="1"/>
    </xf>
    <xf numFmtId="49" fontId="37" fillId="0" borderId="3" xfId="0" applyNumberFormat="1" applyFont="1" applyBorder="1" applyAlignment="1">
      <alignment horizontal="center" wrapText="1"/>
    </xf>
    <xf numFmtId="49" fontId="37" fillId="0" borderId="5" xfId="0" applyNumberFormat="1" applyFont="1" applyBorder="1" applyAlignment="1">
      <alignment horizontal="center" wrapText="1"/>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39" fillId="0" borderId="11" xfId="0" applyNumberFormat="1" applyFont="1" applyBorder="1" applyAlignment="1">
      <alignment horizontal="center" wrapText="1"/>
    </xf>
    <xf numFmtId="49" fontId="39" fillId="0" borderId="12" xfId="0" applyNumberFormat="1" applyFont="1" applyBorder="1" applyAlignment="1">
      <alignment horizontal="center" wrapText="1"/>
    </xf>
    <xf numFmtId="164" fontId="18" fillId="0" borderId="0" xfId="0" applyNumberFormat="1" applyFont="1" applyBorder="1" applyAlignment="1" applyProtection="1">
      <alignment horizontal="left" vertical="center" wrapText="1"/>
    </xf>
    <xf numFmtId="49" fontId="20" fillId="0" borderId="18" xfId="0" applyNumberFormat="1" applyFont="1" applyBorder="1" applyAlignment="1" applyProtection="1">
      <alignment horizontal="center" vertical="center" wrapText="1"/>
    </xf>
    <xf numFmtId="49" fontId="20" fillId="0" borderId="8" xfId="0" applyNumberFormat="1" applyFont="1" applyBorder="1" applyAlignment="1" applyProtection="1">
      <alignment horizontal="center" vertical="center" wrapText="1"/>
    </xf>
    <xf numFmtId="164" fontId="44" fillId="0" borderId="21" xfId="0" applyNumberFormat="1" applyFont="1" applyBorder="1" applyAlignment="1" applyProtection="1">
      <alignment horizontal="center" vertical="center" wrapText="1"/>
    </xf>
    <xf numFmtId="164" fontId="18" fillId="0" borderId="0" xfId="0" applyNumberFormat="1" applyFont="1" applyBorder="1" applyAlignment="1" applyProtection="1">
      <alignment horizontal="center" vertical="center" wrapText="1"/>
    </xf>
    <xf numFmtId="164" fontId="32" fillId="0" borderId="0" xfId="0" applyNumberFormat="1" applyFont="1" applyBorder="1" applyAlignment="1" applyProtection="1">
      <alignment horizontal="center" vertical="center" wrapText="1"/>
    </xf>
    <xf numFmtId="164" fontId="44" fillId="0" borderId="8" xfId="0" applyNumberFormat="1" applyFont="1" applyBorder="1" applyAlignment="1" applyProtection="1">
      <alignment horizontal="center" vertical="center" wrapText="1"/>
    </xf>
    <xf numFmtId="164" fontId="32" fillId="0" borderId="5" xfId="0" applyNumberFormat="1" applyFont="1" applyBorder="1" applyAlignment="1" applyProtection="1">
      <alignment horizontal="center" vertical="center" wrapText="1"/>
    </xf>
    <xf numFmtId="164" fontId="44" fillId="0" borderId="18" xfId="0" applyNumberFormat="1" applyFont="1" applyBorder="1" applyAlignment="1" applyProtection="1">
      <alignment horizontal="center" vertical="center" wrapText="1"/>
    </xf>
    <xf numFmtId="49" fontId="44" fillId="0" borderId="18"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0" xfId="0" applyFont="1" applyAlignment="1">
      <alignment horizontal="right"/>
    </xf>
    <xf numFmtId="0" fontId="1" fillId="0" borderId="2"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2"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5" xfId="0" applyFont="1" applyFill="1" applyBorder="1" applyAlignment="1">
      <alignment horizontal="left" wrapText="1"/>
    </xf>
    <xf numFmtId="14" fontId="1" fillId="0" borderId="2" xfId="0" applyNumberFormat="1" applyFont="1" applyFill="1" applyBorder="1" applyAlignment="1">
      <alignment horizontal="right" wrapText="1"/>
    </xf>
    <xf numFmtId="14" fontId="1" fillId="0" borderId="15" xfId="0" applyNumberFormat="1" applyFont="1" applyFill="1" applyBorder="1" applyAlignment="1">
      <alignment horizontal="right" wrapText="1"/>
    </xf>
    <xf numFmtId="0" fontId="1" fillId="0" borderId="16" xfId="0" applyFont="1" applyFill="1" applyBorder="1" applyAlignment="1">
      <alignment horizontal="right" wrapText="1"/>
    </xf>
    <xf numFmtId="0" fontId="1" fillId="0" borderId="2" xfId="0" applyFont="1" applyFill="1" applyBorder="1" applyAlignment="1">
      <alignment horizontal="right" wrapText="1"/>
    </xf>
    <xf numFmtId="0" fontId="1" fillId="0" borderId="15" xfId="0" applyFont="1" applyFill="1" applyBorder="1" applyAlignment="1">
      <alignment horizontal="right" wrapText="1"/>
    </xf>
    <xf numFmtId="0" fontId="1" fillId="0" borderId="0" xfId="0" applyFont="1" applyFill="1" applyAlignment="1">
      <alignment horizontal="right"/>
    </xf>
    <xf numFmtId="0" fontId="1" fillId="0" borderId="0" xfId="0" applyFont="1" applyFill="1" applyAlignment="1">
      <alignment horizontal="center" wrapText="1"/>
    </xf>
    <xf numFmtId="0" fontId="1" fillId="0" borderId="2" xfId="0" applyFon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7" xfId="0" applyFont="1" applyFill="1" applyBorder="1" applyAlignment="1">
      <alignment horizontal="center" wrapText="1"/>
    </xf>
    <xf numFmtId="0" fontId="1" fillId="0" borderId="4"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9" fillId="0" borderId="0" xfId="0" applyFont="1" applyAlignment="1">
      <alignment horizontal="center" wrapText="1"/>
    </xf>
    <xf numFmtId="0" fontId="28" fillId="0" borderId="0" xfId="0" applyFont="1" applyAlignment="1">
      <alignment horizontal="center" wrapText="1"/>
    </xf>
    <xf numFmtId="0" fontId="0" fillId="0" borderId="0" xfId="0" applyAlignment="1">
      <alignment horizontal="right"/>
    </xf>
    <xf numFmtId="0" fontId="0" fillId="0" borderId="0" xfId="0" applyAlignment="1">
      <alignment horizontal="center"/>
    </xf>
  </cellXfs>
  <cellStyles count="4">
    <cellStyle name="Обычный" xfId="0" builtinId="0"/>
    <cellStyle name="Обычный 2" xfId="2"/>
    <cellStyle name="Обычный 3" xfId="3"/>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2">
          <cell r="C12">
            <v>0</v>
          </cell>
        </row>
        <row r="13">
          <cell r="C13">
            <v>0</v>
          </cell>
          <cell r="D13">
            <v>0</v>
          </cell>
          <cell r="E13">
            <v>0</v>
          </cell>
        </row>
        <row r="15">
          <cell r="C15">
            <v>0</v>
          </cell>
          <cell r="D15">
            <v>0</v>
          </cell>
          <cell r="E15">
            <v>0</v>
          </cell>
        </row>
        <row r="19">
          <cell r="C19">
            <v>0</v>
          </cell>
          <cell r="D19">
            <v>0</v>
          </cell>
          <cell r="E19">
            <v>0</v>
          </cell>
        </row>
      </sheetData>
      <sheetData sheetId="17" refreshError="1"/>
      <sheetData sheetId="18" refreshError="1"/>
      <sheetData sheetId="19" refreshError="1">
        <row r="11">
          <cell r="I11">
            <v>1436106</v>
          </cell>
        </row>
        <row r="32">
          <cell r="J32">
            <v>0</v>
          </cell>
          <cell r="K32">
            <v>0</v>
          </cell>
        </row>
        <row r="159">
          <cell r="J159">
            <v>573400</v>
          </cell>
          <cell r="K159">
            <v>573400</v>
          </cell>
        </row>
        <row r="198">
          <cell r="I198">
            <v>0</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4"/>
  <sheetViews>
    <sheetView workbookViewId="0">
      <selection activeCell="D12" sqref="D12"/>
    </sheetView>
  </sheetViews>
  <sheetFormatPr defaultColWidth="9.140625" defaultRowHeight="15.75" x14ac:dyDescent="0.25"/>
  <cols>
    <col min="1" max="1" width="15.7109375" style="1" customWidth="1"/>
    <col min="2" max="2" width="30.5703125" style="1" customWidth="1"/>
    <col min="3" max="3" width="80.85546875" style="1" customWidth="1"/>
    <col min="4" max="16384" width="9.140625" style="265"/>
  </cols>
  <sheetData>
    <row r="1" spans="1:3" x14ac:dyDescent="0.25">
      <c r="C1" s="394" t="s">
        <v>995</v>
      </c>
    </row>
    <row r="2" spans="1:3" x14ac:dyDescent="0.25">
      <c r="C2" s="394" t="s">
        <v>996</v>
      </c>
    </row>
    <row r="3" spans="1:3" x14ac:dyDescent="0.25">
      <c r="C3" s="394" t="s">
        <v>0</v>
      </c>
    </row>
    <row r="4" spans="1:3" x14ac:dyDescent="0.25">
      <c r="C4" s="394" t="s">
        <v>1256</v>
      </c>
    </row>
    <row r="5" spans="1:3" x14ac:dyDescent="0.25">
      <c r="A5" s="395" t="s">
        <v>997</v>
      </c>
    </row>
    <row r="6" spans="1:3" x14ac:dyDescent="0.25">
      <c r="A6" s="460" t="s">
        <v>998</v>
      </c>
      <c r="B6" s="460"/>
      <c r="C6" s="460"/>
    </row>
    <row r="7" spans="1:3" x14ac:dyDescent="0.25">
      <c r="A7" s="442"/>
      <c r="B7" s="442"/>
      <c r="C7" s="442"/>
    </row>
    <row r="8" spans="1:3" x14ac:dyDescent="0.25">
      <c r="A8" s="133" t="s">
        <v>999</v>
      </c>
      <c r="B8" s="443" t="s">
        <v>1000</v>
      </c>
      <c r="C8" s="443" t="s">
        <v>1</v>
      </c>
    </row>
    <row r="9" spans="1:3" x14ac:dyDescent="0.25">
      <c r="A9" s="461" t="s">
        <v>1001</v>
      </c>
      <c r="B9" s="461"/>
      <c r="C9" s="461"/>
    </row>
    <row r="10" spans="1:3" x14ac:dyDescent="0.25">
      <c r="A10" s="396">
        <v>182</v>
      </c>
      <c r="B10" s="397"/>
      <c r="C10" s="398" t="s">
        <v>1002</v>
      </c>
    </row>
    <row r="11" spans="1:3" ht="63" x14ac:dyDescent="0.25">
      <c r="A11" s="399">
        <v>182</v>
      </c>
      <c r="B11" s="397" t="s">
        <v>1003</v>
      </c>
      <c r="C11" s="191" t="s">
        <v>1004</v>
      </c>
    </row>
    <row r="12" spans="1:3" ht="94.5" x14ac:dyDescent="0.25">
      <c r="A12" s="399">
        <v>182</v>
      </c>
      <c r="B12" s="397" t="s">
        <v>1005</v>
      </c>
      <c r="C12" s="191" t="s">
        <v>566</v>
      </c>
    </row>
    <row r="13" spans="1:3" ht="31.5" x14ac:dyDescent="0.25">
      <c r="A13" s="399">
        <v>182</v>
      </c>
      <c r="B13" s="397" t="s">
        <v>1006</v>
      </c>
      <c r="C13" s="191" t="s">
        <v>567</v>
      </c>
    </row>
    <row r="14" spans="1:3" x14ac:dyDescent="0.25">
      <c r="A14" s="399">
        <v>182</v>
      </c>
      <c r="B14" s="397" t="s">
        <v>1007</v>
      </c>
      <c r="C14" s="191" t="s">
        <v>2</v>
      </c>
    </row>
    <row r="15" spans="1:3" ht="31.5" x14ac:dyDescent="0.25">
      <c r="A15" s="444">
        <v>182</v>
      </c>
      <c r="B15" s="400" t="s">
        <v>1008</v>
      </c>
      <c r="C15" s="191" t="s">
        <v>30</v>
      </c>
    </row>
    <row r="16" spans="1:3" ht="31.5" x14ac:dyDescent="0.25">
      <c r="A16" s="399">
        <v>182</v>
      </c>
      <c r="B16" s="397" t="s">
        <v>1009</v>
      </c>
      <c r="C16" s="191" t="s">
        <v>568</v>
      </c>
    </row>
    <row r="17" spans="1:3" x14ac:dyDescent="0.25">
      <c r="A17" s="399">
        <v>182</v>
      </c>
      <c r="B17" s="397" t="s">
        <v>1010</v>
      </c>
      <c r="C17" s="191" t="s">
        <v>3</v>
      </c>
    </row>
    <row r="18" spans="1:3" ht="47.25" x14ac:dyDescent="0.25">
      <c r="A18" s="399">
        <v>182</v>
      </c>
      <c r="B18" s="397" t="s">
        <v>1011</v>
      </c>
      <c r="C18" s="191" t="s">
        <v>1012</v>
      </c>
    </row>
    <row r="19" spans="1:3" ht="31.5" x14ac:dyDescent="0.25">
      <c r="A19" s="399">
        <v>182</v>
      </c>
      <c r="B19" s="397" t="s">
        <v>1013</v>
      </c>
      <c r="C19" s="191" t="s">
        <v>1014</v>
      </c>
    </row>
    <row r="20" spans="1:3" ht="31.5" x14ac:dyDescent="0.25">
      <c r="A20" s="399">
        <v>182</v>
      </c>
      <c r="B20" s="397" t="s">
        <v>1015</v>
      </c>
      <c r="C20" s="191" t="s">
        <v>533</v>
      </c>
    </row>
    <row r="21" spans="1:3" ht="47.25" x14ac:dyDescent="0.25">
      <c r="A21" s="399">
        <v>182</v>
      </c>
      <c r="B21" s="397" t="s">
        <v>1016</v>
      </c>
      <c r="C21" s="191" t="s">
        <v>1017</v>
      </c>
    </row>
    <row r="22" spans="1:3" ht="31.5" x14ac:dyDescent="0.25">
      <c r="A22" s="399">
        <v>182</v>
      </c>
      <c r="B22" s="397" t="s">
        <v>1018</v>
      </c>
      <c r="C22" s="191" t="s">
        <v>1019</v>
      </c>
    </row>
    <row r="23" spans="1:3" ht="31.5" x14ac:dyDescent="0.25">
      <c r="A23" s="399">
        <v>182</v>
      </c>
      <c r="B23" s="397" t="s">
        <v>1020</v>
      </c>
      <c r="C23" s="191" t="s">
        <v>1021</v>
      </c>
    </row>
    <row r="24" spans="1:3" ht="63" x14ac:dyDescent="0.25">
      <c r="A24" s="399">
        <v>182</v>
      </c>
      <c r="B24" s="397" t="s">
        <v>1022</v>
      </c>
      <c r="C24" s="191" t="s">
        <v>4</v>
      </c>
    </row>
    <row r="25" spans="1:3" ht="47.25" x14ac:dyDescent="0.25">
      <c r="A25" s="399">
        <v>182</v>
      </c>
      <c r="B25" s="397" t="s">
        <v>1023</v>
      </c>
      <c r="C25" s="191" t="s">
        <v>1024</v>
      </c>
    </row>
    <row r="26" spans="1:3" ht="47.25" x14ac:dyDescent="0.25">
      <c r="A26" s="399">
        <v>182</v>
      </c>
      <c r="B26" s="397" t="s">
        <v>1025</v>
      </c>
      <c r="C26" s="191" t="s">
        <v>1026</v>
      </c>
    </row>
    <row r="27" spans="1:3" ht="47.25" x14ac:dyDescent="0.25">
      <c r="A27" s="399">
        <v>182</v>
      </c>
      <c r="B27" s="397" t="s">
        <v>1027</v>
      </c>
      <c r="C27" s="175" t="s">
        <v>1028</v>
      </c>
    </row>
    <row r="28" spans="1:3" ht="47.25" x14ac:dyDescent="0.25">
      <c r="A28" s="399">
        <v>182</v>
      </c>
      <c r="B28" s="397" t="s">
        <v>1029</v>
      </c>
      <c r="C28" s="175" t="s">
        <v>1030</v>
      </c>
    </row>
    <row r="29" spans="1:3" x14ac:dyDescent="0.25">
      <c r="A29" s="401" t="s">
        <v>5</v>
      </c>
      <c r="B29" s="397"/>
      <c r="C29" s="402" t="s">
        <v>1031</v>
      </c>
    </row>
    <row r="30" spans="1:3" ht="31.5" x14ac:dyDescent="0.25">
      <c r="A30" s="403" t="s">
        <v>5</v>
      </c>
      <c r="B30" s="397" t="s">
        <v>1032</v>
      </c>
      <c r="C30" s="191" t="s">
        <v>1033</v>
      </c>
    </row>
    <row r="31" spans="1:3" ht="31.5" x14ac:dyDescent="0.25">
      <c r="A31" s="403" t="s">
        <v>5</v>
      </c>
      <c r="B31" s="397" t="s">
        <v>1034</v>
      </c>
      <c r="C31" s="191" t="s">
        <v>1035</v>
      </c>
    </row>
    <row r="32" spans="1:3" x14ac:dyDescent="0.25">
      <c r="A32" s="403" t="s">
        <v>5</v>
      </c>
      <c r="B32" s="397" t="s">
        <v>1036</v>
      </c>
      <c r="C32" s="191" t="s">
        <v>1037</v>
      </c>
    </row>
    <row r="33" spans="1:3" x14ac:dyDescent="0.25">
      <c r="A33" s="403" t="s">
        <v>5</v>
      </c>
      <c r="B33" s="397" t="s">
        <v>1038</v>
      </c>
      <c r="C33" s="191" t="s">
        <v>1039</v>
      </c>
    </row>
    <row r="34" spans="1:3" x14ac:dyDescent="0.25">
      <c r="A34" s="403" t="s">
        <v>5</v>
      </c>
      <c r="B34" s="397" t="s">
        <v>1040</v>
      </c>
      <c r="C34" s="445" t="s">
        <v>1041</v>
      </c>
    </row>
    <row r="35" spans="1:3" x14ac:dyDescent="0.25">
      <c r="A35" s="401" t="s">
        <v>6</v>
      </c>
      <c r="B35" s="397"/>
      <c r="C35" s="402" t="s">
        <v>1042</v>
      </c>
    </row>
    <row r="36" spans="1:3" ht="31.5" x14ac:dyDescent="0.25">
      <c r="A36" s="403" t="s">
        <v>6</v>
      </c>
      <c r="B36" s="397" t="s">
        <v>1043</v>
      </c>
      <c r="C36" s="191" t="s">
        <v>7</v>
      </c>
    </row>
    <row r="37" spans="1:3" ht="31.5" x14ac:dyDescent="0.25">
      <c r="A37" s="403" t="s">
        <v>6</v>
      </c>
      <c r="B37" s="397" t="s">
        <v>1044</v>
      </c>
      <c r="C37" s="191" t="s">
        <v>1045</v>
      </c>
    </row>
    <row r="38" spans="1:3" ht="45.75" customHeight="1" x14ac:dyDescent="0.25">
      <c r="A38" s="446" t="s">
        <v>6</v>
      </c>
      <c r="B38" s="400" t="s">
        <v>1046</v>
      </c>
      <c r="C38" s="191" t="s">
        <v>1047</v>
      </c>
    </row>
    <row r="39" spans="1:3" x14ac:dyDescent="0.25">
      <c r="A39" s="396">
        <v>192</v>
      </c>
      <c r="B39" s="397"/>
      <c r="C39" s="402" t="s">
        <v>1048</v>
      </c>
    </row>
    <row r="40" spans="1:3" ht="63" x14ac:dyDescent="0.25">
      <c r="A40" s="399">
        <v>192</v>
      </c>
      <c r="B40" s="397" t="s">
        <v>1046</v>
      </c>
      <c r="C40" s="191" t="s">
        <v>1049</v>
      </c>
    </row>
    <row r="41" spans="1:3" ht="31.5" x14ac:dyDescent="0.25">
      <c r="A41" s="399">
        <v>192</v>
      </c>
      <c r="B41" s="397" t="s">
        <v>1043</v>
      </c>
      <c r="C41" s="191" t="s">
        <v>7</v>
      </c>
    </row>
    <row r="42" spans="1:3" ht="31.5" x14ac:dyDescent="0.25">
      <c r="A42" s="396">
        <v>321</v>
      </c>
      <c r="B42" s="397"/>
      <c r="C42" s="402" t="s">
        <v>1050</v>
      </c>
    </row>
    <row r="43" spans="1:3" x14ac:dyDescent="0.25">
      <c r="A43" s="399">
        <v>321</v>
      </c>
      <c r="B43" s="397" t="s">
        <v>1051</v>
      </c>
      <c r="C43" s="191" t="s">
        <v>969</v>
      </c>
    </row>
    <row r="44" spans="1:3" x14ac:dyDescent="0.25">
      <c r="A44" s="396">
        <v>188</v>
      </c>
      <c r="B44" s="397"/>
      <c r="C44" s="402" t="s">
        <v>1052</v>
      </c>
    </row>
    <row r="45" spans="1:3" ht="47.25" x14ac:dyDescent="0.25">
      <c r="A45" s="399">
        <v>188</v>
      </c>
      <c r="B45" s="397" t="s">
        <v>1053</v>
      </c>
      <c r="C45" s="175" t="s">
        <v>1028</v>
      </c>
    </row>
    <row r="46" spans="1:3" ht="47.25" x14ac:dyDescent="0.25">
      <c r="A46" s="399">
        <v>188</v>
      </c>
      <c r="B46" s="397" t="s">
        <v>1029</v>
      </c>
      <c r="C46" s="175" t="s">
        <v>1030</v>
      </c>
    </row>
    <row r="47" spans="1:3" ht="31.5" x14ac:dyDescent="0.25">
      <c r="A47" s="399">
        <v>188</v>
      </c>
      <c r="B47" s="397" t="s">
        <v>1043</v>
      </c>
      <c r="C47" s="191" t="s">
        <v>7</v>
      </c>
    </row>
    <row r="48" spans="1:3" ht="31.5" x14ac:dyDescent="0.25">
      <c r="A48" s="399">
        <v>188</v>
      </c>
      <c r="B48" s="397" t="s">
        <v>1054</v>
      </c>
      <c r="C48" s="391" t="s">
        <v>8</v>
      </c>
    </row>
    <row r="49" spans="1:3" ht="63" x14ac:dyDescent="0.25">
      <c r="A49" s="399">
        <v>188</v>
      </c>
      <c r="B49" s="397" t="s">
        <v>1046</v>
      </c>
      <c r="C49" s="191" t="s">
        <v>1047</v>
      </c>
    </row>
    <row r="50" spans="1:3" ht="47.25" x14ac:dyDescent="0.25">
      <c r="A50" s="399">
        <v>188</v>
      </c>
      <c r="B50" s="397" t="s">
        <v>1055</v>
      </c>
      <c r="C50" s="175" t="s">
        <v>1056</v>
      </c>
    </row>
    <row r="51" spans="1:3" ht="47.25" x14ac:dyDescent="0.25">
      <c r="A51" s="399">
        <v>188</v>
      </c>
      <c r="B51" s="397" t="s">
        <v>1057</v>
      </c>
      <c r="C51" s="175" t="s">
        <v>9</v>
      </c>
    </row>
    <row r="52" spans="1:3" ht="31.5" x14ac:dyDescent="0.25">
      <c r="A52" s="396">
        <v>141</v>
      </c>
      <c r="B52" s="397"/>
      <c r="C52" s="402" t="s">
        <v>1058</v>
      </c>
    </row>
    <row r="53" spans="1:3" ht="31.5" x14ac:dyDescent="0.25">
      <c r="A53" s="399">
        <v>141</v>
      </c>
      <c r="B53" s="397" t="s">
        <v>1059</v>
      </c>
      <c r="C53" s="191" t="s">
        <v>1060</v>
      </c>
    </row>
    <row r="54" spans="1:3" ht="47.25" x14ac:dyDescent="0.25">
      <c r="A54" s="399">
        <v>141</v>
      </c>
      <c r="B54" s="397" t="s">
        <v>1057</v>
      </c>
      <c r="C54" s="191" t="s">
        <v>9</v>
      </c>
    </row>
    <row r="55" spans="1:3" ht="31.5" x14ac:dyDescent="0.25">
      <c r="A55" s="399">
        <v>141</v>
      </c>
      <c r="B55" s="397" t="s">
        <v>1043</v>
      </c>
      <c r="C55" s="191" t="s">
        <v>7</v>
      </c>
    </row>
    <row r="56" spans="1:3" x14ac:dyDescent="0.25">
      <c r="A56" s="396">
        <v>100</v>
      </c>
      <c r="B56" s="397"/>
      <c r="C56" s="402" t="s">
        <v>1061</v>
      </c>
    </row>
    <row r="57" spans="1:3" x14ac:dyDescent="0.25">
      <c r="A57" s="399">
        <v>100</v>
      </c>
      <c r="B57" s="397" t="s">
        <v>1062</v>
      </c>
      <c r="C57" s="191" t="s">
        <v>1063</v>
      </c>
    </row>
    <row r="58" spans="1:3" ht="63" x14ac:dyDescent="0.25">
      <c r="A58" s="399">
        <v>100</v>
      </c>
      <c r="B58" s="397" t="s">
        <v>1064</v>
      </c>
      <c r="C58" s="404" t="s">
        <v>51</v>
      </c>
    </row>
    <row r="59" spans="1:3" ht="78.75" x14ac:dyDescent="0.25">
      <c r="A59" s="399">
        <v>100</v>
      </c>
      <c r="B59" s="397" t="s">
        <v>1065</v>
      </c>
      <c r="C59" s="405" t="s">
        <v>53</v>
      </c>
    </row>
    <row r="60" spans="1:3" ht="63" x14ac:dyDescent="0.25">
      <c r="A60" s="399">
        <v>100</v>
      </c>
      <c r="B60" s="397" t="s">
        <v>1066</v>
      </c>
      <c r="C60" s="405" t="s">
        <v>1067</v>
      </c>
    </row>
    <row r="61" spans="1:3" ht="63" x14ac:dyDescent="0.25">
      <c r="A61" s="399">
        <v>100</v>
      </c>
      <c r="B61" s="397" t="s">
        <v>1068</v>
      </c>
      <c r="C61" s="405" t="s">
        <v>57</v>
      </c>
    </row>
    <row r="62" spans="1:3" x14ac:dyDescent="0.25">
      <c r="A62" s="396">
        <v>161</v>
      </c>
      <c r="B62" s="397"/>
      <c r="C62" s="402" t="s">
        <v>1069</v>
      </c>
    </row>
    <row r="63" spans="1:3" ht="47.25" x14ac:dyDescent="0.25">
      <c r="A63" s="399">
        <v>161</v>
      </c>
      <c r="B63" s="397" t="s">
        <v>1070</v>
      </c>
      <c r="C63" s="406" t="s">
        <v>1071</v>
      </c>
    </row>
    <row r="64" spans="1:3" x14ac:dyDescent="0.25">
      <c r="A64" s="462" t="s">
        <v>1072</v>
      </c>
      <c r="B64" s="463"/>
      <c r="C64" s="464"/>
    </row>
    <row r="65" spans="1:3" x14ac:dyDescent="0.25">
      <c r="A65" s="401" t="s">
        <v>1165</v>
      </c>
      <c r="B65" s="396"/>
      <c r="C65" s="396" t="s">
        <v>1166</v>
      </c>
    </row>
    <row r="66" spans="1:3" ht="31.5" x14ac:dyDescent="0.25">
      <c r="A66" s="403" t="s">
        <v>1165</v>
      </c>
      <c r="B66" s="400" t="s">
        <v>1074</v>
      </c>
      <c r="C66" s="191" t="s">
        <v>7</v>
      </c>
    </row>
    <row r="67" spans="1:3" ht="47.25" x14ac:dyDescent="0.25">
      <c r="A67" s="401" t="s">
        <v>10</v>
      </c>
      <c r="B67" s="397"/>
      <c r="C67" s="402" t="s">
        <v>1073</v>
      </c>
    </row>
    <row r="68" spans="1:3" ht="31.5" x14ac:dyDescent="0.25">
      <c r="A68" s="403" t="s">
        <v>10</v>
      </c>
      <c r="B68" s="397" t="s">
        <v>1074</v>
      </c>
      <c r="C68" s="191" t="s">
        <v>7</v>
      </c>
    </row>
    <row r="69" spans="1:3" ht="31.5" x14ac:dyDescent="0.25">
      <c r="A69" s="401" t="s">
        <v>564</v>
      </c>
      <c r="B69" s="397"/>
      <c r="C69" s="402" t="s">
        <v>1075</v>
      </c>
    </row>
    <row r="70" spans="1:3" ht="31.5" x14ac:dyDescent="0.25">
      <c r="A70" s="403" t="s">
        <v>564</v>
      </c>
      <c r="B70" s="397" t="s">
        <v>1043</v>
      </c>
      <c r="C70" s="191" t="s">
        <v>7</v>
      </c>
    </row>
    <row r="71" spans="1:3" x14ac:dyDescent="0.25">
      <c r="A71" s="396">
        <v>906</v>
      </c>
      <c r="B71" s="191"/>
      <c r="C71" s="402" t="s">
        <v>1076</v>
      </c>
    </row>
    <row r="72" spans="1:3" ht="31.5" x14ac:dyDescent="0.25">
      <c r="A72" s="399">
        <v>906</v>
      </c>
      <c r="B72" s="397" t="s">
        <v>1074</v>
      </c>
      <c r="C72" s="191" t="s">
        <v>7</v>
      </c>
    </row>
    <row r="73" spans="1:3" x14ac:dyDescent="0.25">
      <c r="A73" s="396">
        <v>117</v>
      </c>
      <c r="B73" s="397"/>
      <c r="C73" s="402" t="s">
        <v>1077</v>
      </c>
    </row>
    <row r="74" spans="1:3" ht="63" x14ac:dyDescent="0.25">
      <c r="A74" s="399">
        <v>117</v>
      </c>
      <c r="B74" s="397" t="s">
        <v>1078</v>
      </c>
      <c r="C74" s="407" t="s">
        <v>1079</v>
      </c>
    </row>
    <row r="75" spans="1:3" ht="31.5" x14ac:dyDescent="0.25">
      <c r="A75" s="399">
        <v>117</v>
      </c>
      <c r="B75" s="397" t="s">
        <v>1074</v>
      </c>
      <c r="C75" s="191" t="s">
        <v>7</v>
      </c>
    </row>
    <row r="76" spans="1:3" ht="31.5" x14ac:dyDescent="0.25">
      <c r="A76" s="396">
        <v>927</v>
      </c>
      <c r="B76" s="397"/>
      <c r="C76" s="402" t="s">
        <v>1080</v>
      </c>
    </row>
    <row r="77" spans="1:3" ht="31.5" x14ac:dyDescent="0.25">
      <c r="A77" s="399">
        <v>927</v>
      </c>
      <c r="B77" s="397" t="s">
        <v>1081</v>
      </c>
      <c r="C77" s="191" t="s">
        <v>1045</v>
      </c>
    </row>
    <row r="78" spans="1:3" ht="31.5" x14ac:dyDescent="0.25">
      <c r="A78" s="399">
        <v>927</v>
      </c>
      <c r="B78" s="397" t="s">
        <v>1074</v>
      </c>
      <c r="C78" s="191" t="s">
        <v>7</v>
      </c>
    </row>
    <row r="79" spans="1:3" x14ac:dyDescent="0.25">
      <c r="A79" s="396">
        <v>116</v>
      </c>
      <c r="B79" s="397"/>
      <c r="C79" s="402" t="s">
        <v>1082</v>
      </c>
    </row>
    <row r="80" spans="1:3" ht="42" customHeight="1" x14ac:dyDescent="0.25">
      <c r="A80" s="399">
        <v>116</v>
      </c>
      <c r="B80" s="397" t="s">
        <v>1074</v>
      </c>
      <c r="C80" s="191" t="s">
        <v>7</v>
      </c>
    </row>
    <row r="81" spans="1:3" x14ac:dyDescent="0.25">
      <c r="A81" s="396">
        <v>918</v>
      </c>
      <c r="B81" s="397"/>
      <c r="C81" s="402" t="s">
        <v>1083</v>
      </c>
    </row>
    <row r="82" spans="1:3" ht="38.25" customHeight="1" x14ac:dyDescent="0.25">
      <c r="A82" s="399">
        <v>918</v>
      </c>
      <c r="B82" s="397" t="s">
        <v>1074</v>
      </c>
      <c r="C82" s="191" t="s">
        <v>7</v>
      </c>
    </row>
    <row r="83" spans="1:3" ht="38.25" customHeight="1" x14ac:dyDescent="0.25">
      <c r="A83" s="396">
        <v>106</v>
      </c>
      <c r="B83" s="397"/>
      <c r="C83" s="447" t="s">
        <v>1084</v>
      </c>
    </row>
    <row r="84" spans="1:3" ht="38.25" customHeight="1" x14ac:dyDescent="0.25">
      <c r="A84" s="399">
        <v>106</v>
      </c>
      <c r="B84" s="397" t="s">
        <v>1074</v>
      </c>
      <c r="C84" s="191" t="s">
        <v>7</v>
      </c>
    </row>
    <row r="85" spans="1:3" ht="57" customHeight="1" x14ac:dyDescent="0.25">
      <c r="A85" s="396">
        <v>177</v>
      </c>
      <c r="B85" s="398"/>
      <c r="C85" s="402" t="s">
        <v>1085</v>
      </c>
    </row>
    <row r="86" spans="1:3" ht="44.45" customHeight="1" x14ac:dyDescent="0.25">
      <c r="A86" s="399">
        <v>177</v>
      </c>
      <c r="B86" s="397" t="s">
        <v>1046</v>
      </c>
      <c r="C86" s="407" t="s">
        <v>1079</v>
      </c>
    </row>
    <row r="87" spans="1:3" x14ac:dyDescent="0.25">
      <c r="A87" s="462" t="s">
        <v>1086</v>
      </c>
      <c r="B87" s="463"/>
      <c r="C87" s="464"/>
    </row>
    <row r="88" spans="1:3" x14ac:dyDescent="0.25">
      <c r="A88" s="408" t="s">
        <v>11</v>
      </c>
      <c r="B88" s="409"/>
      <c r="C88" s="410" t="s">
        <v>19</v>
      </c>
    </row>
    <row r="89" spans="1:3" x14ac:dyDescent="0.25">
      <c r="A89" s="411" t="s">
        <v>11</v>
      </c>
      <c r="B89" s="409" t="s">
        <v>1087</v>
      </c>
      <c r="C89" s="412" t="s">
        <v>1088</v>
      </c>
    </row>
    <row r="90" spans="1:3" ht="31.5" x14ac:dyDescent="0.25">
      <c r="A90" s="411" t="s">
        <v>11</v>
      </c>
      <c r="B90" s="409" t="s">
        <v>1074</v>
      </c>
      <c r="C90" s="407" t="s">
        <v>7</v>
      </c>
    </row>
    <row r="91" spans="1:3" ht="63" x14ac:dyDescent="0.25">
      <c r="A91" s="403" t="s">
        <v>11</v>
      </c>
      <c r="B91" s="400" t="s">
        <v>1089</v>
      </c>
      <c r="C91" s="175" t="s">
        <v>522</v>
      </c>
    </row>
    <row r="92" spans="1:3" ht="31.5" x14ac:dyDescent="0.25">
      <c r="A92" s="403" t="s">
        <v>11</v>
      </c>
      <c r="B92" s="397" t="s">
        <v>1090</v>
      </c>
      <c r="C92" s="397" t="s">
        <v>1091</v>
      </c>
    </row>
    <row r="93" spans="1:3" x14ac:dyDescent="0.25">
      <c r="A93" s="403" t="s">
        <v>11</v>
      </c>
      <c r="B93" s="397" t="s">
        <v>1092</v>
      </c>
      <c r="C93" s="397" t="s">
        <v>13</v>
      </c>
    </row>
    <row r="94" spans="1:3" x14ac:dyDescent="0.25">
      <c r="A94" s="411" t="s">
        <v>11</v>
      </c>
      <c r="B94" s="191" t="s">
        <v>1093</v>
      </c>
      <c r="C94" s="191" t="s">
        <v>1094</v>
      </c>
    </row>
    <row r="95" spans="1:3" x14ac:dyDescent="0.25">
      <c r="A95" s="401" t="s">
        <v>12</v>
      </c>
      <c r="B95" s="397"/>
      <c r="C95" s="398" t="s">
        <v>1095</v>
      </c>
    </row>
    <row r="96" spans="1:3" ht="78" customHeight="1" x14ac:dyDescent="0.25">
      <c r="A96" s="403" t="s">
        <v>12</v>
      </c>
      <c r="B96" s="397" t="s">
        <v>1096</v>
      </c>
      <c r="C96" s="397" t="s">
        <v>1097</v>
      </c>
    </row>
    <row r="97" spans="1:3" hidden="1" x14ac:dyDescent="0.25">
      <c r="A97" s="403"/>
      <c r="B97" s="397"/>
      <c r="C97" s="397"/>
    </row>
    <row r="98" spans="1:3" ht="63" x14ac:dyDescent="0.25">
      <c r="A98" s="403" t="s">
        <v>12</v>
      </c>
      <c r="B98" s="397" t="s">
        <v>1098</v>
      </c>
      <c r="C98" s="397" t="s">
        <v>1099</v>
      </c>
    </row>
    <row r="99" spans="1:3" ht="45.75" customHeight="1" x14ac:dyDescent="0.25">
      <c r="A99" s="403" t="s">
        <v>12</v>
      </c>
      <c r="B99" s="397" t="s">
        <v>1167</v>
      </c>
      <c r="C99" s="397" t="s">
        <v>1168</v>
      </c>
    </row>
    <row r="100" spans="1:3" hidden="1" x14ac:dyDescent="0.25">
      <c r="A100" s="403"/>
      <c r="B100" s="397"/>
      <c r="C100" s="397"/>
    </row>
    <row r="101" spans="1:3" ht="31.5" x14ac:dyDescent="0.25">
      <c r="A101" s="403" t="s">
        <v>12</v>
      </c>
      <c r="B101" s="397" t="s">
        <v>1169</v>
      </c>
      <c r="C101" s="397" t="s">
        <v>1170</v>
      </c>
    </row>
    <row r="102" spans="1:3" ht="31.5" x14ac:dyDescent="0.25">
      <c r="A102" s="403" t="s">
        <v>12</v>
      </c>
      <c r="B102" s="397" t="s">
        <v>1100</v>
      </c>
      <c r="C102" s="397" t="s">
        <v>1101</v>
      </c>
    </row>
    <row r="103" spans="1:3" ht="31.5" x14ac:dyDescent="0.25">
      <c r="A103" s="403" t="s">
        <v>12</v>
      </c>
      <c r="B103" s="397" t="s">
        <v>1171</v>
      </c>
      <c r="C103" s="397" t="s">
        <v>1172</v>
      </c>
    </row>
    <row r="104" spans="1:3" x14ac:dyDescent="0.25">
      <c r="A104" s="403" t="s">
        <v>12</v>
      </c>
      <c r="B104" s="397" t="s">
        <v>1087</v>
      </c>
      <c r="C104" s="397" t="s">
        <v>1088</v>
      </c>
    </row>
    <row r="105" spans="1:3" ht="31.5" x14ac:dyDescent="0.25">
      <c r="A105" s="403" t="s">
        <v>12</v>
      </c>
      <c r="B105" s="397" t="s">
        <v>1173</v>
      </c>
      <c r="C105" s="397" t="s">
        <v>1174</v>
      </c>
    </row>
    <row r="106" spans="1:3" ht="31.5" x14ac:dyDescent="0.25">
      <c r="A106" s="403" t="s">
        <v>12</v>
      </c>
      <c r="B106" s="397" t="s">
        <v>1102</v>
      </c>
      <c r="C106" s="397" t="s">
        <v>1103</v>
      </c>
    </row>
    <row r="107" spans="1:3" ht="31.5" x14ac:dyDescent="0.25">
      <c r="A107" s="403" t="s">
        <v>12</v>
      </c>
      <c r="B107" s="397" t="s">
        <v>1090</v>
      </c>
      <c r="C107" s="397" t="s">
        <v>1091</v>
      </c>
    </row>
    <row r="108" spans="1:3" x14ac:dyDescent="0.25">
      <c r="A108" s="403" t="s">
        <v>12</v>
      </c>
      <c r="B108" s="397" t="s">
        <v>1104</v>
      </c>
      <c r="C108" s="397" t="s">
        <v>13</v>
      </c>
    </row>
    <row r="109" spans="1:3" x14ac:dyDescent="0.25">
      <c r="A109" s="403" t="s">
        <v>12</v>
      </c>
      <c r="B109" s="191" t="s">
        <v>1093</v>
      </c>
      <c r="C109" s="191" t="s">
        <v>1094</v>
      </c>
    </row>
    <row r="110" spans="1:3" x14ac:dyDescent="0.25">
      <c r="A110" s="401" t="s">
        <v>14</v>
      </c>
      <c r="B110" s="191"/>
      <c r="C110" s="402" t="s">
        <v>1150</v>
      </c>
    </row>
    <row r="111" spans="1:3" x14ac:dyDescent="0.25">
      <c r="A111" s="411" t="s">
        <v>14</v>
      </c>
      <c r="B111" s="409" t="s">
        <v>1087</v>
      </c>
      <c r="C111" s="412" t="s">
        <v>1088</v>
      </c>
    </row>
    <row r="112" spans="1:3" ht="63" x14ac:dyDescent="0.25">
      <c r="A112" s="403" t="s">
        <v>14</v>
      </c>
      <c r="B112" s="400" t="s">
        <v>1089</v>
      </c>
      <c r="C112" s="175" t="s">
        <v>522</v>
      </c>
    </row>
    <row r="113" spans="1:3" ht="31.5" x14ac:dyDescent="0.25">
      <c r="A113" s="411" t="s">
        <v>14</v>
      </c>
      <c r="B113" s="409" t="s">
        <v>1074</v>
      </c>
      <c r="C113" s="407" t="s">
        <v>7</v>
      </c>
    </row>
    <row r="114" spans="1:3" ht="31.5" x14ac:dyDescent="0.25">
      <c r="A114" s="403" t="s">
        <v>14</v>
      </c>
      <c r="B114" s="397" t="s">
        <v>1090</v>
      </c>
      <c r="C114" s="397" t="s">
        <v>1091</v>
      </c>
    </row>
    <row r="115" spans="1:3" x14ac:dyDescent="0.25">
      <c r="A115" s="403" t="s">
        <v>14</v>
      </c>
      <c r="B115" s="397" t="s">
        <v>1092</v>
      </c>
      <c r="C115" s="397" t="s">
        <v>13</v>
      </c>
    </row>
    <row r="116" spans="1:3" x14ac:dyDescent="0.25">
      <c r="A116" s="403" t="s">
        <v>14</v>
      </c>
      <c r="B116" s="191" t="s">
        <v>1093</v>
      </c>
      <c r="C116" s="191" t="s">
        <v>1105</v>
      </c>
    </row>
    <row r="117" spans="1:3" x14ac:dyDescent="0.25">
      <c r="A117" s="401" t="s">
        <v>16</v>
      </c>
      <c r="B117" s="397"/>
      <c r="C117" s="398" t="s">
        <v>1106</v>
      </c>
    </row>
    <row r="118" spans="1:3" ht="78.75" x14ac:dyDescent="0.25">
      <c r="A118" s="403" t="s">
        <v>16</v>
      </c>
      <c r="B118" s="397" t="s">
        <v>1107</v>
      </c>
      <c r="C118" s="397" t="s">
        <v>1108</v>
      </c>
    </row>
    <row r="119" spans="1:3" ht="63" x14ac:dyDescent="0.25">
      <c r="A119" s="403" t="s">
        <v>16</v>
      </c>
      <c r="B119" s="397" t="s">
        <v>1109</v>
      </c>
      <c r="C119" s="397" t="s">
        <v>1110</v>
      </c>
    </row>
    <row r="120" spans="1:3" ht="63" x14ac:dyDescent="0.25">
      <c r="A120" s="403" t="s">
        <v>16</v>
      </c>
      <c r="B120" s="397" t="s">
        <v>1111</v>
      </c>
      <c r="C120" s="175" t="s">
        <v>1112</v>
      </c>
    </row>
    <row r="121" spans="1:3" ht="63" x14ac:dyDescent="0.25">
      <c r="A121" s="403" t="s">
        <v>16</v>
      </c>
      <c r="B121" s="397" t="s">
        <v>1113</v>
      </c>
      <c r="C121" s="397" t="s">
        <v>1114</v>
      </c>
    </row>
    <row r="122" spans="1:3" ht="63" x14ac:dyDescent="0.25">
      <c r="A122" s="403" t="s">
        <v>16</v>
      </c>
      <c r="B122" s="397" t="s">
        <v>1115</v>
      </c>
      <c r="C122" s="397" t="s">
        <v>1116</v>
      </c>
    </row>
    <row r="123" spans="1:3" ht="47.25" x14ac:dyDescent="0.25">
      <c r="A123" s="403" t="s">
        <v>16</v>
      </c>
      <c r="B123" s="397" t="s">
        <v>1117</v>
      </c>
      <c r="C123" s="397" t="s">
        <v>17</v>
      </c>
    </row>
    <row r="124" spans="1:3" ht="31.5" x14ac:dyDescent="0.25">
      <c r="A124" s="403" t="s">
        <v>16</v>
      </c>
      <c r="B124" s="397" t="s">
        <v>1118</v>
      </c>
      <c r="C124" s="397" t="s">
        <v>1119</v>
      </c>
    </row>
    <row r="125" spans="1:3" ht="63" x14ac:dyDescent="0.25">
      <c r="A125" s="403" t="s">
        <v>16</v>
      </c>
      <c r="B125" s="397" t="s">
        <v>1120</v>
      </c>
      <c r="C125" s="397" t="s">
        <v>18</v>
      </c>
    </row>
    <row r="126" spans="1:3" ht="78.75" x14ac:dyDescent="0.25">
      <c r="A126" s="403" t="s">
        <v>16</v>
      </c>
      <c r="B126" s="397" t="s">
        <v>1121</v>
      </c>
      <c r="C126" s="397" t="s">
        <v>1122</v>
      </c>
    </row>
    <row r="127" spans="1:3" ht="47.25" x14ac:dyDescent="0.25">
      <c r="A127" s="403" t="s">
        <v>16</v>
      </c>
      <c r="B127" s="397" t="s">
        <v>1123</v>
      </c>
      <c r="C127" s="397" t="s">
        <v>1124</v>
      </c>
    </row>
    <row r="128" spans="1:3" ht="47.25" x14ac:dyDescent="0.25">
      <c r="A128" s="403" t="s">
        <v>16</v>
      </c>
      <c r="B128" s="397" t="s">
        <v>1125</v>
      </c>
      <c r="C128" s="175" t="s">
        <v>1126</v>
      </c>
    </row>
    <row r="129" spans="1:3" ht="47.25" x14ac:dyDescent="0.25">
      <c r="A129" s="403" t="s">
        <v>16</v>
      </c>
      <c r="B129" s="397" t="s">
        <v>1127</v>
      </c>
      <c r="C129" s="397" t="s">
        <v>1128</v>
      </c>
    </row>
    <row r="130" spans="1:3" ht="47.25" x14ac:dyDescent="0.25">
      <c r="A130" s="403" t="s">
        <v>16</v>
      </c>
      <c r="B130" s="397" t="s">
        <v>1129</v>
      </c>
      <c r="C130" s="397" t="s">
        <v>1130</v>
      </c>
    </row>
    <row r="131" spans="1:3" ht="78.75" x14ac:dyDescent="0.25">
      <c r="A131" s="403" t="s">
        <v>16</v>
      </c>
      <c r="B131" s="397" t="s">
        <v>1131</v>
      </c>
      <c r="C131" s="397" t="s">
        <v>1132</v>
      </c>
    </row>
    <row r="132" spans="1:3" ht="63" x14ac:dyDescent="0.25">
      <c r="A132" s="403" t="s">
        <v>16</v>
      </c>
      <c r="B132" s="397" t="s">
        <v>1133</v>
      </c>
      <c r="C132" s="397" t="s">
        <v>1134</v>
      </c>
    </row>
    <row r="133" spans="1:3" ht="63" x14ac:dyDescent="0.25">
      <c r="A133" s="403" t="s">
        <v>16</v>
      </c>
      <c r="B133" s="397" t="s">
        <v>1135</v>
      </c>
      <c r="C133" s="397" t="s">
        <v>1136</v>
      </c>
    </row>
    <row r="134" spans="1:3" ht="31.5" x14ac:dyDescent="0.25">
      <c r="A134" s="403" t="s">
        <v>16</v>
      </c>
      <c r="B134" s="397" t="s">
        <v>1137</v>
      </c>
      <c r="C134" s="397" t="s">
        <v>1138</v>
      </c>
    </row>
    <row r="135" spans="1:3" ht="63" x14ac:dyDescent="0.25">
      <c r="A135" s="403" t="s">
        <v>16</v>
      </c>
      <c r="B135" s="397" t="s">
        <v>1089</v>
      </c>
      <c r="C135" s="175" t="s">
        <v>522</v>
      </c>
    </row>
    <row r="136" spans="1:3" ht="31.5" x14ac:dyDescent="0.25">
      <c r="A136" s="403" t="s">
        <v>16</v>
      </c>
      <c r="B136" s="397" t="s">
        <v>1074</v>
      </c>
      <c r="C136" s="397" t="s">
        <v>1139</v>
      </c>
    </row>
    <row r="137" spans="1:3" ht="31.5" x14ac:dyDescent="0.25">
      <c r="A137" s="403" t="s">
        <v>16</v>
      </c>
      <c r="B137" s="397" t="s">
        <v>1090</v>
      </c>
      <c r="C137" s="397" t="s">
        <v>1091</v>
      </c>
    </row>
    <row r="138" spans="1:3" ht="47.25" x14ac:dyDescent="0.25">
      <c r="A138" s="403" t="s">
        <v>16</v>
      </c>
      <c r="B138" s="397" t="s">
        <v>1140</v>
      </c>
      <c r="C138" s="397" t="s">
        <v>1141</v>
      </c>
    </row>
    <row r="139" spans="1:3" ht="47.25" x14ac:dyDescent="0.25">
      <c r="A139" s="403" t="s">
        <v>16</v>
      </c>
      <c r="B139" s="397" t="s">
        <v>1142</v>
      </c>
      <c r="C139" s="191" t="s">
        <v>1143</v>
      </c>
    </row>
    <row r="140" spans="1:3" ht="47.25" x14ac:dyDescent="0.25">
      <c r="A140" s="403" t="s">
        <v>16</v>
      </c>
      <c r="B140" s="397" t="s">
        <v>1144</v>
      </c>
      <c r="C140" s="397" t="s">
        <v>1145</v>
      </c>
    </row>
    <row r="141" spans="1:3" x14ac:dyDescent="0.25">
      <c r="A141" s="403" t="s">
        <v>16</v>
      </c>
      <c r="B141" s="397" t="s">
        <v>1104</v>
      </c>
      <c r="C141" s="397" t="s">
        <v>13</v>
      </c>
    </row>
    <row r="142" spans="1:3" x14ac:dyDescent="0.25">
      <c r="A142" s="403" t="s">
        <v>16</v>
      </c>
      <c r="B142" s="397" t="s">
        <v>1093</v>
      </c>
      <c r="C142" s="191" t="s">
        <v>1094</v>
      </c>
    </row>
    <row r="144" spans="1:3" ht="36" customHeight="1" x14ac:dyDescent="0.25">
      <c r="A144" s="459" t="s">
        <v>1146</v>
      </c>
      <c r="B144" s="459"/>
      <c r="C144" s="459"/>
    </row>
  </sheetData>
  <mergeCells count="5">
    <mergeCell ref="A144:C144"/>
    <mergeCell ref="A6:C6"/>
    <mergeCell ref="A9:C9"/>
    <mergeCell ref="A64:C64"/>
    <mergeCell ref="A87:C87"/>
  </mergeCells>
  <pageMargins left="0.70866141732283472" right="0.70866141732283472" top="0.74803149606299213" bottom="0.74803149606299213" header="0.31496062992125984" footer="0.31496062992125984"/>
  <pageSetup paperSize="9" scale="68"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8"/>
  <sheetViews>
    <sheetView tabSelected="1" workbookViewId="0">
      <selection activeCell="L13" sqref="L13"/>
    </sheetView>
  </sheetViews>
  <sheetFormatPr defaultRowHeight="15" x14ac:dyDescent="0.25"/>
  <cols>
    <col min="2" max="2" width="17" customWidth="1"/>
    <col min="3" max="4" width="9.140625" hidden="1" customWidth="1"/>
    <col min="5" max="5" width="71.28515625" customWidth="1"/>
    <col min="6" max="6" width="17.28515625" customWidth="1"/>
    <col min="7" max="7" width="16.7109375" customWidth="1"/>
    <col min="8" max="8" width="13.85546875" customWidth="1"/>
  </cols>
  <sheetData>
    <row r="1" spans="2:11" x14ac:dyDescent="0.25">
      <c r="F1" s="539" t="s">
        <v>1255</v>
      </c>
      <c r="G1" s="539"/>
      <c r="H1" s="539"/>
      <c r="I1" s="540"/>
      <c r="J1" s="540"/>
      <c r="K1" s="540"/>
    </row>
    <row r="2" spans="2:11" x14ac:dyDescent="0.25">
      <c r="F2" s="539" t="s">
        <v>21</v>
      </c>
      <c r="G2" s="539"/>
      <c r="H2" s="539"/>
      <c r="I2" s="452"/>
      <c r="J2" s="452"/>
      <c r="K2" s="452"/>
    </row>
    <row r="3" spans="2:11" x14ac:dyDescent="0.25">
      <c r="F3" s="539" t="s">
        <v>249</v>
      </c>
      <c r="G3" s="539"/>
      <c r="H3" s="539"/>
      <c r="I3" s="452"/>
      <c r="J3" s="452"/>
      <c r="K3" s="452"/>
    </row>
    <row r="4" spans="2:11" x14ac:dyDescent="0.25">
      <c r="F4" s="539" t="s">
        <v>1257</v>
      </c>
      <c r="G4" s="539"/>
      <c r="H4" s="539"/>
      <c r="I4" s="452"/>
      <c r="J4" s="452"/>
      <c r="K4" s="452"/>
    </row>
    <row r="6" spans="2:11" ht="108.75" customHeight="1" x14ac:dyDescent="0.3">
      <c r="B6" s="538" t="s">
        <v>1183</v>
      </c>
      <c r="C6" s="538"/>
      <c r="D6" s="538"/>
      <c r="E6" s="538"/>
      <c r="F6" s="538"/>
      <c r="G6" s="538"/>
      <c r="H6" s="538"/>
      <c r="I6" s="382"/>
      <c r="J6" s="382"/>
      <c r="K6" s="382"/>
    </row>
    <row r="7" spans="2:11" x14ac:dyDescent="0.25">
      <c r="G7" t="s">
        <v>1184</v>
      </c>
    </row>
    <row r="8" spans="2:11" ht="45" x14ac:dyDescent="0.25">
      <c r="B8" s="453" t="s">
        <v>112</v>
      </c>
      <c r="C8" s="454"/>
      <c r="D8" s="454"/>
      <c r="E8" s="455" t="s">
        <v>1185</v>
      </c>
      <c r="F8" s="455" t="s">
        <v>1186</v>
      </c>
      <c r="G8" s="455" t="s">
        <v>1187</v>
      </c>
      <c r="H8" s="455" t="s">
        <v>1188</v>
      </c>
      <c r="I8" s="454"/>
      <c r="J8" s="454"/>
      <c r="K8" s="454"/>
    </row>
    <row r="9" spans="2:11" ht="30" x14ac:dyDescent="0.25">
      <c r="B9" s="455" t="s">
        <v>1189</v>
      </c>
      <c r="C9" s="454"/>
      <c r="D9" s="454"/>
      <c r="E9" s="455" t="s">
        <v>1190</v>
      </c>
      <c r="F9" s="455" t="s">
        <v>29</v>
      </c>
      <c r="G9" s="455"/>
      <c r="H9" s="455"/>
      <c r="I9" s="454"/>
      <c r="J9" s="454"/>
      <c r="K9" s="454"/>
    </row>
    <row r="10" spans="2:11" ht="30" x14ac:dyDescent="0.25">
      <c r="B10" s="455" t="s">
        <v>1191</v>
      </c>
      <c r="C10" s="454"/>
      <c r="D10" s="454"/>
      <c r="E10" s="455" t="s">
        <v>1192</v>
      </c>
      <c r="F10" s="455"/>
      <c r="G10" s="455"/>
      <c r="H10" s="455" t="s">
        <v>29</v>
      </c>
      <c r="I10" s="454"/>
      <c r="J10" s="454"/>
      <c r="K10" s="454"/>
    </row>
    <row r="11" spans="2:11" ht="30" x14ac:dyDescent="0.25">
      <c r="B11" s="455" t="s">
        <v>1193</v>
      </c>
      <c r="C11" s="454"/>
      <c r="D11" s="454"/>
      <c r="E11" s="455" t="s">
        <v>1194</v>
      </c>
      <c r="F11" s="455"/>
      <c r="G11" s="455" t="s">
        <v>29</v>
      </c>
      <c r="H11" s="455"/>
      <c r="I11" s="454"/>
      <c r="J11" s="454"/>
      <c r="K11" s="454"/>
    </row>
    <row r="12" spans="2:11" ht="30" x14ac:dyDescent="0.25">
      <c r="B12" s="455" t="s">
        <v>1195</v>
      </c>
      <c r="C12" s="454"/>
      <c r="D12" s="454"/>
      <c r="E12" s="455" t="s">
        <v>1088</v>
      </c>
      <c r="F12" s="455" t="s">
        <v>29</v>
      </c>
      <c r="G12" s="455"/>
      <c r="H12" s="455"/>
      <c r="I12" s="454"/>
      <c r="J12" s="454"/>
      <c r="K12" s="454"/>
    </row>
    <row r="13" spans="2:11" x14ac:dyDescent="0.25">
      <c r="B13" s="455" t="s">
        <v>1196</v>
      </c>
      <c r="C13" s="454"/>
      <c r="D13" s="454"/>
      <c r="E13" s="455" t="s">
        <v>1197</v>
      </c>
      <c r="F13" s="455"/>
      <c r="G13" s="455"/>
      <c r="H13" s="455" t="s">
        <v>29</v>
      </c>
      <c r="I13" s="454"/>
      <c r="J13" s="454"/>
      <c r="K13" s="454"/>
    </row>
    <row r="14" spans="2:11" x14ac:dyDescent="0.25">
      <c r="B14" s="455" t="s">
        <v>1198</v>
      </c>
      <c r="C14" s="454"/>
      <c r="D14" s="454"/>
      <c r="E14" s="455" t="s">
        <v>1199</v>
      </c>
      <c r="F14" s="455"/>
      <c r="G14" s="455" t="s">
        <v>29</v>
      </c>
      <c r="H14" s="455"/>
      <c r="I14" s="454"/>
      <c r="J14" s="454"/>
      <c r="K14" s="454"/>
    </row>
    <row r="15" spans="2:11" ht="45" x14ac:dyDescent="0.25">
      <c r="B15" s="455" t="s">
        <v>1200</v>
      </c>
      <c r="C15" s="454"/>
      <c r="D15" s="454"/>
      <c r="E15" s="455" t="s">
        <v>35</v>
      </c>
      <c r="F15" s="455" t="s">
        <v>29</v>
      </c>
      <c r="G15" s="455"/>
      <c r="H15" s="455"/>
      <c r="I15" s="454"/>
      <c r="J15" s="454"/>
      <c r="K15" s="454"/>
    </row>
    <row r="16" spans="2:11" ht="45" x14ac:dyDescent="0.25">
      <c r="B16" s="455" t="s">
        <v>1201</v>
      </c>
      <c r="C16" s="454"/>
      <c r="D16" s="454"/>
      <c r="E16" s="455" t="s">
        <v>1202</v>
      </c>
      <c r="F16" s="455"/>
      <c r="G16" s="455"/>
      <c r="H16" s="455" t="s">
        <v>29</v>
      </c>
      <c r="I16" s="454"/>
      <c r="J16" s="454"/>
      <c r="K16" s="454"/>
    </row>
    <row r="17" spans="2:11" ht="45" x14ac:dyDescent="0.25">
      <c r="B17" s="455" t="s">
        <v>1203</v>
      </c>
      <c r="C17" s="456"/>
      <c r="D17" s="456"/>
      <c r="E17" s="455" t="s">
        <v>1204</v>
      </c>
      <c r="F17" s="455"/>
      <c r="G17" s="455" t="s">
        <v>29</v>
      </c>
      <c r="H17" s="455"/>
      <c r="I17" s="454"/>
      <c r="J17" s="454"/>
      <c r="K17" s="454"/>
    </row>
    <row r="18" spans="2:11" ht="30" x14ac:dyDescent="0.25">
      <c r="B18" s="455"/>
      <c r="C18" s="454"/>
      <c r="D18" s="454"/>
      <c r="E18" s="455" t="s">
        <v>1205</v>
      </c>
      <c r="F18" s="455"/>
      <c r="G18" s="455"/>
      <c r="H18" s="455"/>
      <c r="I18" s="454"/>
      <c r="J18" s="454"/>
      <c r="K18" s="454"/>
    </row>
    <row r="19" spans="2:11" ht="30" x14ac:dyDescent="0.25">
      <c r="B19" s="455" t="s">
        <v>1206</v>
      </c>
      <c r="C19" s="454"/>
      <c r="D19" s="454"/>
      <c r="E19" s="455" t="s">
        <v>1207</v>
      </c>
      <c r="F19" s="455" t="s">
        <v>29</v>
      </c>
      <c r="G19" s="455"/>
      <c r="H19" s="455"/>
      <c r="I19" s="454"/>
      <c r="J19" s="454"/>
      <c r="K19" s="454"/>
    </row>
    <row r="20" spans="2:11" ht="30" x14ac:dyDescent="0.25">
      <c r="B20" s="455" t="s">
        <v>1208</v>
      </c>
      <c r="C20" s="454"/>
      <c r="D20" s="454"/>
      <c r="E20" s="455" t="s">
        <v>1209</v>
      </c>
      <c r="F20" s="455"/>
      <c r="G20" s="455" t="s">
        <v>29</v>
      </c>
      <c r="H20" s="455"/>
      <c r="I20" s="454"/>
      <c r="J20" s="454"/>
      <c r="K20" s="454"/>
    </row>
    <row r="21" spans="2:11" ht="30" x14ac:dyDescent="0.25">
      <c r="B21" s="455" t="s">
        <v>1210</v>
      </c>
      <c r="C21" s="454"/>
      <c r="D21" s="454"/>
      <c r="E21" s="455" t="s">
        <v>1211</v>
      </c>
      <c r="F21" s="455"/>
      <c r="G21" s="455"/>
      <c r="H21" s="455" t="s">
        <v>29</v>
      </c>
      <c r="I21" s="454"/>
      <c r="J21" s="454"/>
      <c r="K21" s="454"/>
    </row>
    <row r="22" spans="2:11" x14ac:dyDescent="0.25">
      <c r="B22" s="455" t="s">
        <v>1212</v>
      </c>
      <c r="C22" s="454"/>
      <c r="D22" s="454"/>
      <c r="E22" s="455" t="s">
        <v>1213</v>
      </c>
      <c r="F22" s="455" t="s">
        <v>1214</v>
      </c>
      <c r="G22" s="455"/>
      <c r="H22" s="455"/>
      <c r="I22" s="454"/>
      <c r="J22" s="454"/>
      <c r="K22" s="454"/>
    </row>
    <row r="23" spans="2:11" ht="30" x14ac:dyDescent="0.25">
      <c r="B23" s="455" t="s">
        <v>1215</v>
      </c>
      <c r="C23" s="454"/>
      <c r="D23" s="454"/>
      <c r="E23" s="455" t="s">
        <v>1216</v>
      </c>
      <c r="F23" s="455" t="s">
        <v>29</v>
      </c>
      <c r="G23" s="455"/>
      <c r="H23" s="455"/>
      <c r="I23" s="454"/>
      <c r="J23" s="454"/>
      <c r="K23" s="454"/>
    </row>
    <row r="24" spans="2:11" ht="60" x14ac:dyDescent="0.25">
      <c r="B24" s="455" t="s">
        <v>1217</v>
      </c>
      <c r="C24" s="454"/>
      <c r="D24" s="454"/>
      <c r="E24" s="455" t="s">
        <v>1218</v>
      </c>
      <c r="F24" s="455" t="s">
        <v>29</v>
      </c>
      <c r="G24" s="455"/>
      <c r="H24" s="455"/>
      <c r="I24" s="454"/>
      <c r="J24" s="454"/>
      <c r="K24" s="454"/>
    </row>
    <row r="25" spans="2:11" ht="30" x14ac:dyDescent="0.25">
      <c r="B25" s="455" t="s">
        <v>1219</v>
      </c>
      <c r="C25" s="454"/>
      <c r="D25" s="454"/>
      <c r="E25" s="455" t="s">
        <v>1220</v>
      </c>
      <c r="F25" s="455" t="s">
        <v>29</v>
      </c>
      <c r="G25" s="455"/>
      <c r="H25" s="455"/>
      <c r="I25" s="454"/>
      <c r="J25" s="454"/>
      <c r="K25" s="454"/>
    </row>
    <row r="26" spans="2:11" ht="30" x14ac:dyDescent="0.25">
      <c r="B26" s="455" t="s">
        <v>1221</v>
      </c>
      <c r="C26" s="454"/>
      <c r="D26" s="454"/>
      <c r="E26" s="455" t="s">
        <v>1172</v>
      </c>
      <c r="F26" s="455" t="s">
        <v>29</v>
      </c>
      <c r="G26" s="455"/>
      <c r="H26" s="455"/>
      <c r="I26" s="454"/>
      <c r="J26" s="454"/>
      <c r="K26" s="454"/>
    </row>
    <row r="27" spans="2:11" ht="30" x14ac:dyDescent="0.25">
      <c r="B27" s="455" t="s">
        <v>1222</v>
      </c>
      <c r="C27" s="454"/>
      <c r="D27" s="454"/>
      <c r="E27" s="455" t="s">
        <v>1223</v>
      </c>
      <c r="F27" s="455"/>
      <c r="G27" s="455" t="s">
        <v>29</v>
      </c>
      <c r="H27" s="455"/>
      <c r="I27" s="454"/>
      <c r="J27" s="454"/>
      <c r="K27" s="454"/>
    </row>
    <row r="28" spans="2:11" ht="30" x14ac:dyDescent="0.25">
      <c r="B28" s="455" t="s">
        <v>1224</v>
      </c>
      <c r="C28" s="454"/>
      <c r="D28" s="454"/>
      <c r="E28" s="455" t="s">
        <v>1225</v>
      </c>
      <c r="F28" s="455"/>
      <c r="G28" s="455"/>
      <c r="H28" s="455" t="s">
        <v>29</v>
      </c>
      <c r="I28" s="454"/>
      <c r="J28" s="454"/>
      <c r="K28" s="454"/>
    </row>
    <row r="29" spans="2:11" ht="60" x14ac:dyDescent="0.25">
      <c r="B29" s="455" t="s">
        <v>1226</v>
      </c>
      <c r="C29" s="454"/>
      <c r="D29" s="454"/>
      <c r="E29" s="455" t="s">
        <v>1227</v>
      </c>
      <c r="F29" s="455" t="s">
        <v>29</v>
      </c>
      <c r="G29" s="455"/>
      <c r="H29" s="455"/>
      <c r="I29" s="454"/>
      <c r="J29" s="454"/>
      <c r="K29" s="454"/>
    </row>
    <row r="30" spans="2:11" ht="60" x14ac:dyDescent="0.25">
      <c r="B30" s="455" t="s">
        <v>1228</v>
      </c>
      <c r="C30" s="454"/>
      <c r="D30" s="454"/>
      <c r="E30" s="455" t="s">
        <v>1229</v>
      </c>
      <c r="F30" s="455"/>
      <c r="G30" s="455" t="s">
        <v>29</v>
      </c>
      <c r="H30" s="455"/>
      <c r="I30" s="454"/>
      <c r="J30" s="454"/>
      <c r="K30" s="454"/>
    </row>
    <row r="31" spans="2:11" ht="60" x14ac:dyDescent="0.25">
      <c r="B31" s="455" t="s">
        <v>1230</v>
      </c>
      <c r="C31" s="454"/>
      <c r="D31" s="454"/>
      <c r="E31" s="455" t="s">
        <v>1231</v>
      </c>
      <c r="F31" s="455"/>
      <c r="G31" s="455"/>
      <c r="H31" s="455" t="s">
        <v>29</v>
      </c>
      <c r="I31" s="454"/>
      <c r="J31" s="454"/>
      <c r="K31" s="454"/>
    </row>
    <row r="32" spans="2:11" ht="45" x14ac:dyDescent="0.25">
      <c r="B32" s="455" t="s">
        <v>1232</v>
      </c>
      <c r="C32" s="454"/>
      <c r="D32" s="454"/>
      <c r="E32" s="455" t="s">
        <v>1233</v>
      </c>
      <c r="F32" s="455" t="s">
        <v>29</v>
      </c>
      <c r="G32" s="455"/>
      <c r="H32" s="455"/>
      <c r="I32" s="454"/>
      <c r="J32" s="454"/>
      <c r="K32" s="454"/>
    </row>
    <row r="33" spans="2:11" ht="45" x14ac:dyDescent="0.25">
      <c r="B33" s="455" t="s">
        <v>1234</v>
      </c>
      <c r="C33" s="454"/>
      <c r="D33" s="454"/>
      <c r="E33" s="455" t="s">
        <v>1235</v>
      </c>
      <c r="F33" s="455"/>
      <c r="G33" s="455" t="s">
        <v>29</v>
      </c>
      <c r="H33" s="455"/>
      <c r="I33" s="454"/>
      <c r="J33" s="454"/>
      <c r="K33" s="454"/>
    </row>
    <row r="34" spans="2:11" ht="45" x14ac:dyDescent="0.25">
      <c r="B34" s="455" t="s">
        <v>1236</v>
      </c>
      <c r="C34" s="454"/>
      <c r="D34" s="454"/>
      <c r="E34" s="455" t="s">
        <v>1237</v>
      </c>
      <c r="F34" s="455"/>
      <c r="G34" s="455"/>
      <c r="H34" s="455" t="s">
        <v>29</v>
      </c>
      <c r="I34" s="454"/>
      <c r="J34" s="454"/>
      <c r="K34" s="454"/>
    </row>
    <row r="35" spans="2:11" x14ac:dyDescent="0.25">
      <c r="B35" s="455"/>
      <c r="C35" s="454"/>
      <c r="D35" s="454"/>
      <c r="E35" s="455" t="s">
        <v>1238</v>
      </c>
      <c r="F35" s="455"/>
      <c r="G35" s="455"/>
      <c r="H35" s="455"/>
      <c r="I35" s="454"/>
      <c r="J35" s="454"/>
      <c r="K35" s="454"/>
    </row>
    <row r="36" spans="2:11" ht="30" x14ac:dyDescent="0.25">
      <c r="B36" s="455" t="s">
        <v>1239</v>
      </c>
      <c r="C36" s="454"/>
      <c r="D36" s="454"/>
      <c r="E36" s="455" t="s">
        <v>1091</v>
      </c>
      <c r="F36" s="455" t="s">
        <v>29</v>
      </c>
      <c r="G36" s="455"/>
      <c r="H36" s="455"/>
      <c r="I36" s="454"/>
      <c r="J36" s="454"/>
      <c r="K36" s="454"/>
    </row>
    <row r="37" spans="2:11" ht="30" x14ac:dyDescent="0.25">
      <c r="B37" s="455" t="s">
        <v>1240</v>
      </c>
      <c r="C37" s="454"/>
      <c r="D37" s="454"/>
      <c r="E37" s="455" t="s">
        <v>1241</v>
      </c>
      <c r="F37" s="455"/>
      <c r="G37" s="455" t="s">
        <v>29</v>
      </c>
      <c r="H37" s="455"/>
      <c r="I37" s="454"/>
      <c r="J37" s="454"/>
      <c r="K37" s="454"/>
    </row>
    <row r="38" spans="2:11" ht="30" x14ac:dyDescent="0.25">
      <c r="B38" s="455" t="s">
        <v>1242</v>
      </c>
      <c r="C38" s="454"/>
      <c r="D38" s="454"/>
      <c r="E38" s="455" t="s">
        <v>1243</v>
      </c>
      <c r="F38" s="455"/>
      <c r="G38" s="455"/>
      <c r="H38" s="455" t="s">
        <v>29</v>
      </c>
      <c r="I38" s="454"/>
      <c r="J38" s="454"/>
      <c r="K38" s="454"/>
    </row>
    <row r="39" spans="2:11" x14ac:dyDescent="0.25">
      <c r="B39" s="455" t="s">
        <v>1244</v>
      </c>
      <c r="C39" s="454"/>
      <c r="D39" s="454"/>
      <c r="E39" s="455" t="s">
        <v>13</v>
      </c>
      <c r="F39" s="455" t="s">
        <v>29</v>
      </c>
      <c r="G39" s="455"/>
      <c r="H39" s="455"/>
      <c r="I39" s="454"/>
      <c r="J39" s="454"/>
      <c r="K39" s="454"/>
    </row>
    <row r="40" spans="2:11" x14ac:dyDescent="0.25">
      <c r="B40" s="455" t="s">
        <v>1245</v>
      </c>
      <c r="C40" s="454"/>
      <c r="D40" s="454"/>
      <c r="E40" s="455" t="s">
        <v>1246</v>
      </c>
      <c r="F40" s="455"/>
      <c r="G40" s="455" t="s">
        <v>29</v>
      </c>
      <c r="H40" s="455"/>
      <c r="I40" s="454"/>
      <c r="J40" s="454"/>
      <c r="K40" s="454"/>
    </row>
    <row r="41" spans="2:11" x14ac:dyDescent="0.25">
      <c r="B41" s="457" t="s">
        <v>1247</v>
      </c>
      <c r="C41" s="454"/>
      <c r="D41" s="454"/>
      <c r="E41" s="457" t="s">
        <v>1248</v>
      </c>
      <c r="F41" s="457"/>
      <c r="G41" s="457"/>
      <c r="H41" s="457" t="s">
        <v>29</v>
      </c>
      <c r="I41" s="454"/>
      <c r="J41" s="454"/>
      <c r="K41" s="454"/>
    </row>
    <row r="42" spans="2:11" ht="30" x14ac:dyDescent="0.25">
      <c r="B42" s="455" t="s">
        <v>1249</v>
      </c>
      <c r="C42" s="455"/>
      <c r="D42" s="455"/>
      <c r="E42" s="455" t="s">
        <v>1250</v>
      </c>
      <c r="F42" s="455" t="s">
        <v>29</v>
      </c>
      <c r="G42" s="455"/>
      <c r="H42" s="455"/>
      <c r="I42" s="454"/>
      <c r="J42" s="454"/>
      <c r="K42" s="454"/>
    </row>
    <row r="43" spans="2:11" ht="30" x14ac:dyDescent="0.25">
      <c r="B43" s="455" t="s">
        <v>1251</v>
      </c>
      <c r="C43" s="455"/>
      <c r="D43" s="455"/>
      <c r="E43" s="455" t="s">
        <v>1252</v>
      </c>
      <c r="F43" s="455"/>
      <c r="G43" s="455" t="s">
        <v>29</v>
      </c>
      <c r="H43" s="455"/>
      <c r="I43" s="454"/>
      <c r="J43" s="454"/>
      <c r="K43" s="454"/>
    </row>
    <row r="44" spans="2:11" ht="30" x14ac:dyDescent="0.25">
      <c r="B44" s="455" t="s">
        <v>1253</v>
      </c>
      <c r="C44" s="455"/>
      <c r="D44" s="455"/>
      <c r="E44" s="455" t="s">
        <v>1254</v>
      </c>
      <c r="F44" s="455"/>
      <c r="G44" s="455"/>
      <c r="H44" s="455" t="s">
        <v>29</v>
      </c>
      <c r="I44" s="454"/>
      <c r="J44" s="454"/>
      <c r="K44" s="454"/>
    </row>
    <row r="45" spans="2:11" x14ac:dyDescent="0.25">
      <c r="B45" s="454"/>
      <c r="C45" s="454"/>
      <c r="D45" s="454"/>
      <c r="E45" s="454"/>
      <c r="F45" s="454"/>
      <c r="G45" s="454"/>
      <c r="H45" s="454"/>
      <c r="I45" s="454"/>
      <c r="J45" s="454"/>
      <c r="K45" s="454"/>
    </row>
    <row r="46" spans="2:11" x14ac:dyDescent="0.25">
      <c r="B46" s="454"/>
      <c r="C46" s="454"/>
      <c r="D46" s="454"/>
      <c r="E46" s="454"/>
      <c r="F46" s="454"/>
      <c r="G46" s="454"/>
      <c r="H46" s="454"/>
      <c r="I46" s="454"/>
      <c r="J46" s="454"/>
      <c r="K46" s="454"/>
    </row>
    <row r="47" spans="2:11" x14ac:dyDescent="0.25">
      <c r="B47" s="454"/>
      <c r="C47" s="454"/>
      <c r="D47" s="454"/>
      <c r="E47" s="454"/>
      <c r="F47" s="454"/>
      <c r="G47" s="454"/>
      <c r="H47" s="454"/>
      <c r="I47" s="454"/>
      <c r="J47" s="454"/>
      <c r="K47" s="454"/>
    </row>
    <row r="48" spans="2:11" x14ac:dyDescent="0.25">
      <c r="B48" s="454"/>
      <c r="C48" s="454"/>
      <c r="D48" s="454"/>
      <c r="E48" s="454"/>
      <c r="F48" s="454"/>
      <c r="G48" s="454"/>
      <c r="H48" s="454"/>
      <c r="I48" s="454"/>
      <c r="J48" s="454"/>
      <c r="K48" s="454"/>
    </row>
  </sheetData>
  <mergeCells count="6">
    <mergeCell ref="B6:H6"/>
    <mergeCell ref="F1:H1"/>
    <mergeCell ref="I1:K1"/>
    <mergeCell ref="F2:H2"/>
    <mergeCell ref="F3:H3"/>
    <mergeCell ref="F4:H4"/>
  </mergeCells>
  <pageMargins left="0.70866141732283472" right="0.70866141732283472" top="0.74803149606299213" bottom="0.74803149606299213" header="0.31496062992125984" footer="0.31496062992125984"/>
  <pageSetup paperSize="9" scale="60"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workbookViewId="0">
      <selection activeCell="C4" sqref="C4"/>
    </sheetView>
  </sheetViews>
  <sheetFormatPr defaultRowHeight="15" x14ac:dyDescent="0.25"/>
  <cols>
    <col min="1" max="1" width="27.7109375" style="72" customWidth="1"/>
    <col min="2" max="2" width="54" style="72" customWidth="1"/>
    <col min="3" max="3" width="21.42578125" style="72" customWidth="1"/>
    <col min="4" max="4" width="6.140625" customWidth="1"/>
    <col min="5" max="5" width="0.140625" customWidth="1"/>
    <col min="10" max="10" width="9.42578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3" t="s">
        <v>786</v>
      </c>
    </row>
    <row r="2" spans="1:5" ht="15.75" x14ac:dyDescent="0.25">
      <c r="A2" s="1"/>
      <c r="C2" s="73" t="s">
        <v>21</v>
      </c>
    </row>
    <row r="3" spans="1:5" ht="15.75" x14ac:dyDescent="0.25">
      <c r="A3" s="1"/>
      <c r="C3" s="73" t="s">
        <v>192</v>
      </c>
    </row>
    <row r="4" spans="1:5" ht="15.75" x14ac:dyDescent="0.25">
      <c r="A4" s="1"/>
      <c r="C4" s="73" t="s">
        <v>1257</v>
      </c>
    </row>
    <row r="5" spans="1:5" ht="15.75" x14ac:dyDescent="0.25">
      <c r="A5" s="1"/>
      <c r="B5" s="22"/>
      <c r="C5" s="25"/>
    </row>
    <row r="6" spans="1:5" ht="15.75" x14ac:dyDescent="0.25">
      <c r="A6" s="1"/>
      <c r="B6" s="22"/>
      <c r="C6" s="25"/>
    </row>
    <row r="7" spans="1:5" ht="15.75" customHeight="1" x14ac:dyDescent="0.25">
      <c r="A7" s="465" t="s">
        <v>580</v>
      </c>
      <c r="B7" s="465"/>
      <c r="C7" s="465"/>
      <c r="D7" s="465"/>
      <c r="E7" s="465"/>
    </row>
    <row r="8" spans="1:5" ht="15.75" x14ac:dyDescent="0.25">
      <c r="A8" s="74"/>
      <c r="B8" s="74"/>
      <c r="C8" s="74"/>
    </row>
    <row r="9" spans="1:5" ht="15.75" x14ac:dyDescent="0.25">
      <c r="A9" s="466" t="s">
        <v>794</v>
      </c>
      <c r="B9" s="468" t="s">
        <v>793</v>
      </c>
      <c r="C9" s="470" t="s">
        <v>193</v>
      </c>
      <c r="D9" s="470"/>
      <c r="E9" s="470"/>
    </row>
    <row r="10" spans="1:5" ht="54" customHeight="1" x14ac:dyDescent="0.25">
      <c r="A10" s="467"/>
      <c r="B10" s="469"/>
      <c r="C10" s="472">
        <v>2016</v>
      </c>
      <c r="D10" s="473"/>
      <c r="E10" s="75">
        <v>2017</v>
      </c>
    </row>
    <row r="11" spans="1:5" ht="31.5" x14ac:dyDescent="0.25">
      <c r="A11" s="76" t="s">
        <v>194</v>
      </c>
      <c r="B11" s="77" t="s">
        <v>164</v>
      </c>
      <c r="C11" s="474">
        <f>C12</f>
        <v>0</v>
      </c>
      <c r="D11" s="475"/>
      <c r="E11" s="78">
        <f>E12+E13</f>
        <v>0</v>
      </c>
    </row>
    <row r="12" spans="1:5" ht="47.25" x14ac:dyDescent="0.25">
      <c r="A12" s="79" t="s">
        <v>195</v>
      </c>
      <c r="B12" s="80" t="s">
        <v>196</v>
      </c>
      <c r="C12" s="474">
        <v>0</v>
      </c>
      <c r="D12" s="475"/>
      <c r="E12" s="81">
        <v>0</v>
      </c>
    </row>
    <row r="13" spans="1:5" ht="47.25" x14ac:dyDescent="0.25">
      <c r="A13" s="79" t="s">
        <v>197</v>
      </c>
      <c r="B13" s="80" t="s">
        <v>198</v>
      </c>
      <c r="C13" s="474">
        <v>0</v>
      </c>
      <c r="D13" s="475"/>
      <c r="E13" s="81">
        <v>0</v>
      </c>
    </row>
    <row r="14" spans="1:5" ht="47.25" x14ac:dyDescent="0.25">
      <c r="A14" s="79" t="s">
        <v>199</v>
      </c>
      <c r="B14" s="80" t="s">
        <v>200</v>
      </c>
      <c r="C14" s="474">
        <f>C15+C16</f>
        <v>0</v>
      </c>
      <c r="D14" s="475"/>
      <c r="E14" s="38">
        <v>-1272000</v>
      </c>
    </row>
    <row r="15" spans="1:5" ht="63" x14ac:dyDescent="0.25">
      <c r="A15" s="79" t="s">
        <v>201</v>
      </c>
      <c r="B15" s="80" t="s">
        <v>202</v>
      </c>
      <c r="C15" s="474">
        <v>0</v>
      </c>
      <c r="D15" s="475"/>
      <c r="E15" s="81">
        <v>0</v>
      </c>
    </row>
    <row r="16" spans="1:5" ht="47.25" x14ac:dyDescent="0.25">
      <c r="A16" s="23" t="s">
        <v>203</v>
      </c>
      <c r="B16" s="18" t="s">
        <v>204</v>
      </c>
      <c r="C16" s="474">
        <v>0</v>
      </c>
      <c r="D16" s="475"/>
      <c r="E16" s="81">
        <v>-1272000</v>
      </c>
    </row>
    <row r="17" spans="1:5" ht="32.25" x14ac:dyDescent="0.3">
      <c r="A17" s="23" t="s">
        <v>205</v>
      </c>
      <c r="B17" s="18" t="s">
        <v>163</v>
      </c>
      <c r="C17" s="474">
        <v>97339105.299999997</v>
      </c>
      <c r="D17" s="475"/>
      <c r="E17" s="82">
        <v>0</v>
      </c>
    </row>
    <row r="18" spans="1:5" ht="31.5" x14ac:dyDescent="0.25">
      <c r="A18" s="79" t="s">
        <v>206</v>
      </c>
      <c r="B18" s="80" t="s">
        <v>207</v>
      </c>
      <c r="C18" s="474">
        <f>C19+C20</f>
        <v>5888960.0499999998</v>
      </c>
      <c r="D18" s="475"/>
      <c r="E18" s="81">
        <v>759000</v>
      </c>
    </row>
    <row r="19" spans="1:5" ht="63" x14ac:dyDescent="0.25">
      <c r="A19" s="83" t="s">
        <v>208</v>
      </c>
      <c r="B19" s="80" t="s">
        <v>209</v>
      </c>
      <c r="C19" s="474">
        <v>0</v>
      </c>
      <c r="D19" s="475"/>
      <c r="E19" s="81">
        <v>0</v>
      </c>
    </row>
    <row r="20" spans="1:5" ht="63" x14ac:dyDescent="0.25">
      <c r="A20" s="264" t="s">
        <v>210</v>
      </c>
      <c r="B20" s="18" t="s">
        <v>211</v>
      </c>
      <c r="C20" s="474">
        <v>5888960.0499999998</v>
      </c>
      <c r="D20" s="475"/>
      <c r="E20" s="81">
        <v>759000</v>
      </c>
    </row>
    <row r="21" spans="1:5" ht="33.75" customHeight="1" x14ac:dyDescent="0.25">
      <c r="A21" s="84" t="s">
        <v>175</v>
      </c>
      <c r="B21" s="85" t="s">
        <v>212</v>
      </c>
      <c r="C21" s="474">
        <f>C17+C16+C18+C12+C19</f>
        <v>103228065.34999999</v>
      </c>
      <c r="D21" s="475"/>
      <c r="E21" s="38">
        <f>E14+E15+E18</f>
        <v>-513000</v>
      </c>
    </row>
    <row r="22" spans="1:5" ht="0.75" hidden="1" customHeight="1" x14ac:dyDescent="0.25">
      <c r="A22" s="471" t="s">
        <v>213</v>
      </c>
      <c r="B22" s="471"/>
      <c r="C22" s="471"/>
    </row>
    <row r="23" spans="1:5" ht="16.5" hidden="1" x14ac:dyDescent="0.3">
      <c r="B23" s="86" t="s">
        <v>214</v>
      </c>
      <c r="C23" s="478">
        <f>П3ДОХОДЫ!E93+П2ИВФ!C20</f>
        <v>805745363.00999987</v>
      </c>
      <c r="D23" s="478"/>
      <c r="E23" s="87">
        <f>E12+E15+E17+E20</f>
        <v>759000</v>
      </c>
    </row>
    <row r="24" spans="1:5" s="89" customFormat="1" ht="16.5" hidden="1" x14ac:dyDescent="0.3">
      <c r="A24" s="72"/>
      <c r="B24" s="88" t="s">
        <v>215</v>
      </c>
      <c r="C24" s="478">
        <f>П5ВЕД!AA488</f>
        <v>903084468.31000006</v>
      </c>
      <c r="D24" s="478"/>
      <c r="E24" s="87">
        <f>E13+E16+E19</f>
        <v>-1272000</v>
      </c>
    </row>
    <row r="25" spans="1:5" hidden="1" x14ac:dyDescent="0.25">
      <c r="B25" s="72" t="s">
        <v>848</v>
      </c>
      <c r="C25" s="477">
        <f>C24-C23</f>
        <v>97339105.300000191</v>
      </c>
      <c r="D25" s="477"/>
    </row>
    <row r="26" spans="1:5" hidden="1" x14ac:dyDescent="0.25"/>
    <row r="27" spans="1:5" hidden="1" x14ac:dyDescent="0.25">
      <c r="B27" s="15" t="s">
        <v>216</v>
      </c>
      <c r="C27" s="477">
        <f>-C14+C12</f>
        <v>0</v>
      </c>
      <c r="D27" s="477"/>
      <c r="E27" s="90">
        <f>-E14+E12</f>
        <v>1272000</v>
      </c>
    </row>
    <row r="28" spans="1:5" hidden="1" x14ac:dyDescent="0.25">
      <c r="B28" s="15" t="s">
        <v>217</v>
      </c>
      <c r="C28" s="477">
        <f>-C16+C12+C15+C14</f>
        <v>0</v>
      </c>
      <c r="D28" s="477"/>
    </row>
    <row r="29" spans="1:5" hidden="1" x14ac:dyDescent="0.25"/>
    <row r="30" spans="1:5" hidden="1" x14ac:dyDescent="0.25">
      <c r="B30" s="72" t="s">
        <v>525</v>
      </c>
      <c r="C30" s="476">
        <f>(П5ВЕД!AA488-П3ДОХОДЫ!E93)/П3ДОХОДЫ!E96*100</f>
        <v>58.615227633578471</v>
      </c>
      <c r="D30" s="476"/>
      <c r="E30" s="72" t="e">
        <f>(П5ВЕД!AC488-П3ДОХОДЫ!F107-П2ИВФ!E17)/П3ДОХОДЫ!F108*100</f>
        <v>#DIV/0!</v>
      </c>
    </row>
    <row r="31" spans="1:5" hidden="1" x14ac:dyDescent="0.25">
      <c r="B31" s="72" t="s">
        <v>849</v>
      </c>
      <c r="C31" s="477">
        <f>(П3ДОХОДЫ!E93-П5ВЕД!AA488+П2ИВФ!C17)/П3ДОХОДЫ!E96*100</f>
        <v>-3.3438845597410753</v>
      </c>
      <c r="D31" s="477"/>
      <c r="E31" s="90"/>
    </row>
    <row r="32" spans="1:5" hidden="1" x14ac:dyDescent="0.25"/>
    <row r="33" spans="3:3" hidden="1" x14ac:dyDescent="0.25">
      <c r="C33" s="90"/>
    </row>
    <row r="34" spans="3:3" ht="0.75" hidden="1" customHeight="1" x14ac:dyDescent="0.25">
      <c r="C34" s="90">
        <f>(П3ДОХОДЫ!E93-П5ВЕД!AA488)/П3ДОХОДЫ!E96*100</f>
        <v>-58.615227633578471</v>
      </c>
    </row>
    <row r="35" spans="3:3" ht="15.75" hidden="1" customHeight="1" x14ac:dyDescent="0.25">
      <c r="C35" s="72">
        <f>(П3ДОХОДЫ!E93-П5ВЕД!AA488+П2ИВФ!C17)/П3ДОХОДЫ!E96*100</f>
        <v>-3.3438845597410753</v>
      </c>
    </row>
    <row r="36" spans="3:3" hidden="1" x14ac:dyDescent="0.25"/>
    <row r="37" spans="3:3" hidden="1" x14ac:dyDescent="0.25"/>
  </sheetData>
  <mergeCells count="24">
    <mergeCell ref="C21:D21"/>
    <mergeCell ref="C30:D30"/>
    <mergeCell ref="C31:D31"/>
    <mergeCell ref="C23:D23"/>
    <mergeCell ref="C24:D24"/>
    <mergeCell ref="C25:D25"/>
    <mergeCell ref="C27:D27"/>
    <mergeCell ref="C28:D28"/>
    <mergeCell ref="A7:E7"/>
    <mergeCell ref="A9:A10"/>
    <mergeCell ref="B9:B10"/>
    <mergeCell ref="C9:E9"/>
    <mergeCell ref="A22:C22"/>
    <mergeCell ref="C10:D10"/>
    <mergeCell ref="C11:D11"/>
    <mergeCell ref="C12:D12"/>
    <mergeCell ref="C13:D13"/>
    <mergeCell ref="C14:D14"/>
    <mergeCell ref="C15:D15"/>
    <mergeCell ref="C16:D16"/>
    <mergeCell ref="C17:D17"/>
    <mergeCell ref="C18:D18"/>
    <mergeCell ref="C19:D19"/>
    <mergeCell ref="C20:D20"/>
  </mergeCells>
  <pageMargins left="0.59055118110236227" right="0.19685039370078741" top="0.74803149606299213" bottom="0.74803149606299213" header="0.31496062992125984" footer="0.31496062992125984"/>
  <pageSetup paperSize="9"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workbookViewId="0">
      <selection activeCell="E5" sqref="E5"/>
    </sheetView>
  </sheetViews>
  <sheetFormatPr defaultRowHeight="15" x14ac:dyDescent="0.25"/>
  <cols>
    <col min="1" max="1" width="9.28515625" style="265" customWidth="1"/>
    <col min="2" max="2" width="18.28515625" style="265" customWidth="1"/>
    <col min="3" max="3" width="11.5703125" style="265" customWidth="1"/>
    <col min="4" max="4" width="59.85546875" style="265" customWidth="1"/>
    <col min="5" max="5" width="29.5703125" style="265" customWidth="1"/>
    <col min="6" max="6" width="19.28515625" style="265" customWidth="1"/>
    <col min="7" max="16384" width="9.140625" style="265"/>
  </cols>
  <sheetData>
    <row r="1" spans="1:10" ht="12.75" customHeight="1" x14ac:dyDescent="0.25">
      <c r="A1" s="252"/>
      <c r="B1" s="253"/>
      <c r="C1" s="253"/>
      <c r="D1" s="270"/>
      <c r="E1" s="270" t="s">
        <v>893</v>
      </c>
      <c r="F1" s="73"/>
      <c r="G1" s="73"/>
      <c r="H1" s="73"/>
      <c r="I1" s="73"/>
      <c r="J1" s="73"/>
    </row>
    <row r="2" spans="1:10" ht="12.75" customHeight="1" x14ac:dyDescent="0.25">
      <c r="A2" s="180"/>
      <c r="B2" s="181"/>
      <c r="C2" s="181"/>
      <c r="D2" s="270"/>
      <c r="E2" s="270" t="s">
        <v>21</v>
      </c>
      <c r="F2" s="73"/>
      <c r="G2" s="73"/>
      <c r="H2" s="73"/>
      <c r="I2" s="73"/>
      <c r="J2" s="73"/>
    </row>
    <row r="3" spans="1:10" ht="15.75" x14ac:dyDescent="0.25">
      <c r="A3" s="180"/>
      <c r="B3" s="181"/>
      <c r="C3" s="181"/>
      <c r="D3" s="270"/>
      <c r="E3" s="270" t="s">
        <v>23</v>
      </c>
      <c r="F3" s="73"/>
      <c r="G3" s="73"/>
      <c r="H3" s="73"/>
      <c r="I3" s="73"/>
      <c r="J3" s="73"/>
    </row>
    <row r="4" spans="1:10" ht="16.5" customHeight="1" x14ac:dyDescent="0.25">
      <c r="A4" s="180"/>
      <c r="B4" s="181"/>
      <c r="C4" s="181"/>
      <c r="D4" s="270"/>
      <c r="E4" s="270" t="s">
        <v>1257</v>
      </c>
      <c r="F4" s="73"/>
      <c r="G4" s="73"/>
      <c r="H4" s="73"/>
      <c r="I4" s="73"/>
      <c r="J4" s="73"/>
    </row>
    <row r="5" spans="1:10" x14ac:dyDescent="0.25">
      <c r="A5" s="182"/>
      <c r="B5" s="182"/>
      <c r="C5" s="182"/>
      <c r="D5" s="182"/>
      <c r="E5" s="183"/>
      <c r="F5" s="183"/>
      <c r="G5" s="182"/>
      <c r="H5" s="182"/>
    </row>
    <row r="6" spans="1:10" ht="16.5" customHeight="1" x14ac:dyDescent="0.25">
      <c r="A6" s="182"/>
      <c r="B6" s="182"/>
      <c r="C6" s="182"/>
      <c r="D6" s="182"/>
      <c r="E6" s="182"/>
      <c r="F6" s="182"/>
      <c r="G6" s="182"/>
      <c r="H6" s="182"/>
    </row>
    <row r="7" spans="1:10" ht="15.75" x14ac:dyDescent="0.25">
      <c r="A7" s="484" t="s">
        <v>557</v>
      </c>
      <c r="B7" s="484"/>
      <c r="C7" s="484"/>
      <c r="D7" s="484"/>
      <c r="E7" s="484"/>
      <c r="F7" s="182"/>
      <c r="G7" s="182"/>
      <c r="H7" s="182"/>
    </row>
    <row r="8" spans="1:10" ht="13.15" customHeight="1" x14ac:dyDescent="0.25">
      <c r="A8" s="182"/>
      <c r="B8" s="182"/>
      <c r="C8" s="182"/>
      <c r="D8" s="182"/>
      <c r="E8" s="182"/>
      <c r="F8" s="182"/>
      <c r="G8" s="182"/>
      <c r="H8" s="182"/>
    </row>
    <row r="9" spans="1:10" ht="27.75" hidden="1" customHeight="1" x14ac:dyDescent="0.25">
      <c r="A9" s="184"/>
      <c r="B9" s="185"/>
      <c r="C9" s="185"/>
      <c r="D9" s="185"/>
      <c r="E9" s="185"/>
      <c r="F9" s="182"/>
      <c r="G9" s="182"/>
      <c r="H9" s="182"/>
    </row>
    <row r="10" spans="1:10" ht="18.75" customHeight="1" x14ac:dyDescent="0.25">
      <c r="A10" s="182"/>
      <c r="B10" s="182"/>
      <c r="C10" s="182"/>
      <c r="D10" s="182"/>
      <c r="E10" s="182"/>
      <c r="F10" s="182"/>
      <c r="G10" s="182"/>
      <c r="H10" s="182"/>
    </row>
    <row r="11" spans="1:10" ht="20.25" customHeight="1" x14ac:dyDescent="0.25">
      <c r="A11" s="182" t="s">
        <v>558</v>
      </c>
      <c r="B11" s="182"/>
      <c r="C11" s="182"/>
      <c r="D11" s="182"/>
      <c r="E11" s="182"/>
      <c r="F11" s="182"/>
      <c r="G11" s="182"/>
      <c r="H11" s="182"/>
    </row>
    <row r="12" spans="1:10" ht="61.9" customHeight="1" x14ac:dyDescent="0.25">
      <c r="A12" s="186" t="s">
        <v>44</v>
      </c>
      <c r="B12" s="485" t="s">
        <v>795</v>
      </c>
      <c r="C12" s="486"/>
      <c r="D12" s="186" t="s">
        <v>829</v>
      </c>
      <c r="E12" s="186" t="s">
        <v>830</v>
      </c>
    </row>
    <row r="13" spans="1:10" ht="45" customHeight="1" x14ac:dyDescent="0.3">
      <c r="A13" s="416" t="s">
        <v>11</v>
      </c>
      <c r="B13" s="482" t="s">
        <v>1151</v>
      </c>
      <c r="C13" s="483"/>
      <c r="D13" s="421" t="s">
        <v>1088</v>
      </c>
      <c r="E13" s="188">
        <f>140100+29700</f>
        <v>169800</v>
      </c>
    </row>
    <row r="14" spans="1:10" ht="54.75" customHeight="1" x14ac:dyDescent="0.3">
      <c r="A14" s="427" t="s">
        <v>11</v>
      </c>
      <c r="B14" s="479" t="s">
        <v>796</v>
      </c>
      <c r="C14" s="480"/>
      <c r="D14" s="263" t="s">
        <v>7</v>
      </c>
      <c r="E14" s="245">
        <f>1776308-10000</f>
        <v>1766308</v>
      </c>
    </row>
    <row r="15" spans="1:10" ht="81.75" customHeight="1" x14ac:dyDescent="0.3">
      <c r="A15" s="187" t="s">
        <v>11</v>
      </c>
      <c r="B15" s="482" t="s">
        <v>889</v>
      </c>
      <c r="C15" s="483"/>
      <c r="D15" s="175" t="s">
        <v>522</v>
      </c>
      <c r="E15" s="188">
        <v>23601</v>
      </c>
    </row>
    <row r="16" spans="1:10" ht="46.5" customHeight="1" x14ac:dyDescent="0.3">
      <c r="A16" s="187" t="s">
        <v>11</v>
      </c>
      <c r="B16" s="482" t="s">
        <v>862</v>
      </c>
      <c r="C16" s="483"/>
      <c r="D16" s="192" t="s">
        <v>863</v>
      </c>
      <c r="E16" s="188">
        <v>24186.27</v>
      </c>
    </row>
    <row r="17" spans="1:7" ht="30.75" customHeight="1" x14ac:dyDescent="0.3">
      <c r="A17" s="416" t="s">
        <v>11</v>
      </c>
      <c r="B17" s="482" t="s">
        <v>797</v>
      </c>
      <c r="C17" s="483"/>
      <c r="D17" s="251" t="s">
        <v>573</v>
      </c>
      <c r="E17" s="188">
        <f>573400+573400+584400+147000+87107200+24200-24.78-2.95-18.95-2.9-24200+58.82-130391.82-4760796.84+1770359.93-16667</f>
        <v>85847913.50999999</v>
      </c>
      <c r="F17" s="254"/>
      <c r="G17" s="287"/>
    </row>
    <row r="18" spans="1:7" ht="73.5" customHeight="1" x14ac:dyDescent="0.3">
      <c r="A18" s="427" t="s">
        <v>11</v>
      </c>
      <c r="B18" s="479" t="s">
        <v>798</v>
      </c>
      <c r="C18" s="480"/>
      <c r="D18" s="250" t="s">
        <v>576</v>
      </c>
      <c r="E18" s="245">
        <f>2178000+4356000+1089000-101384</f>
        <v>7521616</v>
      </c>
    </row>
    <row r="19" spans="1:7" ht="53.25" customHeight="1" x14ac:dyDescent="0.3">
      <c r="A19" s="416" t="s">
        <v>11</v>
      </c>
      <c r="B19" s="482" t="s">
        <v>846</v>
      </c>
      <c r="C19" s="483"/>
      <c r="D19" s="251" t="s">
        <v>845</v>
      </c>
      <c r="E19" s="188">
        <f>-9365202.59+2300000+7065202.59-169800</f>
        <v>-169800</v>
      </c>
    </row>
    <row r="20" spans="1:7" ht="53.25" customHeight="1" x14ac:dyDescent="0.3">
      <c r="A20" s="187" t="s">
        <v>11</v>
      </c>
      <c r="B20" s="482" t="s">
        <v>921</v>
      </c>
      <c r="C20" s="483"/>
      <c r="D20" s="266" t="s">
        <v>923</v>
      </c>
      <c r="E20" s="188">
        <v>471100</v>
      </c>
    </row>
    <row r="21" spans="1:7" ht="53.25" customHeight="1" x14ac:dyDescent="0.3">
      <c r="A21" s="187" t="s">
        <v>11</v>
      </c>
      <c r="B21" s="482" t="s">
        <v>922</v>
      </c>
      <c r="C21" s="483"/>
      <c r="D21" s="266" t="s">
        <v>924</v>
      </c>
      <c r="E21" s="188">
        <v>400000</v>
      </c>
    </row>
    <row r="22" spans="1:7" ht="91.5" customHeight="1" x14ac:dyDescent="0.3">
      <c r="A22" s="187" t="s">
        <v>11</v>
      </c>
      <c r="B22" s="482" t="s">
        <v>953</v>
      </c>
      <c r="C22" s="483"/>
      <c r="D22" s="266" t="s">
        <v>954</v>
      </c>
      <c r="E22" s="188">
        <v>155395336</v>
      </c>
    </row>
    <row r="23" spans="1:7" ht="33" customHeight="1" x14ac:dyDescent="0.3">
      <c r="A23" s="427" t="s">
        <v>11</v>
      </c>
      <c r="B23" s="479" t="s">
        <v>802</v>
      </c>
      <c r="C23" s="480"/>
      <c r="D23" s="269" t="s">
        <v>577</v>
      </c>
      <c r="E23" s="245">
        <f>1500000+97617</f>
        <v>1597617</v>
      </c>
    </row>
    <row r="24" spans="1:7" ht="53.25" customHeight="1" x14ac:dyDescent="0.3">
      <c r="A24" s="187" t="s">
        <v>11</v>
      </c>
      <c r="B24" s="482" t="s">
        <v>881</v>
      </c>
      <c r="C24" s="483"/>
      <c r="D24" s="414" t="s">
        <v>882</v>
      </c>
      <c r="E24" s="188">
        <f>638410.08-95763.09+95763.09</f>
        <v>638410.07999999996</v>
      </c>
    </row>
    <row r="25" spans="1:7" ht="50.25" customHeight="1" x14ac:dyDescent="0.3">
      <c r="A25" s="427" t="s">
        <v>12</v>
      </c>
      <c r="B25" s="479" t="s">
        <v>864</v>
      </c>
      <c r="C25" s="480"/>
      <c r="D25" s="250" t="s">
        <v>571</v>
      </c>
      <c r="E25" s="245">
        <f>164987000+1051310+5+533500</f>
        <v>166571815</v>
      </c>
    </row>
    <row r="26" spans="1:7" ht="57" customHeight="1" x14ac:dyDescent="0.3">
      <c r="A26" s="427" t="s">
        <v>12</v>
      </c>
      <c r="B26" s="479" t="s">
        <v>799</v>
      </c>
      <c r="C26" s="480"/>
      <c r="D26" s="250" t="s">
        <v>71</v>
      </c>
      <c r="E26" s="245">
        <f>100000+61555.24+20448.25+20281.88+10000</f>
        <v>212285.37</v>
      </c>
    </row>
    <row r="27" spans="1:7" ht="57" customHeight="1" x14ac:dyDescent="0.3">
      <c r="A27" s="413" t="s">
        <v>12</v>
      </c>
      <c r="B27" s="482" t="s">
        <v>826</v>
      </c>
      <c r="C27" s="483"/>
      <c r="D27" s="192" t="s">
        <v>563</v>
      </c>
      <c r="E27" s="188">
        <f>20000+15000+10000</f>
        <v>45000</v>
      </c>
    </row>
    <row r="28" spans="1:7" ht="57" customHeight="1" x14ac:dyDescent="0.3">
      <c r="A28" s="187" t="s">
        <v>12</v>
      </c>
      <c r="B28" s="482" t="s">
        <v>802</v>
      </c>
      <c r="C28" s="483"/>
      <c r="D28" s="192" t="s">
        <v>952</v>
      </c>
      <c r="E28" s="188">
        <v>11787484</v>
      </c>
    </row>
    <row r="29" spans="1:7" ht="39" customHeight="1" x14ac:dyDescent="0.3">
      <c r="A29" s="187" t="s">
        <v>12</v>
      </c>
      <c r="B29" s="482" t="s">
        <v>801</v>
      </c>
      <c r="C29" s="483"/>
      <c r="D29" s="192" t="s">
        <v>572</v>
      </c>
      <c r="E29" s="188">
        <v>1000000</v>
      </c>
    </row>
    <row r="30" spans="1:7" ht="66.75" customHeight="1" x14ac:dyDescent="0.3">
      <c r="A30" s="187" t="s">
        <v>12</v>
      </c>
      <c r="B30" s="482" t="s">
        <v>930</v>
      </c>
      <c r="C30" s="483"/>
      <c r="D30" s="192" t="s">
        <v>931</v>
      </c>
      <c r="E30" s="188">
        <f>11787484-11787484</f>
        <v>0</v>
      </c>
    </row>
    <row r="31" spans="1:7" ht="70.5" customHeight="1" x14ac:dyDescent="0.3">
      <c r="A31" s="187" t="s">
        <v>12</v>
      </c>
      <c r="B31" s="482" t="s">
        <v>800</v>
      </c>
      <c r="C31" s="483"/>
      <c r="D31" s="251" t="s">
        <v>584</v>
      </c>
      <c r="E31" s="188">
        <f>600000+10000+2340000+50000+50000</f>
        <v>3050000</v>
      </c>
      <c r="F31" s="280"/>
    </row>
    <row r="32" spans="1:7" ht="42" customHeight="1" x14ac:dyDescent="0.3">
      <c r="A32" s="187" t="s">
        <v>12</v>
      </c>
      <c r="B32" s="482" t="s">
        <v>912</v>
      </c>
      <c r="C32" s="483"/>
      <c r="D32" s="251" t="s">
        <v>913</v>
      </c>
      <c r="E32" s="188">
        <v>-36300000</v>
      </c>
      <c r="F32" s="280"/>
    </row>
    <row r="33" spans="1:5" ht="37.5" customHeight="1" x14ac:dyDescent="0.3">
      <c r="A33" s="416" t="s">
        <v>14</v>
      </c>
      <c r="B33" s="482" t="s">
        <v>801</v>
      </c>
      <c r="C33" s="483"/>
      <c r="D33" s="251" t="s">
        <v>572</v>
      </c>
      <c r="E33" s="188">
        <f>155831300+43977400-50.43-56.79-2398764.17</f>
        <v>197409828.61000001</v>
      </c>
    </row>
    <row r="34" spans="1:5" ht="87" customHeight="1" x14ac:dyDescent="0.3">
      <c r="A34" s="416" t="s">
        <v>14</v>
      </c>
      <c r="B34" s="482" t="s">
        <v>797</v>
      </c>
      <c r="C34" s="483"/>
      <c r="D34" s="251" t="s">
        <v>574</v>
      </c>
      <c r="E34" s="188">
        <f>7075400+22.92+164082.2+3587433.34</f>
        <v>10826938.460000001</v>
      </c>
    </row>
    <row r="35" spans="1:5" ht="59.25" customHeight="1" x14ac:dyDescent="0.3">
      <c r="A35" s="187" t="s">
        <v>14</v>
      </c>
      <c r="B35" s="482" t="s">
        <v>865</v>
      </c>
      <c r="C35" s="483"/>
      <c r="D35" s="251" t="s">
        <v>866</v>
      </c>
      <c r="E35" s="188">
        <v>1241856</v>
      </c>
    </row>
    <row r="36" spans="1:5" ht="38.25" customHeight="1" x14ac:dyDescent="0.3">
      <c r="A36" s="187" t="s">
        <v>14</v>
      </c>
      <c r="B36" s="482" t="s">
        <v>797</v>
      </c>
      <c r="C36" s="483"/>
      <c r="D36" s="251" t="s">
        <v>573</v>
      </c>
      <c r="E36" s="188">
        <f>1241900+55100+1750200-2.48-8.85-1241900</f>
        <v>1805288.67</v>
      </c>
    </row>
    <row r="37" spans="1:5" ht="58.5" customHeight="1" x14ac:dyDescent="0.3">
      <c r="A37" s="416" t="s">
        <v>14</v>
      </c>
      <c r="B37" s="482" t="s">
        <v>867</v>
      </c>
      <c r="C37" s="483"/>
      <c r="D37" s="251" t="s">
        <v>575</v>
      </c>
      <c r="E37" s="188">
        <f>15024600+54.55-3663248.83+1404986.76</f>
        <v>12766392.48</v>
      </c>
    </row>
    <row r="38" spans="1:5" ht="36" customHeight="1" x14ac:dyDescent="0.3">
      <c r="A38" s="416" t="s">
        <v>14</v>
      </c>
      <c r="B38" s="482" t="s">
        <v>802</v>
      </c>
      <c r="C38" s="483"/>
      <c r="D38" s="251" t="s">
        <v>577</v>
      </c>
      <c r="E38" s="188">
        <f>1361000+130+205210</f>
        <v>1566340</v>
      </c>
    </row>
    <row r="39" spans="1:5" ht="59.25" customHeight="1" x14ac:dyDescent="0.3">
      <c r="A39" s="416" t="s">
        <v>14</v>
      </c>
      <c r="B39" s="482" t="s">
        <v>846</v>
      </c>
      <c r="C39" s="483"/>
      <c r="D39" s="251" t="s">
        <v>845</v>
      </c>
      <c r="E39" s="188">
        <f>-6408452.14+1929041.48+80226.97+2957120.27</f>
        <v>-1442063.4200000004</v>
      </c>
    </row>
    <row r="40" spans="1:5" ht="84.75" customHeight="1" x14ac:dyDescent="0.3">
      <c r="A40" s="416" t="s">
        <v>1155</v>
      </c>
      <c r="B40" s="482" t="s">
        <v>804</v>
      </c>
      <c r="C40" s="483"/>
      <c r="D40" s="192" t="s">
        <v>523</v>
      </c>
      <c r="E40" s="188">
        <v>11612.3</v>
      </c>
    </row>
    <row r="41" spans="1:5" ht="105.75" customHeight="1" x14ac:dyDescent="0.3">
      <c r="A41" s="427" t="s">
        <v>1155</v>
      </c>
      <c r="B41" s="479" t="s">
        <v>1175</v>
      </c>
      <c r="C41" s="480"/>
      <c r="D41" s="448" t="s">
        <v>1176</v>
      </c>
      <c r="E41" s="245">
        <v>131.80000000000001</v>
      </c>
    </row>
    <row r="42" spans="1:5" ht="59.25" customHeight="1" x14ac:dyDescent="0.3">
      <c r="A42" s="416" t="s">
        <v>1156</v>
      </c>
      <c r="B42" s="482" t="s">
        <v>808</v>
      </c>
      <c r="C42" s="483"/>
      <c r="D42" s="192" t="s">
        <v>1126</v>
      </c>
      <c r="E42" s="188">
        <v>94505.68</v>
      </c>
    </row>
    <row r="43" spans="1:5" ht="80.25" customHeight="1" x14ac:dyDescent="0.3">
      <c r="A43" s="427" t="s">
        <v>1156</v>
      </c>
      <c r="B43" s="479" t="s">
        <v>1157</v>
      </c>
      <c r="C43" s="480"/>
      <c r="D43" s="263" t="s">
        <v>1158</v>
      </c>
      <c r="E43" s="245">
        <f>34548.05+5418.95</f>
        <v>39967</v>
      </c>
    </row>
    <row r="44" spans="1:5" ht="116.25" customHeight="1" x14ac:dyDescent="0.3">
      <c r="A44" s="427" t="s">
        <v>1177</v>
      </c>
      <c r="B44" s="479" t="s">
        <v>1175</v>
      </c>
      <c r="C44" s="480"/>
      <c r="D44" s="448" t="s">
        <v>1176</v>
      </c>
      <c r="E44" s="245">
        <v>1.0900000000000001</v>
      </c>
    </row>
    <row r="45" spans="1:5" ht="100.5" customHeight="1" x14ac:dyDescent="0.3">
      <c r="A45" s="427" t="s">
        <v>16</v>
      </c>
      <c r="B45" s="479" t="s">
        <v>803</v>
      </c>
      <c r="C45" s="480"/>
      <c r="D45" s="263" t="s">
        <v>559</v>
      </c>
      <c r="E45" s="245">
        <f>500000+28000+52000+243427</f>
        <v>823427</v>
      </c>
    </row>
    <row r="46" spans="1:5" ht="96.75" customHeight="1" x14ac:dyDescent="0.3">
      <c r="A46" s="427" t="s">
        <v>16</v>
      </c>
      <c r="B46" s="479" t="s">
        <v>804</v>
      </c>
      <c r="C46" s="480"/>
      <c r="D46" s="263" t="s">
        <v>523</v>
      </c>
      <c r="E46" s="245">
        <f>1000000+221860</f>
        <v>1221860</v>
      </c>
    </row>
    <row r="47" spans="1:5" ht="93.75" customHeight="1" x14ac:dyDescent="0.3">
      <c r="A47" s="427" t="s">
        <v>16</v>
      </c>
      <c r="B47" s="479" t="s">
        <v>805</v>
      </c>
      <c r="C47" s="480"/>
      <c r="D47" s="263" t="s">
        <v>560</v>
      </c>
      <c r="E47" s="245">
        <f>11000000+1523985</f>
        <v>12523985</v>
      </c>
    </row>
    <row r="48" spans="1:5" ht="93.75" customHeight="1" x14ac:dyDescent="0.3">
      <c r="A48" s="427" t="s">
        <v>16</v>
      </c>
      <c r="B48" s="479" t="s">
        <v>1178</v>
      </c>
      <c r="C48" s="480"/>
      <c r="D48" s="448" t="s">
        <v>1179</v>
      </c>
      <c r="E48" s="245">
        <v>452345</v>
      </c>
    </row>
    <row r="49" spans="1:6" ht="63.75" customHeight="1" x14ac:dyDescent="0.3">
      <c r="A49" s="427" t="s">
        <v>16</v>
      </c>
      <c r="B49" s="479" t="s">
        <v>946</v>
      </c>
      <c r="C49" s="480"/>
      <c r="D49" s="263" t="s">
        <v>947</v>
      </c>
      <c r="E49" s="245">
        <f>170363.23+22925.54+169800+128552.23</f>
        <v>491641</v>
      </c>
    </row>
    <row r="50" spans="1:6" ht="93" customHeight="1" x14ac:dyDescent="0.3">
      <c r="A50" s="187" t="s">
        <v>16</v>
      </c>
      <c r="B50" s="482" t="s">
        <v>911</v>
      </c>
      <c r="C50" s="483"/>
      <c r="D50" s="251" t="s">
        <v>18</v>
      </c>
      <c r="E50" s="188">
        <f>1900000+2504587.33</f>
        <v>4404587.33</v>
      </c>
    </row>
    <row r="51" spans="1:6" ht="68.25" customHeight="1" x14ac:dyDescent="0.3">
      <c r="A51" s="187" t="s">
        <v>16</v>
      </c>
      <c r="B51" s="482" t="s">
        <v>945</v>
      </c>
      <c r="C51" s="483"/>
      <c r="D51" s="251" t="s">
        <v>561</v>
      </c>
      <c r="E51" s="188">
        <v>500000</v>
      </c>
    </row>
    <row r="52" spans="1:6" s="291" customFormat="1" ht="74.45" customHeight="1" x14ac:dyDescent="0.3">
      <c r="A52" s="187" t="s">
        <v>16</v>
      </c>
      <c r="B52" s="482" t="s">
        <v>806</v>
      </c>
      <c r="C52" s="483"/>
      <c r="D52" s="251" t="s">
        <v>562</v>
      </c>
      <c r="E52" s="188">
        <f>150000-38000-28000</f>
        <v>84000</v>
      </c>
    </row>
    <row r="53" spans="1:6" ht="68.25" customHeight="1" x14ac:dyDescent="0.3">
      <c r="A53" s="187" t="s">
        <v>16</v>
      </c>
      <c r="B53" s="482" t="s">
        <v>807</v>
      </c>
      <c r="C53" s="483"/>
      <c r="D53" s="251" t="s">
        <v>524</v>
      </c>
      <c r="E53" s="188">
        <v>70000</v>
      </c>
    </row>
    <row r="54" spans="1:6" ht="63.75" customHeight="1" x14ac:dyDescent="0.3">
      <c r="A54" s="187" t="s">
        <v>16</v>
      </c>
      <c r="B54" s="482" t="s">
        <v>808</v>
      </c>
      <c r="C54" s="483"/>
      <c r="D54" s="251" t="s">
        <v>524</v>
      </c>
      <c r="E54" s="188">
        <f>80000+38000+28000</f>
        <v>146000</v>
      </c>
    </row>
    <row r="55" spans="1:6" ht="63.75" customHeight="1" x14ac:dyDescent="0.3">
      <c r="A55" s="427" t="s">
        <v>16</v>
      </c>
      <c r="B55" s="479" t="s">
        <v>1180</v>
      </c>
      <c r="C55" s="480"/>
      <c r="D55" s="448" t="s">
        <v>1181</v>
      </c>
      <c r="E55" s="245">
        <v>103000</v>
      </c>
    </row>
    <row r="56" spans="1:6" ht="52.5" customHeight="1" x14ac:dyDescent="0.3">
      <c r="A56" s="187" t="s">
        <v>10</v>
      </c>
      <c r="B56" s="482" t="s">
        <v>796</v>
      </c>
      <c r="C56" s="483"/>
      <c r="D56" s="192" t="s">
        <v>563</v>
      </c>
      <c r="E56" s="188">
        <v>16801</v>
      </c>
    </row>
    <row r="57" spans="1:6" ht="42" customHeight="1" x14ac:dyDescent="0.3">
      <c r="A57" s="187" t="s">
        <v>5</v>
      </c>
      <c r="B57" s="482" t="s">
        <v>809</v>
      </c>
      <c r="C57" s="483"/>
      <c r="D57" s="251" t="s">
        <v>539</v>
      </c>
      <c r="E57" s="188">
        <f>204050+70950+44000</f>
        <v>319000</v>
      </c>
    </row>
    <row r="58" spans="1:6" ht="41.25" customHeight="1" x14ac:dyDescent="0.3">
      <c r="A58" s="187" t="s">
        <v>5</v>
      </c>
      <c r="B58" s="482" t="s">
        <v>810</v>
      </c>
      <c r="C58" s="483"/>
      <c r="D58" s="251" t="s">
        <v>540</v>
      </c>
      <c r="E58" s="188">
        <v>21863</v>
      </c>
    </row>
    <row r="59" spans="1:6" ht="36.75" customHeight="1" x14ac:dyDescent="0.3">
      <c r="A59" s="187" t="s">
        <v>5</v>
      </c>
      <c r="B59" s="482" t="s">
        <v>811</v>
      </c>
      <c r="C59" s="483"/>
      <c r="D59" s="251" t="s">
        <v>541</v>
      </c>
      <c r="E59" s="188">
        <f>466400-44000</f>
        <v>422400</v>
      </c>
    </row>
    <row r="60" spans="1:6" ht="40.5" customHeight="1" x14ac:dyDescent="0.3">
      <c r="A60" s="187" t="s">
        <v>5</v>
      </c>
      <c r="B60" s="482" t="s">
        <v>812</v>
      </c>
      <c r="C60" s="483"/>
      <c r="D60" s="251" t="s">
        <v>542</v>
      </c>
      <c r="E60" s="188">
        <v>1457500</v>
      </c>
    </row>
    <row r="61" spans="1:6" ht="58.5" customHeight="1" x14ac:dyDescent="0.3">
      <c r="A61" s="187" t="s">
        <v>564</v>
      </c>
      <c r="B61" s="482" t="s">
        <v>796</v>
      </c>
      <c r="C61" s="483"/>
      <c r="D61" s="192" t="s">
        <v>7</v>
      </c>
      <c r="E61" s="188">
        <v>106772</v>
      </c>
    </row>
    <row r="62" spans="1:6" ht="84.75" customHeight="1" x14ac:dyDescent="0.3">
      <c r="A62" s="187" t="s">
        <v>29</v>
      </c>
      <c r="B62" s="482" t="s">
        <v>813</v>
      </c>
      <c r="C62" s="483"/>
      <c r="D62" s="251" t="s">
        <v>51</v>
      </c>
      <c r="E62" s="188">
        <v>2120359.96</v>
      </c>
      <c r="F62" s="274"/>
    </row>
    <row r="63" spans="1:6" ht="102.75" customHeight="1" x14ac:dyDescent="0.3">
      <c r="A63" s="187" t="s">
        <v>29</v>
      </c>
      <c r="B63" s="482" t="s">
        <v>814</v>
      </c>
      <c r="C63" s="483"/>
      <c r="D63" s="192" t="s">
        <v>53</v>
      </c>
      <c r="E63" s="188">
        <v>34768.14</v>
      </c>
      <c r="F63" s="274"/>
    </row>
    <row r="64" spans="1:6" ht="86.25" customHeight="1" x14ac:dyDescent="0.3">
      <c r="A64" s="187" t="s">
        <v>29</v>
      </c>
      <c r="B64" s="482" t="s">
        <v>815</v>
      </c>
      <c r="C64" s="483"/>
      <c r="D64" s="251" t="s">
        <v>55</v>
      </c>
      <c r="E64" s="188">
        <v>2687080.67</v>
      </c>
      <c r="F64" s="274"/>
    </row>
    <row r="65" spans="1:7" ht="79.5" customHeight="1" x14ac:dyDescent="0.3">
      <c r="A65" s="187" t="s">
        <v>29</v>
      </c>
      <c r="B65" s="482" t="s">
        <v>816</v>
      </c>
      <c r="C65" s="483"/>
      <c r="D65" s="251" t="s">
        <v>57</v>
      </c>
      <c r="E65" s="188">
        <v>124668.63</v>
      </c>
      <c r="F65" s="274"/>
    </row>
    <row r="66" spans="1:7" ht="69.75" customHeight="1" x14ac:dyDescent="0.3">
      <c r="A66" s="427" t="s">
        <v>963</v>
      </c>
      <c r="B66" s="479" t="s">
        <v>872</v>
      </c>
      <c r="C66" s="480"/>
      <c r="D66" s="250" t="s">
        <v>9</v>
      </c>
      <c r="E66" s="245">
        <f>10530+10035</f>
        <v>20565</v>
      </c>
      <c r="F66" s="274"/>
    </row>
    <row r="67" spans="1:7" ht="135" customHeight="1" x14ac:dyDescent="0.3">
      <c r="A67" s="187" t="s">
        <v>565</v>
      </c>
      <c r="B67" s="482" t="s">
        <v>817</v>
      </c>
      <c r="C67" s="483"/>
      <c r="D67" s="192" t="s">
        <v>90</v>
      </c>
      <c r="E67" s="188">
        <v>113929</v>
      </c>
    </row>
    <row r="68" spans="1:7" ht="92.25" customHeight="1" x14ac:dyDescent="0.3">
      <c r="A68" s="392" t="s">
        <v>25</v>
      </c>
      <c r="B68" s="482" t="s">
        <v>818</v>
      </c>
      <c r="C68" s="483"/>
      <c r="D68" s="192" t="s">
        <v>27</v>
      </c>
      <c r="E68" s="188">
        <f>105566540+2000000-67712.77</f>
        <v>107498827.23</v>
      </c>
    </row>
    <row r="69" spans="1:7" ht="111" customHeight="1" x14ac:dyDescent="0.3">
      <c r="A69" s="187" t="s">
        <v>25</v>
      </c>
      <c r="B69" s="482" t="s">
        <v>819</v>
      </c>
      <c r="C69" s="483"/>
      <c r="D69" s="192" t="s">
        <v>566</v>
      </c>
      <c r="E69" s="188">
        <v>196277</v>
      </c>
    </row>
    <row r="70" spans="1:7" ht="61.9" customHeight="1" x14ac:dyDescent="0.3">
      <c r="A70" s="187" t="s">
        <v>25</v>
      </c>
      <c r="B70" s="482" t="s">
        <v>820</v>
      </c>
      <c r="C70" s="483"/>
      <c r="D70" s="251" t="s">
        <v>567</v>
      </c>
      <c r="E70" s="188">
        <v>105767</v>
      </c>
    </row>
    <row r="71" spans="1:7" ht="39.75" customHeight="1" x14ac:dyDescent="0.3">
      <c r="A71" s="187" t="s">
        <v>25</v>
      </c>
      <c r="B71" s="482" t="s">
        <v>821</v>
      </c>
      <c r="C71" s="483"/>
      <c r="D71" s="251" t="s">
        <v>2</v>
      </c>
      <c r="E71" s="188">
        <f>29000000+1500000</f>
        <v>30500000</v>
      </c>
    </row>
    <row r="72" spans="1:7" ht="55.5" customHeight="1" x14ac:dyDescent="0.3">
      <c r="A72" s="187" t="s">
        <v>25</v>
      </c>
      <c r="B72" s="482" t="s">
        <v>886</v>
      </c>
      <c r="C72" s="483"/>
      <c r="D72" s="191" t="s">
        <v>30</v>
      </c>
      <c r="E72" s="188">
        <v>1000</v>
      </c>
    </row>
    <row r="73" spans="1:7" ht="30.75" customHeight="1" x14ac:dyDescent="0.3">
      <c r="A73" s="427" t="s">
        <v>25</v>
      </c>
      <c r="B73" s="479" t="s">
        <v>887</v>
      </c>
      <c r="C73" s="480"/>
      <c r="D73" s="249" t="s">
        <v>3</v>
      </c>
      <c r="E73" s="245">
        <f>693.5+250</f>
        <v>943.5</v>
      </c>
      <c r="F73" s="287"/>
      <c r="G73" s="287"/>
    </row>
    <row r="74" spans="1:7" ht="59.25" customHeight="1" x14ac:dyDescent="0.3">
      <c r="A74" s="427" t="s">
        <v>25</v>
      </c>
      <c r="B74" s="479" t="s">
        <v>822</v>
      </c>
      <c r="C74" s="480"/>
      <c r="D74" s="250" t="s">
        <v>568</v>
      </c>
      <c r="E74" s="245">
        <f>75000+167000+58000+184400</f>
        <v>484400</v>
      </c>
      <c r="F74" s="288"/>
      <c r="G74" s="287"/>
    </row>
    <row r="75" spans="1:7" ht="59.25" customHeight="1" x14ac:dyDescent="0.3">
      <c r="A75" s="427" t="s">
        <v>25</v>
      </c>
      <c r="B75" s="479" t="s">
        <v>1182</v>
      </c>
      <c r="C75" s="480"/>
      <c r="D75" s="448" t="s">
        <v>1012</v>
      </c>
      <c r="E75" s="245">
        <v>4202</v>
      </c>
      <c r="F75" s="288"/>
      <c r="G75" s="287"/>
    </row>
    <row r="76" spans="1:7" ht="54" customHeight="1" x14ac:dyDescent="0.3">
      <c r="A76" s="187" t="s">
        <v>25</v>
      </c>
      <c r="B76" s="482" t="s">
        <v>871</v>
      </c>
      <c r="C76" s="483"/>
      <c r="D76" s="191" t="s">
        <v>533</v>
      </c>
      <c r="E76" s="188">
        <f>1000+1000+10700+1800</f>
        <v>14500</v>
      </c>
      <c r="F76" s="288"/>
      <c r="G76" s="287"/>
    </row>
    <row r="77" spans="1:7" ht="57" customHeight="1" x14ac:dyDescent="0.3">
      <c r="A77" s="187" t="s">
        <v>25</v>
      </c>
      <c r="B77" s="482" t="s">
        <v>823</v>
      </c>
      <c r="C77" s="483"/>
      <c r="D77" s="251" t="s">
        <v>67</v>
      </c>
      <c r="E77" s="188">
        <f>3555163+1000000-82712.77</f>
        <v>4472450.2300000004</v>
      </c>
      <c r="F77" s="287"/>
      <c r="G77" s="287"/>
    </row>
    <row r="78" spans="1:7" ht="87" customHeight="1" x14ac:dyDescent="0.3">
      <c r="A78" s="427" t="s">
        <v>25</v>
      </c>
      <c r="B78" s="479" t="s">
        <v>824</v>
      </c>
      <c r="C78" s="480"/>
      <c r="D78" s="250" t="s">
        <v>569</v>
      </c>
      <c r="E78" s="245">
        <f>74447-36300</f>
        <v>38147</v>
      </c>
      <c r="F78" s="287"/>
      <c r="G78" s="287"/>
    </row>
    <row r="79" spans="1:7" ht="69" customHeight="1" x14ac:dyDescent="0.3">
      <c r="A79" s="187" t="s">
        <v>25</v>
      </c>
      <c r="B79" s="482" t="s">
        <v>964</v>
      </c>
      <c r="C79" s="483"/>
      <c r="D79" s="251" t="s">
        <v>965</v>
      </c>
      <c r="E79" s="188">
        <v>200</v>
      </c>
      <c r="F79" s="287"/>
      <c r="G79" s="287"/>
    </row>
    <row r="80" spans="1:7" ht="70.5" customHeight="1" x14ac:dyDescent="0.3">
      <c r="A80" s="187" t="s">
        <v>25</v>
      </c>
      <c r="B80" s="482" t="s">
        <v>948</v>
      </c>
      <c r="C80" s="483"/>
      <c r="D80" s="251" t="s">
        <v>949</v>
      </c>
      <c r="E80" s="188">
        <f>3000-3000</f>
        <v>0</v>
      </c>
      <c r="F80" s="287"/>
      <c r="G80" s="287"/>
    </row>
    <row r="81" spans="1:7" ht="70.5" customHeight="1" x14ac:dyDescent="0.3">
      <c r="A81" s="187" t="s">
        <v>25</v>
      </c>
      <c r="B81" s="482" t="s">
        <v>966</v>
      </c>
      <c r="C81" s="483"/>
      <c r="D81" s="251" t="s">
        <v>949</v>
      </c>
      <c r="E81" s="188">
        <v>3000</v>
      </c>
      <c r="F81" s="287"/>
      <c r="G81" s="287"/>
    </row>
    <row r="82" spans="1:7" ht="101.25" customHeight="1" x14ac:dyDescent="0.3">
      <c r="A82" s="187" t="s">
        <v>38</v>
      </c>
      <c r="B82" s="482" t="s">
        <v>825</v>
      </c>
      <c r="C82" s="483"/>
      <c r="D82" s="192" t="s">
        <v>570</v>
      </c>
      <c r="E82" s="188">
        <f>118902-11510</f>
        <v>107392</v>
      </c>
      <c r="F82" s="287"/>
      <c r="G82" s="287"/>
    </row>
    <row r="83" spans="1:7" ht="49.5" customHeight="1" x14ac:dyDescent="0.3">
      <c r="A83" s="416" t="s">
        <v>38</v>
      </c>
      <c r="B83" s="482" t="s">
        <v>826</v>
      </c>
      <c r="C83" s="483"/>
      <c r="D83" s="192" t="s">
        <v>563</v>
      </c>
      <c r="E83" s="188">
        <f>892358-7673.5+500000-20281.88-20448.25-10000+20000</f>
        <v>1353954.37</v>
      </c>
    </row>
    <row r="84" spans="1:7" ht="66.75" customHeight="1" x14ac:dyDescent="0.3">
      <c r="A84" s="427" t="s">
        <v>38</v>
      </c>
      <c r="B84" s="479" t="s">
        <v>872</v>
      </c>
      <c r="C84" s="480"/>
      <c r="D84" s="267" t="s">
        <v>9</v>
      </c>
      <c r="E84" s="245">
        <f>980+1020+3000+980+5980</f>
        <v>11960</v>
      </c>
    </row>
    <row r="85" spans="1:7" ht="39.75" customHeight="1" x14ac:dyDescent="0.3">
      <c r="A85" s="427" t="s">
        <v>38</v>
      </c>
      <c r="B85" s="479" t="s">
        <v>873</v>
      </c>
      <c r="C85" s="480"/>
      <c r="D85" s="268" t="s">
        <v>8</v>
      </c>
      <c r="E85" s="245">
        <f>5000+10500+5000+25000</f>
        <v>45500</v>
      </c>
    </row>
    <row r="86" spans="1:7" ht="109.5" customHeight="1" x14ac:dyDescent="0.3">
      <c r="A86" s="427" t="s">
        <v>38</v>
      </c>
      <c r="B86" s="479" t="s">
        <v>827</v>
      </c>
      <c r="C86" s="480"/>
      <c r="D86" s="263" t="s">
        <v>90</v>
      </c>
      <c r="E86" s="245">
        <f>677037-25000</f>
        <v>652037</v>
      </c>
    </row>
    <row r="87" spans="1:7" ht="111" customHeight="1" x14ac:dyDescent="0.3">
      <c r="A87" s="187" t="s">
        <v>39</v>
      </c>
      <c r="B87" s="482" t="s">
        <v>827</v>
      </c>
      <c r="C87" s="483"/>
      <c r="D87" s="192" t="s">
        <v>90</v>
      </c>
      <c r="E87" s="188">
        <v>24693</v>
      </c>
    </row>
    <row r="88" spans="1:7" ht="46.5" customHeight="1" x14ac:dyDescent="0.3">
      <c r="A88" s="187" t="s">
        <v>967</v>
      </c>
      <c r="B88" s="482" t="s">
        <v>968</v>
      </c>
      <c r="C88" s="483"/>
      <c r="D88" s="192" t="s">
        <v>969</v>
      </c>
      <c r="E88" s="188">
        <v>500</v>
      </c>
    </row>
    <row r="89" spans="1:7" ht="39.75" customHeight="1" x14ac:dyDescent="0.3">
      <c r="A89" s="187" t="s">
        <v>888</v>
      </c>
      <c r="B89" s="482" t="s">
        <v>890</v>
      </c>
      <c r="C89" s="483"/>
      <c r="D89" s="192" t="s">
        <v>891</v>
      </c>
      <c r="E89" s="188">
        <f>20000-13500-5000</f>
        <v>1500</v>
      </c>
    </row>
    <row r="90" spans="1:7" ht="51.75" customHeight="1" x14ac:dyDescent="0.3">
      <c r="A90" s="427" t="s">
        <v>37</v>
      </c>
      <c r="B90" s="479" t="s">
        <v>828</v>
      </c>
      <c r="C90" s="480"/>
      <c r="D90" s="250" t="s">
        <v>36</v>
      </c>
      <c r="E90" s="245">
        <f>108129+26000</f>
        <v>134129</v>
      </c>
    </row>
    <row r="91" spans="1:7" ht="51.75" customHeight="1" x14ac:dyDescent="0.3">
      <c r="A91" s="187" t="s">
        <v>14</v>
      </c>
      <c r="B91" s="481" t="s">
        <v>912</v>
      </c>
      <c r="C91" s="481"/>
      <c r="D91" s="251" t="s">
        <v>977</v>
      </c>
      <c r="E91" s="188">
        <v>45000</v>
      </c>
    </row>
    <row r="92" spans="1:7" ht="51.75" customHeight="1" x14ac:dyDescent="0.3">
      <c r="A92" s="187" t="s">
        <v>14</v>
      </c>
      <c r="B92" s="481" t="s">
        <v>979</v>
      </c>
      <c r="C92" s="481"/>
      <c r="D92" s="251" t="s">
        <v>978</v>
      </c>
      <c r="E92" s="188">
        <f>1064000+456000</f>
        <v>1520000</v>
      </c>
    </row>
    <row r="93" spans="1:7" ht="22.5" customHeight="1" x14ac:dyDescent="0.3">
      <c r="A93" s="189" t="s">
        <v>94</v>
      </c>
      <c r="B93" s="487"/>
      <c r="C93" s="488"/>
      <c r="D93" s="246"/>
      <c r="E93" s="247">
        <f>E14+E17+E18+E25+E26+E33+E34+E36+E37+E38+E45+E46+E47+E50+E51+E52+E53+E54+E56+E57+E58+E59+E60+E61+E62+E63+E64+E65+E67+E68+E69+E70+E71+E74+E77+E78+E82+E83+E86+E87+E90+E31+E19+E39+E16+E35+E73+E76+E84+E85+E27+E72+E89+E24+E15+E32+E30+E20+E21+E29+E49+E80+E28+E23+E22+E66+E79+E81+E88+E91+E92+E13+E40+E42+E43+E41+E44+E48+E55+E75</f>
        <v>799856402.95999992</v>
      </c>
    </row>
    <row r="94" spans="1:7" ht="17.25" customHeight="1" x14ac:dyDescent="0.25"/>
    <row r="95" spans="1:7" ht="17.25" customHeight="1" x14ac:dyDescent="0.25"/>
    <row r="96" spans="1:7" ht="17.25" hidden="1" customHeight="1" x14ac:dyDescent="0.25">
      <c r="A96" s="190"/>
      <c r="B96" s="274" t="s">
        <v>578</v>
      </c>
      <c r="D96" s="274"/>
      <c r="E96" s="274">
        <f>E14+E26+E45+E46+E47+E50+E51+E52+E53+E54+E56+E57+E58+E59+E60+E61+E62+E63+E64+E65+E67+E68+E69+E70+E71+E74+E77+E78+E82+E83+E87+E86+E90+E73+E76+E84+E85+E27+E72+E89+E15+E49+E80+E88+E81+E79+E66+E40+E42+E43+E41+E44+E48+E55+E75</f>
        <v>176111344.30000004</v>
      </c>
      <c r="F96" s="274"/>
    </row>
    <row r="97" spans="1:6" ht="17.25" hidden="1" customHeight="1" x14ac:dyDescent="0.25">
      <c r="A97" s="190"/>
      <c r="B97" s="265" t="s">
        <v>585</v>
      </c>
      <c r="D97" s="274"/>
      <c r="E97" s="274">
        <f>E17+E18+E25+E33+E34+E36+E37+E38+E31+E35+E16+E24+E30+E20+E21+E29+E28+E23+E22+E91+E92+E13+E19</f>
        <v>661487122.07999992</v>
      </c>
    </row>
    <row r="98" spans="1:6" hidden="1" x14ac:dyDescent="0.25">
      <c r="A98" s="190"/>
      <c r="B98" s="289" t="s">
        <v>11</v>
      </c>
      <c r="D98" s="274"/>
      <c r="E98" s="274">
        <f>E14+E17+E18+E19+E16+E15+E24+E20+E21+E22+E23+E13</f>
        <v>253686087.85999998</v>
      </c>
      <c r="F98" s="274"/>
    </row>
    <row r="99" spans="1:6" hidden="1" x14ac:dyDescent="0.25">
      <c r="A99" s="190"/>
      <c r="B99" s="289" t="s">
        <v>12</v>
      </c>
      <c r="D99" s="274"/>
      <c r="E99" s="274">
        <f>E25+E26+E31+E27+E30+E29+E28</f>
        <v>182666584.37</v>
      </c>
      <c r="F99" s="274"/>
    </row>
    <row r="100" spans="1:6" hidden="1" x14ac:dyDescent="0.25">
      <c r="A100" s="190"/>
      <c r="B100" s="289" t="s">
        <v>14</v>
      </c>
      <c r="D100" s="274"/>
      <c r="E100" s="274">
        <f>E33+E34+E36+E37+E38+E39+E35+E91+E92</f>
        <v>225739580.80000001</v>
      </c>
    </row>
    <row r="101" spans="1:6" hidden="1" x14ac:dyDescent="0.25">
      <c r="A101" s="190"/>
      <c r="B101" s="289" t="s">
        <v>16</v>
      </c>
      <c r="D101" s="274"/>
      <c r="E101" s="274">
        <f>E45+E46+E47+E50+E51+E52+E53+E54+E49+E48+E55</f>
        <v>20820845.329999998</v>
      </c>
      <c r="F101" s="274"/>
    </row>
    <row r="102" spans="1:6" hidden="1" x14ac:dyDescent="0.25">
      <c r="B102" s="289" t="s">
        <v>579</v>
      </c>
      <c r="D102" s="274"/>
      <c r="E102" s="274">
        <f>E56+E57+E58+E59+E60+E61+E62+E63+E64+E65+E67+E68+E69+E70+E71+E74+E77+E78+E82+E83+E86+E87+E90+E76+E84+E85+E72+E73+E32+E89+E80+E66+E79+E81+E88+E75+E40+E41+E42+E43+E44</f>
        <v>116943304.59999999</v>
      </c>
      <c r="F102" s="274"/>
    </row>
    <row r="103" spans="1:6" hidden="1" x14ac:dyDescent="0.25">
      <c r="B103" s="289" t="s">
        <v>847</v>
      </c>
      <c r="D103" s="274"/>
      <c r="E103" s="274">
        <f>E17+E18+E19+E25+E31+E33+E34+E36+E37+E38+E39+E35+E16+E24+E30+E20+E21+E29+E32+E28+E23+E22+E91+E92+E13</f>
        <v>623745058.65999997</v>
      </c>
      <c r="F103" s="274">
        <f>E96+E103</f>
        <v>799856402.96000004</v>
      </c>
    </row>
    <row r="104" spans="1:6" hidden="1" x14ac:dyDescent="0.25">
      <c r="E104" s="290">
        <f>E96+E103</f>
        <v>799856402.96000004</v>
      </c>
    </row>
    <row r="105" spans="1:6" x14ac:dyDescent="0.25">
      <c r="D105" s="274"/>
    </row>
    <row r="107" spans="1:6" ht="14.25" customHeight="1" x14ac:dyDescent="0.25"/>
  </sheetData>
  <mergeCells count="83">
    <mergeCell ref="B93:C93"/>
    <mergeCell ref="B13:C13"/>
    <mergeCell ref="B88:C88"/>
    <mergeCell ref="B28:C28"/>
    <mergeCell ref="B29:C29"/>
    <mergeCell ref="B52:C52"/>
    <mergeCell ref="B53:C53"/>
    <mergeCell ref="B70:C70"/>
    <mergeCell ref="B63:C63"/>
    <mergeCell ref="B56:C56"/>
    <mergeCell ref="B57:C57"/>
    <mergeCell ref="B58:C58"/>
    <mergeCell ref="B59:C59"/>
    <mergeCell ref="B40:C40"/>
    <mergeCell ref="B42:C42"/>
    <mergeCell ref="B48:C48"/>
    <mergeCell ref="B75:C75"/>
    <mergeCell ref="B87:C87"/>
    <mergeCell ref="B20:C20"/>
    <mergeCell ref="B43:C43"/>
    <mergeCell ref="B41:C41"/>
    <mergeCell ref="B44:C44"/>
    <mergeCell ref="B72:C72"/>
    <mergeCell ref="B81:C81"/>
    <mergeCell ref="B73:C73"/>
    <mergeCell ref="B76:C76"/>
    <mergeCell ref="B49:C49"/>
    <mergeCell ref="B54:C54"/>
    <mergeCell ref="B67:C67"/>
    <mergeCell ref="B68:C68"/>
    <mergeCell ref="B61:C61"/>
    <mergeCell ref="B36:C36"/>
    <mergeCell ref="B35:C35"/>
    <mergeCell ref="B19:C19"/>
    <mergeCell ref="B27:C27"/>
    <mergeCell ref="B23:C23"/>
    <mergeCell ref="B22:C22"/>
    <mergeCell ref="B21:C21"/>
    <mergeCell ref="B30:C30"/>
    <mergeCell ref="B32:C32"/>
    <mergeCell ref="B24:C24"/>
    <mergeCell ref="B25:C25"/>
    <mergeCell ref="B26:C26"/>
    <mergeCell ref="B31:C31"/>
    <mergeCell ref="B33:C33"/>
    <mergeCell ref="B34:C34"/>
    <mergeCell ref="B66:C66"/>
    <mergeCell ref="B65:C65"/>
    <mergeCell ref="B37:C37"/>
    <mergeCell ref="B38:C38"/>
    <mergeCell ref="B45:C45"/>
    <mergeCell ref="B46:C46"/>
    <mergeCell ref="B39:C39"/>
    <mergeCell ref="B51:C51"/>
    <mergeCell ref="B60:C60"/>
    <mergeCell ref="B47:C47"/>
    <mergeCell ref="B50:C50"/>
    <mergeCell ref="B64:C64"/>
    <mergeCell ref="B62:C62"/>
    <mergeCell ref="B55:C55"/>
    <mergeCell ref="A7:E7"/>
    <mergeCell ref="B14:C14"/>
    <mergeCell ref="B12:C12"/>
    <mergeCell ref="B17:C17"/>
    <mergeCell ref="B18:C18"/>
    <mergeCell ref="B16:C16"/>
    <mergeCell ref="B15:C15"/>
    <mergeCell ref="B84:C84"/>
    <mergeCell ref="B85:C85"/>
    <mergeCell ref="B92:C92"/>
    <mergeCell ref="B91:C91"/>
    <mergeCell ref="B69:C69"/>
    <mergeCell ref="B80:C80"/>
    <mergeCell ref="B90:C90"/>
    <mergeCell ref="B71:C71"/>
    <mergeCell ref="B74:C74"/>
    <mergeCell ref="B77:C77"/>
    <mergeCell ref="B78:C78"/>
    <mergeCell ref="B82:C82"/>
    <mergeCell ref="B83:C83"/>
    <mergeCell ref="B86:C86"/>
    <mergeCell ref="B89:C89"/>
    <mergeCell ref="B79:C79"/>
  </mergeCells>
  <pageMargins left="0.51181102362204722" right="0.11811023622047245" top="0.35433070866141736" bottom="0.35433070866141736" header="0.31496062992125984" footer="0.31496062992125984"/>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29"/>
  <sheetViews>
    <sheetView topLeftCell="B1" zoomScale="80" zoomScaleNormal="80" workbookViewId="0">
      <selection activeCell="B5" sqref="B5:X5"/>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1" width="42.85546875" customWidth="1"/>
    <col min="22" max="23" width="0.140625" customWidth="1"/>
    <col min="24" max="24" width="4.7109375" hidden="1" customWidth="1"/>
    <col min="26" max="26" width="13.5703125" bestFit="1"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6" x14ac:dyDescent="0.25">
      <c r="U1" s="220" t="s">
        <v>894</v>
      </c>
    </row>
    <row r="2" spans="1:26" x14ac:dyDescent="0.25">
      <c r="U2" s="220" t="s">
        <v>21</v>
      </c>
    </row>
    <row r="3" spans="1:26" x14ac:dyDescent="0.25">
      <c r="U3" s="220" t="s">
        <v>249</v>
      </c>
    </row>
    <row r="4" spans="1:26" ht="15.75" x14ac:dyDescent="0.25">
      <c r="U4" s="220" t="s">
        <v>1257</v>
      </c>
      <c r="W4" s="73"/>
    </row>
    <row r="5" spans="1:26" ht="57" customHeight="1" x14ac:dyDescent="0.25">
      <c r="A5" s="121"/>
      <c r="B5" s="489" t="s">
        <v>970</v>
      </c>
      <c r="C5" s="489"/>
      <c r="D5" s="489"/>
      <c r="E5" s="489"/>
      <c r="F5" s="489"/>
      <c r="G5" s="489"/>
      <c r="H5" s="489"/>
      <c r="I5" s="489"/>
      <c r="J5" s="489"/>
      <c r="K5" s="489"/>
      <c r="L5" s="489"/>
      <c r="M5" s="489"/>
      <c r="N5" s="489"/>
      <c r="O5" s="489"/>
      <c r="P5" s="489"/>
      <c r="Q5" s="489"/>
      <c r="R5" s="489"/>
      <c r="S5" s="489"/>
      <c r="T5" s="489"/>
      <c r="U5" s="489"/>
      <c r="V5" s="489"/>
      <c r="W5" s="489"/>
      <c r="X5" s="489"/>
    </row>
    <row r="7" spans="1:26" ht="21.75" customHeight="1" x14ac:dyDescent="0.25">
      <c r="A7" s="107"/>
      <c r="B7" s="107"/>
      <c r="C7" s="107"/>
      <c r="D7" s="107"/>
      <c r="E7" s="107"/>
      <c r="F7" s="107"/>
      <c r="G7" s="107"/>
      <c r="H7" s="107"/>
      <c r="I7" s="107"/>
      <c r="J7" s="107"/>
      <c r="K7" s="107"/>
      <c r="L7" s="107"/>
      <c r="M7" s="107"/>
      <c r="N7" s="107"/>
      <c r="O7" s="107"/>
      <c r="P7" s="107"/>
      <c r="Q7" s="107"/>
      <c r="R7" s="107"/>
      <c r="S7" s="107"/>
      <c r="T7" s="107"/>
      <c r="U7" s="258" t="s">
        <v>877</v>
      </c>
      <c r="V7" s="107"/>
      <c r="W7" s="107"/>
      <c r="X7" s="107"/>
      <c r="Z7" s="123"/>
    </row>
    <row r="8" spans="1:26" x14ac:dyDescent="0.25">
      <c r="A8" s="490" t="s">
        <v>1</v>
      </c>
      <c r="B8" s="490" t="s">
        <v>269</v>
      </c>
      <c r="C8" s="490" t="s">
        <v>270</v>
      </c>
      <c r="D8" s="490" t="s">
        <v>186</v>
      </c>
      <c r="E8" s="490" t="s">
        <v>186</v>
      </c>
      <c r="F8" s="490" t="s">
        <v>186</v>
      </c>
      <c r="G8" s="490" t="s">
        <v>186</v>
      </c>
      <c r="H8" s="490" t="s">
        <v>186</v>
      </c>
      <c r="I8" s="490" t="s">
        <v>186</v>
      </c>
      <c r="J8" s="490" t="s">
        <v>186</v>
      </c>
      <c r="K8" s="490" t="s">
        <v>186</v>
      </c>
      <c r="L8" s="490" t="s">
        <v>186</v>
      </c>
      <c r="M8" s="490" t="s">
        <v>186</v>
      </c>
      <c r="N8" s="490" t="s">
        <v>186</v>
      </c>
      <c r="O8" s="490" t="s">
        <v>186</v>
      </c>
      <c r="P8" s="490" t="s">
        <v>186</v>
      </c>
      <c r="Q8" s="490" t="s">
        <v>186</v>
      </c>
      <c r="R8" s="490" t="s">
        <v>186</v>
      </c>
      <c r="S8" s="490" t="s">
        <v>218</v>
      </c>
      <c r="T8" s="490" t="s">
        <v>1</v>
      </c>
      <c r="U8" s="490" t="s">
        <v>274</v>
      </c>
      <c r="V8" s="490"/>
      <c r="W8" s="490"/>
      <c r="X8" s="491" t="s">
        <v>1</v>
      </c>
    </row>
    <row r="9" spans="1:26" x14ac:dyDescent="0.25">
      <c r="A9" s="490"/>
      <c r="B9" s="490" t="s">
        <v>511</v>
      </c>
      <c r="C9" s="490" t="s">
        <v>512</v>
      </c>
      <c r="D9" s="490" t="s">
        <v>513</v>
      </c>
      <c r="E9" s="490" t="s">
        <v>513</v>
      </c>
      <c r="F9" s="490" t="s">
        <v>513</v>
      </c>
      <c r="G9" s="490" t="s">
        <v>513</v>
      </c>
      <c r="H9" s="490" t="s">
        <v>513</v>
      </c>
      <c r="I9" s="490" t="s">
        <v>513</v>
      </c>
      <c r="J9" s="490" t="s">
        <v>513</v>
      </c>
      <c r="K9" s="490" t="s">
        <v>513</v>
      </c>
      <c r="L9" s="490" t="s">
        <v>513</v>
      </c>
      <c r="M9" s="490" t="s">
        <v>513</v>
      </c>
      <c r="N9" s="490" t="s">
        <v>513</v>
      </c>
      <c r="O9" s="490" t="s">
        <v>513</v>
      </c>
      <c r="P9" s="490" t="s">
        <v>513</v>
      </c>
      <c r="Q9" s="490" t="s">
        <v>513</v>
      </c>
      <c r="R9" s="490" t="s">
        <v>513</v>
      </c>
      <c r="S9" s="490" t="s">
        <v>514</v>
      </c>
      <c r="T9" s="490"/>
      <c r="U9" s="490"/>
      <c r="V9" s="490"/>
      <c r="W9" s="490"/>
      <c r="X9" s="491"/>
    </row>
    <row r="10" spans="1:26" hidden="1" x14ac:dyDescent="0.25">
      <c r="A10" s="108"/>
      <c r="B10" s="108"/>
      <c r="C10" s="108"/>
      <c r="D10" s="108"/>
      <c r="E10" s="108"/>
      <c r="F10" s="108"/>
      <c r="G10" s="108"/>
      <c r="H10" s="108"/>
      <c r="I10" s="108"/>
      <c r="J10" s="108"/>
      <c r="K10" s="108"/>
      <c r="L10" s="108"/>
      <c r="M10" s="108"/>
      <c r="N10" s="108"/>
      <c r="O10" s="108"/>
      <c r="P10" s="108"/>
      <c r="Q10" s="108"/>
      <c r="R10" s="108"/>
      <c r="S10" s="108"/>
      <c r="T10" s="108"/>
      <c r="U10" s="140"/>
      <c r="V10" s="140"/>
      <c r="W10" s="140"/>
      <c r="X10" s="109"/>
    </row>
    <row r="11" spans="1:26" ht="37.15" customHeight="1" x14ac:dyDescent="0.3">
      <c r="A11" s="110" t="s">
        <v>276</v>
      </c>
      <c r="B11" s="122" t="s">
        <v>113</v>
      </c>
      <c r="C11" s="122" t="s">
        <v>124</v>
      </c>
      <c r="D11" s="122"/>
      <c r="E11" s="122"/>
      <c r="F11" s="122"/>
      <c r="G11" s="122"/>
      <c r="H11" s="122"/>
      <c r="I11" s="122"/>
      <c r="J11" s="122"/>
      <c r="K11" s="122"/>
      <c r="L11" s="122"/>
      <c r="M11" s="122"/>
      <c r="N11" s="122"/>
      <c r="O11" s="122"/>
      <c r="P11" s="122"/>
      <c r="Q11" s="122"/>
      <c r="R11" s="122"/>
      <c r="S11" s="122"/>
      <c r="T11" s="137" t="s">
        <v>276</v>
      </c>
      <c r="U11" s="195">
        <f>U12+U15+U22+U34+U37+U46+U49</f>
        <v>76749480.339999989</v>
      </c>
      <c r="V11" s="141"/>
      <c r="W11" s="141"/>
      <c r="X11" s="138" t="s">
        <v>276</v>
      </c>
    </row>
    <row r="12" spans="1:26" ht="74.45" customHeight="1" x14ac:dyDescent="0.3">
      <c r="A12" s="112" t="s">
        <v>239</v>
      </c>
      <c r="B12" s="113" t="s">
        <v>113</v>
      </c>
      <c r="C12" s="113" t="s">
        <v>123</v>
      </c>
      <c r="D12" s="113"/>
      <c r="E12" s="113"/>
      <c r="F12" s="113"/>
      <c r="G12" s="113"/>
      <c r="H12" s="113"/>
      <c r="I12" s="113"/>
      <c r="J12" s="113"/>
      <c r="K12" s="113"/>
      <c r="L12" s="113"/>
      <c r="M12" s="113"/>
      <c r="N12" s="113"/>
      <c r="O12" s="113"/>
      <c r="P12" s="113"/>
      <c r="Q12" s="113"/>
      <c r="R12" s="113"/>
      <c r="S12" s="113"/>
      <c r="T12" s="112" t="s">
        <v>239</v>
      </c>
      <c r="U12" s="224">
        <f>U13</f>
        <v>1494696</v>
      </c>
      <c r="V12" s="139"/>
      <c r="W12" s="139"/>
      <c r="X12" s="112" t="s">
        <v>239</v>
      </c>
    </row>
    <row r="13" spans="1:26" ht="130.35" customHeight="1" x14ac:dyDescent="0.3">
      <c r="A13" s="112" t="s">
        <v>229</v>
      </c>
      <c r="B13" s="113" t="s">
        <v>113</v>
      </c>
      <c r="C13" s="113" t="s">
        <v>123</v>
      </c>
      <c r="D13" s="113" t="s">
        <v>791</v>
      </c>
      <c r="E13" s="113"/>
      <c r="F13" s="113"/>
      <c r="G13" s="113"/>
      <c r="H13" s="113"/>
      <c r="I13" s="113"/>
      <c r="J13" s="113"/>
      <c r="K13" s="113"/>
      <c r="L13" s="113"/>
      <c r="M13" s="113"/>
      <c r="N13" s="113"/>
      <c r="O13" s="113"/>
      <c r="P13" s="113"/>
      <c r="Q13" s="113"/>
      <c r="R13" s="113"/>
      <c r="S13" s="113"/>
      <c r="T13" s="112" t="s">
        <v>229</v>
      </c>
      <c r="U13" s="196">
        <f>U14</f>
        <v>1494696</v>
      </c>
      <c r="V13" s="114"/>
      <c r="W13" s="114"/>
      <c r="X13" s="112" t="s">
        <v>229</v>
      </c>
    </row>
    <row r="14" spans="1:26" ht="220.5" customHeight="1" x14ac:dyDescent="0.3">
      <c r="A14" s="119" t="s">
        <v>277</v>
      </c>
      <c r="B14" s="113" t="s">
        <v>113</v>
      </c>
      <c r="C14" s="113" t="s">
        <v>123</v>
      </c>
      <c r="D14" s="113" t="s">
        <v>791</v>
      </c>
      <c r="E14" s="113"/>
      <c r="F14" s="113"/>
      <c r="G14" s="113"/>
      <c r="H14" s="113"/>
      <c r="I14" s="113"/>
      <c r="J14" s="113"/>
      <c r="K14" s="113"/>
      <c r="L14" s="113"/>
      <c r="M14" s="113"/>
      <c r="N14" s="113"/>
      <c r="O14" s="113"/>
      <c r="P14" s="113"/>
      <c r="Q14" s="113"/>
      <c r="R14" s="113"/>
      <c r="S14" s="113" t="s">
        <v>29</v>
      </c>
      <c r="T14" s="119" t="s">
        <v>277</v>
      </c>
      <c r="U14" s="196">
        <f>П5ВЕД!AA14</f>
        <v>1494696</v>
      </c>
      <c r="V14" s="114"/>
      <c r="W14" s="114"/>
      <c r="X14" s="119" t="s">
        <v>277</v>
      </c>
    </row>
    <row r="15" spans="1:26" ht="93" customHeight="1" x14ac:dyDescent="0.3">
      <c r="A15" s="112" t="s">
        <v>240</v>
      </c>
      <c r="B15" s="113" t="s">
        <v>113</v>
      </c>
      <c r="C15" s="113" t="s">
        <v>114</v>
      </c>
      <c r="D15" s="113"/>
      <c r="E15" s="113"/>
      <c r="F15" s="113"/>
      <c r="G15" s="113"/>
      <c r="H15" s="113"/>
      <c r="I15" s="113"/>
      <c r="J15" s="113"/>
      <c r="K15" s="113"/>
      <c r="L15" s="113"/>
      <c r="M15" s="113"/>
      <c r="N15" s="113"/>
      <c r="O15" s="113"/>
      <c r="P15" s="113"/>
      <c r="Q15" s="113"/>
      <c r="R15" s="113"/>
      <c r="S15" s="113"/>
      <c r="T15" s="112" t="s">
        <v>240</v>
      </c>
      <c r="U15" s="225">
        <f>U16+U18</f>
        <v>2838921.7199999997</v>
      </c>
      <c r="V15" s="114"/>
      <c r="W15" s="114"/>
      <c r="X15" s="112" t="s">
        <v>240</v>
      </c>
    </row>
    <row r="16" spans="1:26" ht="148.9" customHeight="1" x14ac:dyDescent="0.3">
      <c r="A16" s="112" t="s">
        <v>230</v>
      </c>
      <c r="B16" s="113" t="s">
        <v>113</v>
      </c>
      <c r="C16" s="113" t="s">
        <v>114</v>
      </c>
      <c r="D16" s="113" t="s">
        <v>587</v>
      </c>
      <c r="E16" s="113"/>
      <c r="F16" s="113"/>
      <c r="G16" s="113"/>
      <c r="H16" s="113"/>
      <c r="I16" s="113"/>
      <c r="J16" s="113"/>
      <c r="K16" s="113"/>
      <c r="L16" s="113"/>
      <c r="M16" s="113"/>
      <c r="N16" s="113"/>
      <c r="O16" s="113"/>
      <c r="P16" s="113"/>
      <c r="Q16" s="113"/>
      <c r="R16" s="113"/>
      <c r="S16" s="113"/>
      <c r="T16" s="112" t="s">
        <v>230</v>
      </c>
      <c r="U16" s="197">
        <f>U17</f>
        <v>1344604</v>
      </c>
      <c r="V16" s="114"/>
      <c r="W16" s="114"/>
      <c r="X16" s="112" t="s">
        <v>230</v>
      </c>
    </row>
    <row r="17" spans="1:24" ht="279.2" customHeight="1" x14ac:dyDescent="0.3">
      <c r="A17" s="119" t="s">
        <v>278</v>
      </c>
      <c r="B17" s="113" t="s">
        <v>113</v>
      </c>
      <c r="C17" s="113" t="s">
        <v>114</v>
      </c>
      <c r="D17" s="113" t="s">
        <v>587</v>
      </c>
      <c r="E17" s="113"/>
      <c r="F17" s="113"/>
      <c r="G17" s="113"/>
      <c r="H17" s="113"/>
      <c r="I17" s="113"/>
      <c r="J17" s="113"/>
      <c r="K17" s="113"/>
      <c r="L17" s="113"/>
      <c r="M17" s="113"/>
      <c r="N17" s="113"/>
      <c r="O17" s="113"/>
      <c r="P17" s="113"/>
      <c r="Q17" s="113"/>
      <c r="R17" s="113"/>
      <c r="S17" s="113" t="s">
        <v>29</v>
      </c>
      <c r="T17" s="119" t="s">
        <v>278</v>
      </c>
      <c r="U17" s="196">
        <f>П5ВЕД!AA17</f>
        <v>1344604</v>
      </c>
      <c r="V17" s="114"/>
      <c r="W17" s="114"/>
      <c r="X17" s="119" t="s">
        <v>278</v>
      </c>
    </row>
    <row r="18" spans="1:24" ht="93" customHeight="1" x14ac:dyDescent="0.3">
      <c r="A18" s="112" t="s">
        <v>231</v>
      </c>
      <c r="B18" s="113" t="s">
        <v>113</v>
      </c>
      <c r="C18" s="113" t="s">
        <v>114</v>
      </c>
      <c r="D18" s="148" t="s">
        <v>588</v>
      </c>
      <c r="E18" s="113"/>
      <c r="F18" s="113"/>
      <c r="G18" s="113"/>
      <c r="H18" s="113"/>
      <c r="I18" s="113"/>
      <c r="J18" s="113"/>
      <c r="K18" s="113"/>
      <c r="L18" s="113"/>
      <c r="M18" s="113"/>
      <c r="N18" s="113"/>
      <c r="O18" s="113"/>
      <c r="P18" s="113"/>
      <c r="Q18" s="113"/>
      <c r="R18" s="113"/>
      <c r="S18" s="113"/>
      <c r="T18" s="112" t="s">
        <v>231</v>
      </c>
      <c r="U18" s="197">
        <f>U19+U20+U21</f>
        <v>1494317.72</v>
      </c>
      <c r="V18" s="114"/>
      <c r="W18" s="114"/>
      <c r="X18" s="112" t="s">
        <v>231</v>
      </c>
    </row>
    <row r="19" spans="1:24" ht="223.35" customHeight="1" x14ac:dyDescent="0.3">
      <c r="A19" s="119" t="s">
        <v>279</v>
      </c>
      <c r="B19" s="113" t="s">
        <v>113</v>
      </c>
      <c r="C19" s="113" t="s">
        <v>114</v>
      </c>
      <c r="D19" s="148" t="s">
        <v>588</v>
      </c>
      <c r="E19" s="113"/>
      <c r="F19" s="113"/>
      <c r="G19" s="113"/>
      <c r="H19" s="113"/>
      <c r="I19" s="113"/>
      <c r="J19" s="113"/>
      <c r="K19" s="113"/>
      <c r="L19" s="113"/>
      <c r="M19" s="113"/>
      <c r="N19" s="113"/>
      <c r="O19" s="113"/>
      <c r="P19" s="113"/>
      <c r="Q19" s="113"/>
      <c r="R19" s="113"/>
      <c r="S19" s="113" t="s">
        <v>29</v>
      </c>
      <c r="T19" s="119" t="s">
        <v>279</v>
      </c>
      <c r="U19" s="196">
        <f>П5ВЕД!AA19</f>
        <v>1263747.75</v>
      </c>
      <c r="V19" s="114"/>
      <c r="W19" s="114"/>
      <c r="X19" s="119" t="s">
        <v>279</v>
      </c>
    </row>
    <row r="20" spans="1:24" ht="130.35" customHeight="1" x14ac:dyDescent="0.3">
      <c r="A20" s="112" t="s">
        <v>280</v>
      </c>
      <c r="B20" s="113" t="s">
        <v>113</v>
      </c>
      <c r="C20" s="113" t="s">
        <v>114</v>
      </c>
      <c r="D20" s="148" t="s">
        <v>588</v>
      </c>
      <c r="E20" s="113"/>
      <c r="F20" s="113"/>
      <c r="G20" s="113"/>
      <c r="H20" s="113"/>
      <c r="I20" s="113"/>
      <c r="J20" s="113"/>
      <c r="K20" s="113"/>
      <c r="L20" s="113"/>
      <c r="M20" s="113"/>
      <c r="N20" s="113"/>
      <c r="O20" s="113"/>
      <c r="P20" s="113"/>
      <c r="Q20" s="113"/>
      <c r="R20" s="113"/>
      <c r="S20" s="113" t="s">
        <v>281</v>
      </c>
      <c r="T20" s="112" t="s">
        <v>280</v>
      </c>
      <c r="U20" s="196">
        <f>П5ВЕД!AA20</f>
        <v>222573.32</v>
      </c>
      <c r="V20" s="114"/>
      <c r="W20" s="114"/>
      <c r="X20" s="112" t="s">
        <v>280</v>
      </c>
    </row>
    <row r="21" spans="1:24" ht="111.75" customHeight="1" x14ac:dyDescent="0.3">
      <c r="A21" s="112" t="s">
        <v>282</v>
      </c>
      <c r="B21" s="113" t="s">
        <v>113</v>
      </c>
      <c r="C21" s="113" t="s">
        <v>114</v>
      </c>
      <c r="D21" s="148" t="s">
        <v>588</v>
      </c>
      <c r="E21" s="113"/>
      <c r="F21" s="113"/>
      <c r="G21" s="113"/>
      <c r="H21" s="113"/>
      <c r="I21" s="113"/>
      <c r="J21" s="113"/>
      <c r="K21" s="113"/>
      <c r="L21" s="113"/>
      <c r="M21" s="113"/>
      <c r="N21" s="113"/>
      <c r="O21" s="113"/>
      <c r="P21" s="113"/>
      <c r="Q21" s="113"/>
      <c r="R21" s="113"/>
      <c r="S21" s="113" t="s">
        <v>235</v>
      </c>
      <c r="T21" s="112" t="s">
        <v>282</v>
      </c>
      <c r="U21" s="196">
        <f>П5ВЕД!AA21</f>
        <v>7996.65</v>
      </c>
      <c r="V21" s="114"/>
      <c r="W21" s="114"/>
      <c r="X21" s="112" t="s">
        <v>282</v>
      </c>
    </row>
    <row r="22" spans="1:24" ht="111.75" customHeight="1" x14ac:dyDescent="0.3">
      <c r="A22" s="112" t="s">
        <v>241</v>
      </c>
      <c r="B22" s="113" t="s">
        <v>113</v>
      </c>
      <c r="C22" s="113" t="s">
        <v>127</v>
      </c>
      <c r="D22" s="113"/>
      <c r="E22" s="113"/>
      <c r="F22" s="113"/>
      <c r="G22" s="113"/>
      <c r="H22" s="113"/>
      <c r="I22" s="113"/>
      <c r="J22" s="113"/>
      <c r="K22" s="113"/>
      <c r="L22" s="113"/>
      <c r="M22" s="113"/>
      <c r="N22" s="113"/>
      <c r="O22" s="113"/>
      <c r="P22" s="113"/>
      <c r="Q22" s="113"/>
      <c r="R22" s="113"/>
      <c r="S22" s="113"/>
      <c r="T22" s="112" t="s">
        <v>241</v>
      </c>
      <c r="U22" s="197">
        <f>U23+U27+U31+U25</f>
        <v>28956203.439999998</v>
      </c>
      <c r="V22" s="114"/>
      <c r="W22" s="114"/>
      <c r="X22" s="112" t="s">
        <v>241</v>
      </c>
    </row>
    <row r="23" spans="1:24" ht="126" customHeight="1" x14ac:dyDescent="0.3">
      <c r="A23" s="112" t="s">
        <v>283</v>
      </c>
      <c r="B23" s="113" t="s">
        <v>113</v>
      </c>
      <c r="C23" s="113" t="s">
        <v>127</v>
      </c>
      <c r="D23" s="113" t="s">
        <v>590</v>
      </c>
      <c r="E23" s="113"/>
      <c r="F23" s="113"/>
      <c r="G23" s="113"/>
      <c r="H23" s="113"/>
      <c r="I23" s="113"/>
      <c r="J23" s="113"/>
      <c r="K23" s="113"/>
      <c r="L23" s="113"/>
      <c r="M23" s="113"/>
      <c r="N23" s="113"/>
      <c r="O23" s="113"/>
      <c r="P23" s="113"/>
      <c r="Q23" s="113"/>
      <c r="R23" s="113"/>
      <c r="S23" s="113"/>
      <c r="T23" s="112" t="s">
        <v>589</v>
      </c>
      <c r="U23" s="196">
        <f>U24</f>
        <v>105750</v>
      </c>
      <c r="V23" s="114"/>
      <c r="W23" s="114"/>
      <c r="X23" s="112" t="s">
        <v>283</v>
      </c>
    </row>
    <row r="24" spans="1:24" ht="111.75" customHeight="1" x14ac:dyDescent="0.3">
      <c r="A24" s="112" t="s">
        <v>284</v>
      </c>
      <c r="B24" s="113" t="s">
        <v>113</v>
      </c>
      <c r="C24" s="113" t="s">
        <v>127</v>
      </c>
      <c r="D24" s="113" t="s">
        <v>590</v>
      </c>
      <c r="E24" s="113"/>
      <c r="F24" s="113"/>
      <c r="G24" s="113"/>
      <c r="H24" s="113"/>
      <c r="I24" s="113"/>
      <c r="J24" s="113"/>
      <c r="K24" s="113"/>
      <c r="L24" s="113"/>
      <c r="M24" s="113"/>
      <c r="N24" s="113"/>
      <c r="O24" s="113"/>
      <c r="P24" s="113"/>
      <c r="Q24" s="113"/>
      <c r="R24" s="113"/>
      <c r="S24" s="113" t="s">
        <v>281</v>
      </c>
      <c r="T24" s="118" t="s">
        <v>284</v>
      </c>
      <c r="U24" s="196">
        <f>П5ВЕД!AA24</f>
        <v>105750</v>
      </c>
      <c r="V24" s="114"/>
      <c r="W24" s="114"/>
      <c r="X24" s="112" t="s">
        <v>284</v>
      </c>
    </row>
    <row r="25" spans="1:24" ht="251.25" customHeight="1" x14ac:dyDescent="0.3">
      <c r="A25" s="112"/>
      <c r="B25" s="113" t="s">
        <v>113</v>
      </c>
      <c r="C25" s="113" t="s">
        <v>127</v>
      </c>
      <c r="D25" s="148" t="s">
        <v>976</v>
      </c>
      <c r="E25" s="113"/>
      <c r="F25" s="113"/>
      <c r="G25" s="113"/>
      <c r="H25" s="113"/>
      <c r="I25" s="113"/>
      <c r="J25" s="113"/>
      <c r="K25" s="113"/>
      <c r="L25" s="113"/>
      <c r="M25" s="113"/>
      <c r="N25" s="113"/>
      <c r="O25" s="113"/>
      <c r="P25" s="113"/>
      <c r="Q25" s="113"/>
      <c r="R25" s="113"/>
      <c r="S25" s="113"/>
      <c r="T25" s="383" t="s">
        <v>1159</v>
      </c>
      <c r="U25" s="196">
        <f>U26</f>
        <v>100000</v>
      </c>
      <c r="V25" s="114"/>
      <c r="W25" s="114"/>
      <c r="X25" s="112"/>
    </row>
    <row r="26" spans="1:24" ht="74.25" customHeight="1" x14ac:dyDescent="0.3">
      <c r="A26" s="112"/>
      <c r="B26" s="113" t="s">
        <v>113</v>
      </c>
      <c r="C26" s="113" t="s">
        <v>127</v>
      </c>
      <c r="D26" s="148" t="s">
        <v>976</v>
      </c>
      <c r="E26" s="113"/>
      <c r="F26" s="113"/>
      <c r="G26" s="113"/>
      <c r="H26" s="113"/>
      <c r="I26" s="113"/>
      <c r="J26" s="113"/>
      <c r="K26" s="113"/>
      <c r="L26" s="113"/>
      <c r="M26" s="113"/>
      <c r="N26" s="113"/>
      <c r="O26" s="113"/>
      <c r="P26" s="113"/>
      <c r="Q26" s="113"/>
      <c r="R26" s="113"/>
      <c r="S26" s="113" t="s">
        <v>433</v>
      </c>
      <c r="T26" s="311" t="s">
        <v>856</v>
      </c>
      <c r="U26" s="196">
        <f>П5ВЕД!AA268</f>
        <v>100000</v>
      </c>
      <c r="V26" s="114"/>
      <c r="W26" s="114"/>
      <c r="X26" s="112"/>
    </row>
    <row r="27" spans="1:24" ht="144.75" customHeight="1" x14ac:dyDescent="0.3">
      <c r="A27" s="112" t="s">
        <v>285</v>
      </c>
      <c r="B27" s="113" t="s">
        <v>113</v>
      </c>
      <c r="C27" s="113" t="s">
        <v>127</v>
      </c>
      <c r="D27" s="113" t="s">
        <v>592</v>
      </c>
      <c r="E27" s="113"/>
      <c r="F27" s="113"/>
      <c r="G27" s="113"/>
      <c r="H27" s="113"/>
      <c r="I27" s="113"/>
      <c r="J27" s="113"/>
      <c r="K27" s="113"/>
      <c r="L27" s="113"/>
      <c r="M27" s="113"/>
      <c r="N27" s="113"/>
      <c r="O27" s="113"/>
      <c r="P27" s="113"/>
      <c r="Q27" s="113"/>
      <c r="R27" s="113"/>
      <c r="S27" s="113"/>
      <c r="T27" s="112" t="s">
        <v>591</v>
      </c>
      <c r="U27" s="225">
        <f>U28+U29+U30</f>
        <v>28501970.559999999</v>
      </c>
      <c r="V27" s="114"/>
      <c r="W27" s="114"/>
      <c r="X27" s="112" t="s">
        <v>285</v>
      </c>
    </row>
    <row r="28" spans="1:24" ht="186.2" customHeight="1" x14ac:dyDescent="0.3">
      <c r="A28" s="119" t="s">
        <v>286</v>
      </c>
      <c r="B28" s="113" t="s">
        <v>113</v>
      </c>
      <c r="C28" s="113" t="s">
        <v>127</v>
      </c>
      <c r="D28" s="113" t="s">
        <v>592</v>
      </c>
      <c r="E28" s="113"/>
      <c r="F28" s="113"/>
      <c r="G28" s="113"/>
      <c r="H28" s="113"/>
      <c r="I28" s="113"/>
      <c r="J28" s="113"/>
      <c r="K28" s="113"/>
      <c r="L28" s="113"/>
      <c r="M28" s="113"/>
      <c r="N28" s="113"/>
      <c r="O28" s="113"/>
      <c r="P28" s="113"/>
      <c r="Q28" s="113"/>
      <c r="R28" s="113"/>
      <c r="S28" s="113" t="s">
        <v>29</v>
      </c>
      <c r="T28" s="150" t="s">
        <v>286</v>
      </c>
      <c r="U28" s="196">
        <f>П5ВЕД!AA26</f>
        <v>24111259.829999998</v>
      </c>
      <c r="V28" s="114"/>
      <c r="W28" s="114"/>
      <c r="X28" s="119" t="s">
        <v>286</v>
      </c>
    </row>
    <row r="29" spans="1:24" ht="93" customHeight="1" x14ac:dyDescent="0.3">
      <c r="A29" s="112" t="s">
        <v>287</v>
      </c>
      <c r="B29" s="113" t="s">
        <v>113</v>
      </c>
      <c r="C29" s="113" t="s">
        <v>127</v>
      </c>
      <c r="D29" s="113" t="s">
        <v>592</v>
      </c>
      <c r="E29" s="113"/>
      <c r="F29" s="113"/>
      <c r="G29" s="113"/>
      <c r="H29" s="113"/>
      <c r="I29" s="113"/>
      <c r="J29" s="113"/>
      <c r="K29" s="113"/>
      <c r="L29" s="113"/>
      <c r="M29" s="113"/>
      <c r="N29" s="113"/>
      <c r="O29" s="113"/>
      <c r="P29" s="113"/>
      <c r="Q29" s="113"/>
      <c r="R29" s="113"/>
      <c r="S29" s="113" t="s">
        <v>281</v>
      </c>
      <c r="T29" s="118" t="s">
        <v>287</v>
      </c>
      <c r="U29" s="196">
        <f>П5ВЕД!AA27</f>
        <v>4124659.54</v>
      </c>
      <c r="V29" s="114"/>
      <c r="W29" s="114"/>
      <c r="X29" s="112" t="s">
        <v>287</v>
      </c>
    </row>
    <row r="30" spans="1:24" ht="74.45" customHeight="1" x14ac:dyDescent="0.3">
      <c r="A30" s="112" t="s">
        <v>288</v>
      </c>
      <c r="B30" s="113" t="s">
        <v>113</v>
      </c>
      <c r="C30" s="113" t="s">
        <v>127</v>
      </c>
      <c r="D30" s="113" t="s">
        <v>592</v>
      </c>
      <c r="E30" s="113"/>
      <c r="F30" s="113"/>
      <c r="G30" s="113"/>
      <c r="H30" s="113"/>
      <c r="I30" s="113"/>
      <c r="J30" s="113"/>
      <c r="K30" s="113"/>
      <c r="L30" s="113"/>
      <c r="M30" s="113"/>
      <c r="N30" s="113"/>
      <c r="O30" s="113"/>
      <c r="P30" s="113"/>
      <c r="Q30" s="113"/>
      <c r="R30" s="113"/>
      <c r="S30" s="113" t="s">
        <v>235</v>
      </c>
      <c r="T30" s="118" t="s">
        <v>288</v>
      </c>
      <c r="U30" s="196">
        <f>П5ВЕД!AA28</f>
        <v>266051.19</v>
      </c>
      <c r="V30" s="114"/>
      <c r="W30" s="114"/>
      <c r="X30" s="112" t="s">
        <v>288</v>
      </c>
    </row>
    <row r="31" spans="1:24" ht="111.75" customHeight="1" x14ac:dyDescent="0.3">
      <c r="A31" s="112" t="s">
        <v>289</v>
      </c>
      <c r="B31" s="113" t="s">
        <v>113</v>
      </c>
      <c r="C31" s="113" t="s">
        <v>127</v>
      </c>
      <c r="D31" s="113" t="s">
        <v>593</v>
      </c>
      <c r="E31" s="113"/>
      <c r="F31" s="113"/>
      <c r="G31" s="113"/>
      <c r="H31" s="113"/>
      <c r="I31" s="113"/>
      <c r="J31" s="113"/>
      <c r="K31" s="113"/>
      <c r="L31" s="113"/>
      <c r="M31" s="113"/>
      <c r="N31" s="113"/>
      <c r="O31" s="113"/>
      <c r="P31" s="113"/>
      <c r="Q31" s="113"/>
      <c r="R31" s="113"/>
      <c r="S31" s="113"/>
      <c r="T31" s="112" t="s">
        <v>289</v>
      </c>
      <c r="U31" s="225">
        <f>U32+U33</f>
        <v>248482.88</v>
      </c>
      <c r="V31" s="114"/>
      <c r="W31" s="114"/>
      <c r="X31" s="112" t="s">
        <v>289</v>
      </c>
    </row>
    <row r="32" spans="1:24" ht="174.75" customHeight="1" x14ac:dyDescent="0.3">
      <c r="A32" s="119" t="s">
        <v>290</v>
      </c>
      <c r="B32" s="113" t="s">
        <v>113</v>
      </c>
      <c r="C32" s="113" t="s">
        <v>127</v>
      </c>
      <c r="D32" s="113" t="s">
        <v>593</v>
      </c>
      <c r="E32" s="113"/>
      <c r="F32" s="113"/>
      <c r="G32" s="113"/>
      <c r="H32" s="113"/>
      <c r="I32" s="113"/>
      <c r="J32" s="113"/>
      <c r="K32" s="113"/>
      <c r="L32" s="113"/>
      <c r="M32" s="113"/>
      <c r="N32" s="113"/>
      <c r="O32" s="113"/>
      <c r="P32" s="113"/>
      <c r="Q32" s="113"/>
      <c r="R32" s="113"/>
      <c r="S32" s="113" t="s">
        <v>29</v>
      </c>
      <c r="T32" s="119" t="s">
        <v>290</v>
      </c>
      <c r="U32" s="196">
        <f>П5ВЕД!AA30</f>
        <v>156238.72</v>
      </c>
      <c r="V32" s="114"/>
      <c r="W32" s="114"/>
      <c r="X32" s="119" t="s">
        <v>290</v>
      </c>
    </row>
    <row r="33" spans="1:24" ht="126" customHeight="1" x14ac:dyDescent="0.3">
      <c r="A33" s="112" t="s">
        <v>291</v>
      </c>
      <c r="B33" s="113" t="s">
        <v>113</v>
      </c>
      <c r="C33" s="113" t="s">
        <v>127</v>
      </c>
      <c r="D33" s="113" t="s">
        <v>593</v>
      </c>
      <c r="E33" s="113"/>
      <c r="F33" s="113"/>
      <c r="G33" s="113"/>
      <c r="H33" s="113"/>
      <c r="I33" s="113"/>
      <c r="J33" s="113"/>
      <c r="K33" s="113"/>
      <c r="L33" s="113"/>
      <c r="M33" s="113"/>
      <c r="N33" s="113"/>
      <c r="O33" s="113"/>
      <c r="P33" s="113"/>
      <c r="Q33" s="113"/>
      <c r="R33" s="113"/>
      <c r="S33" s="113" t="s">
        <v>281</v>
      </c>
      <c r="T33" s="112" t="s">
        <v>291</v>
      </c>
      <c r="U33" s="196">
        <f>П5ВЕД!AA31</f>
        <v>92244.160000000003</v>
      </c>
      <c r="V33" s="114"/>
      <c r="W33" s="114"/>
      <c r="X33" s="112" t="s">
        <v>291</v>
      </c>
    </row>
    <row r="34" spans="1:24" ht="18.600000000000001" customHeight="1" x14ac:dyDescent="0.3">
      <c r="A34" s="112" t="s">
        <v>128</v>
      </c>
      <c r="B34" s="113" t="s">
        <v>113</v>
      </c>
      <c r="C34" s="113" t="s">
        <v>115</v>
      </c>
      <c r="D34" s="113"/>
      <c r="E34" s="113"/>
      <c r="F34" s="113"/>
      <c r="G34" s="113"/>
      <c r="H34" s="113"/>
      <c r="I34" s="113"/>
      <c r="J34" s="113"/>
      <c r="K34" s="113"/>
      <c r="L34" s="113"/>
      <c r="M34" s="113"/>
      <c r="N34" s="113"/>
      <c r="O34" s="113"/>
      <c r="P34" s="113"/>
      <c r="Q34" s="113"/>
      <c r="R34" s="113"/>
      <c r="S34" s="113"/>
      <c r="T34" s="112" t="s">
        <v>128</v>
      </c>
      <c r="U34" s="196">
        <f>U35</f>
        <v>24186.27</v>
      </c>
      <c r="V34" s="114"/>
      <c r="W34" s="114"/>
      <c r="X34" s="112" t="s">
        <v>128</v>
      </c>
    </row>
    <row r="35" spans="1:24" ht="111.75" customHeight="1" x14ac:dyDescent="0.3">
      <c r="A35" s="112" t="s">
        <v>223</v>
      </c>
      <c r="B35" s="113" t="s">
        <v>113</v>
      </c>
      <c r="C35" s="113" t="s">
        <v>115</v>
      </c>
      <c r="D35" s="113" t="s">
        <v>594</v>
      </c>
      <c r="E35" s="113"/>
      <c r="F35" s="113"/>
      <c r="G35" s="113"/>
      <c r="H35" s="113"/>
      <c r="I35" s="113"/>
      <c r="J35" s="113"/>
      <c r="K35" s="113"/>
      <c r="L35" s="113"/>
      <c r="M35" s="113"/>
      <c r="N35" s="113"/>
      <c r="O35" s="113"/>
      <c r="P35" s="113"/>
      <c r="Q35" s="113"/>
      <c r="R35" s="113"/>
      <c r="S35" s="113"/>
      <c r="T35" s="112" t="s">
        <v>223</v>
      </c>
      <c r="U35" s="196">
        <f>U36</f>
        <v>24186.27</v>
      </c>
      <c r="V35" s="114"/>
      <c r="W35" s="114"/>
      <c r="X35" s="112" t="s">
        <v>223</v>
      </c>
    </row>
    <row r="36" spans="1:24" ht="148.9" customHeight="1" x14ac:dyDescent="0.3">
      <c r="A36" s="112" t="s">
        <v>292</v>
      </c>
      <c r="B36" s="113" t="s">
        <v>113</v>
      </c>
      <c r="C36" s="113" t="s">
        <v>115</v>
      </c>
      <c r="D36" s="113" t="s">
        <v>594</v>
      </c>
      <c r="E36" s="113"/>
      <c r="F36" s="113"/>
      <c r="G36" s="113"/>
      <c r="H36" s="113"/>
      <c r="I36" s="113"/>
      <c r="J36" s="113"/>
      <c r="K36" s="113"/>
      <c r="L36" s="113"/>
      <c r="M36" s="113"/>
      <c r="N36" s="113"/>
      <c r="O36" s="113"/>
      <c r="P36" s="113"/>
      <c r="Q36" s="113"/>
      <c r="R36" s="113"/>
      <c r="S36" s="113" t="s">
        <v>281</v>
      </c>
      <c r="T36" s="112" t="s">
        <v>292</v>
      </c>
      <c r="U36" s="196">
        <f>П5ВЕД!AA33</f>
        <v>24186.27</v>
      </c>
      <c r="V36" s="114"/>
      <c r="W36" s="114"/>
      <c r="X36" s="112" t="s">
        <v>292</v>
      </c>
    </row>
    <row r="37" spans="1:24" ht="93" customHeight="1" x14ac:dyDescent="0.3">
      <c r="A37" s="112" t="s">
        <v>242</v>
      </c>
      <c r="B37" s="113" t="s">
        <v>113</v>
      </c>
      <c r="C37" s="113" t="s">
        <v>116</v>
      </c>
      <c r="D37" s="113"/>
      <c r="E37" s="113"/>
      <c r="F37" s="113"/>
      <c r="G37" s="113"/>
      <c r="H37" s="113"/>
      <c r="I37" s="113"/>
      <c r="J37" s="113"/>
      <c r="K37" s="113"/>
      <c r="L37" s="113"/>
      <c r="M37" s="113"/>
      <c r="N37" s="113"/>
      <c r="O37" s="113"/>
      <c r="P37" s="113"/>
      <c r="Q37" s="113"/>
      <c r="R37" s="113"/>
      <c r="S37" s="113"/>
      <c r="T37" s="112" t="s">
        <v>242</v>
      </c>
      <c r="U37" s="225">
        <f>U38+U42+U44</f>
        <v>11651794.35</v>
      </c>
      <c r="V37" s="114"/>
      <c r="W37" s="114"/>
      <c r="X37" s="112" t="s">
        <v>242</v>
      </c>
    </row>
    <row r="38" spans="1:24" ht="173.25" customHeight="1" x14ac:dyDescent="0.3">
      <c r="A38" s="112" t="s">
        <v>420</v>
      </c>
      <c r="B38" s="113" t="s">
        <v>113</v>
      </c>
      <c r="C38" s="113" t="s">
        <v>116</v>
      </c>
      <c r="D38" s="214" t="s">
        <v>781</v>
      </c>
      <c r="E38" s="113"/>
      <c r="F38" s="113"/>
      <c r="G38" s="113"/>
      <c r="H38" s="113"/>
      <c r="I38" s="113"/>
      <c r="J38" s="113"/>
      <c r="K38" s="113"/>
      <c r="L38" s="113"/>
      <c r="M38" s="113"/>
      <c r="N38" s="113"/>
      <c r="O38" s="113"/>
      <c r="P38" s="113"/>
      <c r="Q38" s="113"/>
      <c r="R38" s="113"/>
      <c r="S38" s="113"/>
      <c r="T38" s="112" t="s">
        <v>713</v>
      </c>
      <c r="U38" s="196">
        <f>U39+U40+U41</f>
        <v>10462254.289999999</v>
      </c>
      <c r="V38" s="114"/>
      <c r="W38" s="114"/>
      <c r="X38" s="112" t="s">
        <v>420</v>
      </c>
    </row>
    <row r="39" spans="1:24" ht="167.65" customHeight="1" x14ac:dyDescent="0.3">
      <c r="A39" s="112" t="s">
        <v>421</v>
      </c>
      <c r="B39" s="113" t="s">
        <v>113</v>
      </c>
      <c r="C39" s="113" t="s">
        <v>116</v>
      </c>
      <c r="D39" s="214" t="s">
        <v>781</v>
      </c>
      <c r="E39" s="113"/>
      <c r="F39" s="113"/>
      <c r="G39" s="113"/>
      <c r="H39" s="113"/>
      <c r="I39" s="113"/>
      <c r="J39" s="113"/>
      <c r="K39" s="113"/>
      <c r="L39" s="113"/>
      <c r="M39" s="113"/>
      <c r="N39" s="113"/>
      <c r="O39" s="113"/>
      <c r="P39" s="113"/>
      <c r="Q39" s="113"/>
      <c r="R39" s="113"/>
      <c r="S39" s="113" t="s">
        <v>29</v>
      </c>
      <c r="T39" s="146" t="s">
        <v>421</v>
      </c>
      <c r="U39" s="196">
        <f>П5ВЕД!AA259</f>
        <v>9687260.6099999994</v>
      </c>
      <c r="V39" s="114"/>
      <c r="W39" s="114"/>
      <c r="X39" s="112" t="s">
        <v>421</v>
      </c>
    </row>
    <row r="40" spans="1:24" ht="93" customHeight="1" x14ac:dyDescent="0.3">
      <c r="A40" s="112" t="s">
        <v>422</v>
      </c>
      <c r="B40" s="113" t="s">
        <v>113</v>
      </c>
      <c r="C40" s="113" t="s">
        <v>116</v>
      </c>
      <c r="D40" s="214" t="s">
        <v>781</v>
      </c>
      <c r="E40" s="113"/>
      <c r="F40" s="113"/>
      <c r="G40" s="113"/>
      <c r="H40" s="113"/>
      <c r="I40" s="113"/>
      <c r="J40" s="113"/>
      <c r="K40" s="113"/>
      <c r="L40" s="113"/>
      <c r="M40" s="113"/>
      <c r="N40" s="113"/>
      <c r="O40" s="113"/>
      <c r="P40" s="113"/>
      <c r="Q40" s="113"/>
      <c r="R40" s="113"/>
      <c r="S40" s="113" t="s">
        <v>281</v>
      </c>
      <c r="T40" s="146" t="s">
        <v>422</v>
      </c>
      <c r="U40" s="196">
        <f>П5ВЕД!AA260</f>
        <v>762993.67999999993</v>
      </c>
      <c r="V40" s="114"/>
      <c r="W40" s="114"/>
      <c r="X40" s="112" t="s">
        <v>422</v>
      </c>
    </row>
    <row r="41" spans="1:24" ht="55.9" customHeight="1" x14ac:dyDescent="0.3">
      <c r="A41" s="112" t="s">
        <v>423</v>
      </c>
      <c r="B41" s="113" t="s">
        <v>113</v>
      </c>
      <c r="C41" s="113" t="s">
        <v>116</v>
      </c>
      <c r="D41" s="214" t="s">
        <v>781</v>
      </c>
      <c r="E41" s="113"/>
      <c r="F41" s="113"/>
      <c r="G41" s="113"/>
      <c r="H41" s="113"/>
      <c r="I41" s="113"/>
      <c r="J41" s="113"/>
      <c r="K41" s="113"/>
      <c r="L41" s="113"/>
      <c r="M41" s="113"/>
      <c r="N41" s="113"/>
      <c r="O41" s="113"/>
      <c r="P41" s="113"/>
      <c r="Q41" s="113"/>
      <c r="R41" s="113"/>
      <c r="S41" s="113" t="s">
        <v>235</v>
      </c>
      <c r="T41" s="118" t="s">
        <v>423</v>
      </c>
      <c r="U41" s="196">
        <f>П5ВЕД!AA261</f>
        <v>12000</v>
      </c>
      <c r="V41" s="114"/>
      <c r="W41" s="114"/>
      <c r="X41" s="112" t="s">
        <v>423</v>
      </c>
    </row>
    <row r="42" spans="1:24" ht="214.5" customHeight="1" x14ac:dyDescent="0.3">
      <c r="A42" s="112" t="s">
        <v>424</v>
      </c>
      <c r="B42" s="113" t="s">
        <v>113</v>
      </c>
      <c r="C42" s="113" t="s">
        <v>116</v>
      </c>
      <c r="D42" s="214" t="s">
        <v>715</v>
      </c>
      <c r="E42" s="113"/>
      <c r="F42" s="113"/>
      <c r="G42" s="113"/>
      <c r="H42" s="113"/>
      <c r="I42" s="113"/>
      <c r="J42" s="113"/>
      <c r="K42" s="113"/>
      <c r="L42" s="113"/>
      <c r="M42" s="113"/>
      <c r="N42" s="113"/>
      <c r="O42" s="113"/>
      <c r="P42" s="113"/>
      <c r="Q42" s="113"/>
      <c r="R42" s="113"/>
      <c r="S42" s="113"/>
      <c r="T42" s="112" t="s">
        <v>714</v>
      </c>
      <c r="U42" s="196">
        <f>U43</f>
        <v>610000</v>
      </c>
      <c r="V42" s="114"/>
      <c r="W42" s="114"/>
      <c r="X42" s="112" t="s">
        <v>424</v>
      </c>
    </row>
    <row r="43" spans="1:24" ht="242.1" customHeight="1" x14ac:dyDescent="0.3">
      <c r="A43" s="119" t="s">
        <v>425</v>
      </c>
      <c r="B43" s="113" t="s">
        <v>113</v>
      </c>
      <c r="C43" s="113" t="s">
        <v>116</v>
      </c>
      <c r="D43" s="214" t="s">
        <v>715</v>
      </c>
      <c r="E43" s="113"/>
      <c r="F43" s="113"/>
      <c r="G43" s="113"/>
      <c r="H43" s="113"/>
      <c r="I43" s="113"/>
      <c r="J43" s="113"/>
      <c r="K43" s="113"/>
      <c r="L43" s="113"/>
      <c r="M43" s="113"/>
      <c r="N43" s="113"/>
      <c r="O43" s="113"/>
      <c r="P43" s="113"/>
      <c r="Q43" s="113"/>
      <c r="R43" s="113"/>
      <c r="S43" s="113" t="s">
        <v>29</v>
      </c>
      <c r="T43" s="115" t="s">
        <v>425</v>
      </c>
      <c r="U43" s="196">
        <f>П5ВЕД!AA263</f>
        <v>610000</v>
      </c>
      <c r="V43" s="114"/>
      <c r="W43" s="114"/>
      <c r="X43" s="119" t="s">
        <v>425</v>
      </c>
    </row>
    <row r="44" spans="1:24" ht="74.45" customHeight="1" x14ac:dyDescent="0.3">
      <c r="A44" s="112" t="s">
        <v>232</v>
      </c>
      <c r="B44" s="113" t="s">
        <v>113</v>
      </c>
      <c r="C44" s="113" t="s">
        <v>116</v>
      </c>
      <c r="D44" s="113" t="s">
        <v>595</v>
      </c>
      <c r="E44" s="113"/>
      <c r="F44" s="113"/>
      <c r="G44" s="113"/>
      <c r="H44" s="113"/>
      <c r="I44" s="113"/>
      <c r="J44" s="113"/>
      <c r="K44" s="113"/>
      <c r="L44" s="113"/>
      <c r="M44" s="113"/>
      <c r="N44" s="113"/>
      <c r="O44" s="113"/>
      <c r="P44" s="113"/>
      <c r="Q44" s="113"/>
      <c r="R44" s="113"/>
      <c r="S44" s="113"/>
      <c r="T44" s="112" t="s">
        <v>232</v>
      </c>
      <c r="U44" s="196">
        <f>U45</f>
        <v>579540.06000000006</v>
      </c>
      <c r="V44" s="114"/>
      <c r="W44" s="114"/>
      <c r="X44" s="112" t="s">
        <v>232</v>
      </c>
    </row>
    <row r="45" spans="1:24" ht="204.75" customHeight="1" x14ac:dyDescent="0.3">
      <c r="A45" s="119" t="s">
        <v>293</v>
      </c>
      <c r="B45" s="113" t="s">
        <v>113</v>
      </c>
      <c r="C45" s="113" t="s">
        <v>116</v>
      </c>
      <c r="D45" s="113" t="s">
        <v>595</v>
      </c>
      <c r="E45" s="113"/>
      <c r="F45" s="113"/>
      <c r="G45" s="113"/>
      <c r="H45" s="113"/>
      <c r="I45" s="113"/>
      <c r="J45" s="113"/>
      <c r="K45" s="113"/>
      <c r="L45" s="113"/>
      <c r="M45" s="113"/>
      <c r="N45" s="113"/>
      <c r="O45" s="113"/>
      <c r="P45" s="113"/>
      <c r="Q45" s="113"/>
      <c r="R45" s="113"/>
      <c r="S45" s="113" t="s">
        <v>29</v>
      </c>
      <c r="T45" s="119" t="s">
        <v>293</v>
      </c>
      <c r="U45" s="196">
        <f>П5ВЕД!AA37</f>
        <v>579540.06000000006</v>
      </c>
      <c r="V45" s="114"/>
      <c r="W45" s="114"/>
      <c r="X45" s="119" t="s">
        <v>293</v>
      </c>
    </row>
    <row r="46" spans="1:24" ht="18.600000000000001" customHeight="1" x14ac:dyDescent="0.3">
      <c r="A46" s="112" t="s">
        <v>131</v>
      </c>
      <c r="B46" s="113" t="s">
        <v>113</v>
      </c>
      <c r="C46" s="113" t="s">
        <v>119</v>
      </c>
      <c r="D46" s="113"/>
      <c r="E46" s="113"/>
      <c r="F46" s="113"/>
      <c r="G46" s="113"/>
      <c r="H46" s="113"/>
      <c r="I46" s="113"/>
      <c r="J46" s="113"/>
      <c r="K46" s="113"/>
      <c r="L46" s="113"/>
      <c r="M46" s="113"/>
      <c r="N46" s="113"/>
      <c r="O46" s="113"/>
      <c r="P46" s="113"/>
      <c r="Q46" s="113"/>
      <c r="R46" s="113"/>
      <c r="S46" s="113"/>
      <c r="T46" s="112" t="s">
        <v>131</v>
      </c>
      <c r="U46" s="197">
        <f>U47</f>
        <v>334218</v>
      </c>
      <c r="V46" s="114"/>
      <c r="W46" s="114"/>
      <c r="X46" s="112" t="s">
        <v>131</v>
      </c>
    </row>
    <row r="47" spans="1:24" ht="156" customHeight="1" x14ac:dyDescent="0.3">
      <c r="A47" s="112" t="s">
        <v>294</v>
      </c>
      <c r="B47" s="113" t="s">
        <v>113</v>
      </c>
      <c r="C47" s="113" t="s">
        <v>119</v>
      </c>
      <c r="D47" s="113" t="s">
        <v>597</v>
      </c>
      <c r="E47" s="113"/>
      <c r="F47" s="113"/>
      <c r="G47" s="113"/>
      <c r="H47" s="113"/>
      <c r="I47" s="113"/>
      <c r="J47" s="113"/>
      <c r="K47" s="113"/>
      <c r="L47" s="113"/>
      <c r="M47" s="113"/>
      <c r="N47" s="113"/>
      <c r="O47" s="113"/>
      <c r="P47" s="113"/>
      <c r="Q47" s="113"/>
      <c r="R47" s="113"/>
      <c r="S47" s="113"/>
      <c r="T47" s="112" t="s">
        <v>596</v>
      </c>
      <c r="U47" s="196">
        <f>U48</f>
        <v>334218</v>
      </c>
      <c r="V47" s="114"/>
      <c r="W47" s="114"/>
      <c r="X47" s="112" t="s">
        <v>294</v>
      </c>
    </row>
    <row r="48" spans="1:24" ht="55.9" customHeight="1" x14ac:dyDescent="0.3">
      <c r="A48" s="112" t="s">
        <v>295</v>
      </c>
      <c r="B48" s="113" t="s">
        <v>113</v>
      </c>
      <c r="C48" s="113" t="s">
        <v>119</v>
      </c>
      <c r="D48" s="113" t="s">
        <v>597</v>
      </c>
      <c r="E48" s="113"/>
      <c r="F48" s="113"/>
      <c r="G48" s="113"/>
      <c r="H48" s="113"/>
      <c r="I48" s="113"/>
      <c r="J48" s="113"/>
      <c r="K48" s="113"/>
      <c r="L48" s="113"/>
      <c r="M48" s="113"/>
      <c r="N48" s="113"/>
      <c r="O48" s="113"/>
      <c r="P48" s="113"/>
      <c r="Q48" s="113"/>
      <c r="R48" s="113"/>
      <c r="S48" s="113" t="s">
        <v>235</v>
      </c>
      <c r="T48" s="118" t="s">
        <v>295</v>
      </c>
      <c r="U48" s="196">
        <f>П5ВЕД!AA40</f>
        <v>334218</v>
      </c>
      <c r="V48" s="114"/>
      <c r="W48" s="114"/>
      <c r="X48" s="112" t="s">
        <v>295</v>
      </c>
    </row>
    <row r="49" spans="1:24" ht="37.15" customHeight="1" x14ac:dyDescent="0.3">
      <c r="A49" s="112" t="s">
        <v>132</v>
      </c>
      <c r="B49" s="113" t="s">
        <v>113</v>
      </c>
      <c r="C49" s="113" t="s">
        <v>121</v>
      </c>
      <c r="D49" s="113"/>
      <c r="E49" s="113"/>
      <c r="F49" s="113"/>
      <c r="G49" s="113"/>
      <c r="H49" s="113"/>
      <c r="I49" s="113"/>
      <c r="J49" s="113"/>
      <c r="K49" s="113"/>
      <c r="L49" s="113"/>
      <c r="M49" s="113"/>
      <c r="N49" s="113"/>
      <c r="O49" s="113"/>
      <c r="P49" s="113"/>
      <c r="Q49" s="113"/>
      <c r="R49" s="113"/>
      <c r="S49" s="113"/>
      <c r="T49" s="112" t="s">
        <v>132</v>
      </c>
      <c r="U49" s="197">
        <f>U50+U54+U58+U61+U67+U74+U65+U72+U52+U63+U70</f>
        <v>31449460.559999999</v>
      </c>
      <c r="V49" s="114"/>
      <c r="W49" s="114"/>
      <c r="X49" s="112" t="s">
        <v>132</v>
      </c>
    </row>
    <row r="50" spans="1:24" ht="123" customHeight="1" x14ac:dyDescent="0.3">
      <c r="A50" s="112" t="s">
        <v>296</v>
      </c>
      <c r="B50" s="113" t="s">
        <v>113</v>
      </c>
      <c r="C50" s="113" t="s">
        <v>121</v>
      </c>
      <c r="D50" s="113" t="s">
        <v>599</v>
      </c>
      <c r="E50" s="113"/>
      <c r="F50" s="113"/>
      <c r="G50" s="113"/>
      <c r="H50" s="113"/>
      <c r="I50" s="113"/>
      <c r="J50" s="113"/>
      <c r="K50" s="113"/>
      <c r="L50" s="113"/>
      <c r="M50" s="113"/>
      <c r="N50" s="113"/>
      <c r="O50" s="113"/>
      <c r="P50" s="113"/>
      <c r="Q50" s="113"/>
      <c r="R50" s="113"/>
      <c r="S50" s="113"/>
      <c r="T50" s="112" t="s">
        <v>598</v>
      </c>
      <c r="U50" s="196">
        <f>U51</f>
        <v>800000</v>
      </c>
      <c r="V50" s="114"/>
      <c r="W50" s="114"/>
      <c r="X50" s="112" t="s">
        <v>296</v>
      </c>
    </row>
    <row r="51" spans="1:24" ht="130.35" customHeight="1" x14ac:dyDescent="0.3">
      <c r="A51" s="112" t="s">
        <v>297</v>
      </c>
      <c r="B51" s="113" t="s">
        <v>113</v>
      </c>
      <c r="C51" s="113" t="s">
        <v>121</v>
      </c>
      <c r="D51" s="113" t="s">
        <v>599</v>
      </c>
      <c r="E51" s="113"/>
      <c r="F51" s="113"/>
      <c r="G51" s="113"/>
      <c r="H51" s="113"/>
      <c r="I51" s="113"/>
      <c r="J51" s="113"/>
      <c r="K51" s="113"/>
      <c r="L51" s="113"/>
      <c r="M51" s="113"/>
      <c r="N51" s="113"/>
      <c r="O51" s="113"/>
      <c r="P51" s="113"/>
      <c r="Q51" s="113"/>
      <c r="R51" s="113"/>
      <c r="S51" s="113" t="s">
        <v>281</v>
      </c>
      <c r="T51" s="118" t="s">
        <v>297</v>
      </c>
      <c r="U51" s="197">
        <f>П5ВЕД!AA43</f>
        <v>800000</v>
      </c>
      <c r="V51" s="114"/>
      <c r="W51" s="114"/>
      <c r="X51" s="112" t="s">
        <v>297</v>
      </c>
    </row>
    <row r="52" spans="1:24" ht="63.75" customHeight="1" x14ac:dyDescent="0.3">
      <c r="A52" s="112"/>
      <c r="B52" s="113" t="s">
        <v>113</v>
      </c>
      <c r="C52" s="113" t="s">
        <v>121</v>
      </c>
      <c r="D52" s="216" t="s">
        <v>883</v>
      </c>
      <c r="E52" s="113"/>
      <c r="F52" s="113"/>
      <c r="G52" s="113"/>
      <c r="H52" s="113"/>
      <c r="I52" s="113"/>
      <c r="J52" s="113"/>
      <c r="K52" s="113"/>
      <c r="L52" s="113"/>
      <c r="M52" s="113"/>
      <c r="N52" s="113"/>
      <c r="O52" s="113"/>
      <c r="P52" s="113"/>
      <c r="Q52" s="113"/>
      <c r="R52" s="113"/>
      <c r="S52" s="113"/>
      <c r="T52" s="112" t="s">
        <v>884</v>
      </c>
      <c r="U52" s="197">
        <f>U53</f>
        <v>638410.07999999996</v>
      </c>
      <c r="V52" s="114"/>
      <c r="W52" s="114"/>
      <c r="X52" s="112"/>
    </row>
    <row r="53" spans="1:24" ht="103.5" customHeight="1" x14ac:dyDescent="0.3">
      <c r="A53" s="112"/>
      <c r="B53" s="113" t="s">
        <v>113</v>
      </c>
      <c r="C53" s="113" t="s">
        <v>121</v>
      </c>
      <c r="D53" s="216" t="s">
        <v>883</v>
      </c>
      <c r="E53" s="113"/>
      <c r="F53" s="113"/>
      <c r="G53" s="113"/>
      <c r="H53" s="113"/>
      <c r="I53" s="113"/>
      <c r="J53" s="113"/>
      <c r="K53" s="113"/>
      <c r="L53" s="113"/>
      <c r="M53" s="113"/>
      <c r="N53" s="113"/>
      <c r="O53" s="113"/>
      <c r="P53" s="113"/>
      <c r="Q53" s="113"/>
      <c r="R53" s="113"/>
      <c r="S53" s="113" t="s">
        <v>281</v>
      </c>
      <c r="T53" s="147" t="s">
        <v>885</v>
      </c>
      <c r="U53" s="197">
        <f>П5ВЕД!AA45</f>
        <v>638410.07999999996</v>
      </c>
      <c r="V53" s="114"/>
      <c r="W53" s="114"/>
      <c r="X53" s="112"/>
    </row>
    <row r="54" spans="1:24" ht="194.25" customHeight="1" x14ac:dyDescent="0.3">
      <c r="A54" s="112" t="s">
        <v>493</v>
      </c>
      <c r="B54" s="113" t="s">
        <v>113</v>
      </c>
      <c r="C54" s="113" t="s">
        <v>121</v>
      </c>
      <c r="D54" s="113" t="s">
        <v>782</v>
      </c>
      <c r="E54" s="113"/>
      <c r="F54" s="113"/>
      <c r="G54" s="113"/>
      <c r="H54" s="113"/>
      <c r="I54" s="113"/>
      <c r="J54" s="113"/>
      <c r="K54" s="113"/>
      <c r="L54" s="113"/>
      <c r="M54" s="113"/>
      <c r="N54" s="113"/>
      <c r="O54" s="113"/>
      <c r="P54" s="113"/>
      <c r="Q54" s="113"/>
      <c r="R54" s="113"/>
      <c r="S54" s="113"/>
      <c r="T54" s="112" t="s">
        <v>765</v>
      </c>
      <c r="U54" s="198">
        <f>U55+U56+U57</f>
        <v>5332603.96</v>
      </c>
      <c r="V54" s="114"/>
      <c r="W54" s="114"/>
      <c r="X54" s="112" t="s">
        <v>493</v>
      </c>
    </row>
    <row r="55" spans="1:24" ht="180.75" customHeight="1" x14ac:dyDescent="0.3">
      <c r="A55" s="119" t="s">
        <v>494</v>
      </c>
      <c r="B55" s="113" t="s">
        <v>113</v>
      </c>
      <c r="C55" s="113" t="s">
        <v>121</v>
      </c>
      <c r="D55" s="113" t="s">
        <v>782</v>
      </c>
      <c r="E55" s="113"/>
      <c r="F55" s="113"/>
      <c r="G55" s="113"/>
      <c r="H55" s="113"/>
      <c r="I55" s="113"/>
      <c r="J55" s="113"/>
      <c r="K55" s="113"/>
      <c r="L55" s="113"/>
      <c r="M55" s="113"/>
      <c r="N55" s="113"/>
      <c r="O55" s="113"/>
      <c r="P55" s="113"/>
      <c r="Q55" s="113"/>
      <c r="R55" s="113"/>
      <c r="S55" s="113" t="s">
        <v>29</v>
      </c>
      <c r="T55" s="150" t="s">
        <v>494</v>
      </c>
      <c r="U55" s="196">
        <f>П5ВЕД!AA462</f>
        <v>5094348.96</v>
      </c>
      <c r="V55" s="114"/>
      <c r="W55" s="114"/>
      <c r="X55" s="119" t="s">
        <v>494</v>
      </c>
    </row>
    <row r="56" spans="1:24" ht="130.35" customHeight="1" x14ac:dyDescent="0.3">
      <c r="A56" s="112" t="s">
        <v>495</v>
      </c>
      <c r="B56" s="113" t="s">
        <v>113</v>
      </c>
      <c r="C56" s="113" t="s">
        <v>121</v>
      </c>
      <c r="D56" s="113" t="s">
        <v>782</v>
      </c>
      <c r="E56" s="113"/>
      <c r="F56" s="113"/>
      <c r="G56" s="113"/>
      <c r="H56" s="113"/>
      <c r="I56" s="113"/>
      <c r="J56" s="113"/>
      <c r="K56" s="113"/>
      <c r="L56" s="113"/>
      <c r="M56" s="113"/>
      <c r="N56" s="113"/>
      <c r="O56" s="113"/>
      <c r="P56" s="113"/>
      <c r="Q56" s="113"/>
      <c r="R56" s="113"/>
      <c r="S56" s="113" t="s">
        <v>281</v>
      </c>
      <c r="T56" s="118" t="s">
        <v>495</v>
      </c>
      <c r="U56" s="196">
        <f>П5ВЕД!AA463</f>
        <v>234874</v>
      </c>
      <c r="V56" s="114"/>
      <c r="W56" s="114"/>
      <c r="X56" s="112" t="s">
        <v>495</v>
      </c>
    </row>
    <row r="57" spans="1:24" ht="111.75" customHeight="1" x14ac:dyDescent="0.3">
      <c r="A57" s="112" t="s">
        <v>496</v>
      </c>
      <c r="B57" s="113" t="s">
        <v>113</v>
      </c>
      <c r="C57" s="113" t="s">
        <v>121</v>
      </c>
      <c r="D57" s="113" t="s">
        <v>782</v>
      </c>
      <c r="E57" s="113"/>
      <c r="F57" s="113"/>
      <c r="G57" s="113"/>
      <c r="H57" s="113"/>
      <c r="I57" s="113"/>
      <c r="J57" s="113"/>
      <c r="K57" s="113"/>
      <c r="L57" s="113"/>
      <c r="M57" s="113"/>
      <c r="N57" s="113"/>
      <c r="O57" s="113"/>
      <c r="P57" s="113"/>
      <c r="Q57" s="113"/>
      <c r="R57" s="113"/>
      <c r="S57" s="113" t="s">
        <v>235</v>
      </c>
      <c r="T57" s="118" t="s">
        <v>496</v>
      </c>
      <c r="U57" s="196">
        <f>П5ВЕД!AA464</f>
        <v>3381</v>
      </c>
      <c r="V57" s="114"/>
      <c r="W57" s="114"/>
      <c r="X57" s="112" t="s">
        <v>496</v>
      </c>
    </row>
    <row r="58" spans="1:24" ht="213" customHeight="1" x14ac:dyDescent="0.3">
      <c r="A58" s="112" t="s">
        <v>497</v>
      </c>
      <c r="B58" s="113" t="s">
        <v>113</v>
      </c>
      <c r="C58" s="113" t="s">
        <v>121</v>
      </c>
      <c r="D58" s="113" t="s">
        <v>766</v>
      </c>
      <c r="E58" s="113"/>
      <c r="F58" s="113"/>
      <c r="G58" s="113"/>
      <c r="H58" s="113"/>
      <c r="I58" s="113"/>
      <c r="J58" s="113"/>
      <c r="K58" s="113"/>
      <c r="L58" s="113"/>
      <c r="M58" s="113"/>
      <c r="N58" s="113"/>
      <c r="O58" s="113"/>
      <c r="P58" s="113"/>
      <c r="Q58" s="113"/>
      <c r="R58" s="113"/>
      <c r="S58" s="113"/>
      <c r="T58" s="112" t="s">
        <v>777</v>
      </c>
      <c r="U58" s="225">
        <f>U59+U60</f>
        <v>4048989.5300000003</v>
      </c>
      <c r="V58" s="114"/>
      <c r="W58" s="114"/>
      <c r="X58" s="112" t="s">
        <v>497</v>
      </c>
    </row>
    <row r="59" spans="1:24" ht="148.9" customHeight="1" x14ac:dyDescent="0.3">
      <c r="A59" s="112" t="s">
        <v>498</v>
      </c>
      <c r="B59" s="113" t="s">
        <v>113</v>
      </c>
      <c r="C59" s="113" t="s">
        <v>121</v>
      </c>
      <c r="D59" s="113" t="s">
        <v>766</v>
      </c>
      <c r="E59" s="113"/>
      <c r="F59" s="113"/>
      <c r="G59" s="113"/>
      <c r="H59" s="113"/>
      <c r="I59" s="113"/>
      <c r="J59" s="113"/>
      <c r="K59" s="113"/>
      <c r="L59" s="113"/>
      <c r="M59" s="113"/>
      <c r="N59" s="113"/>
      <c r="O59" s="113"/>
      <c r="P59" s="113"/>
      <c r="Q59" s="113"/>
      <c r="R59" s="113"/>
      <c r="S59" s="113" t="s">
        <v>281</v>
      </c>
      <c r="T59" s="146" t="s">
        <v>498</v>
      </c>
      <c r="U59" s="198">
        <f>П5ВЕД!AA466+П5ВЕД!AA47</f>
        <v>4000863.5300000003</v>
      </c>
      <c r="V59" s="114"/>
      <c r="W59" s="114"/>
      <c r="X59" s="112" t="s">
        <v>498</v>
      </c>
    </row>
    <row r="60" spans="1:24" ht="102.75" customHeight="1" x14ac:dyDescent="0.3">
      <c r="A60" s="112"/>
      <c r="B60" s="113" t="s">
        <v>113</v>
      </c>
      <c r="C60" s="113" t="s">
        <v>121</v>
      </c>
      <c r="D60" s="113" t="s">
        <v>766</v>
      </c>
      <c r="E60" s="113"/>
      <c r="F60" s="113"/>
      <c r="G60" s="113"/>
      <c r="H60" s="113"/>
      <c r="I60" s="113"/>
      <c r="J60" s="113"/>
      <c r="K60" s="113"/>
      <c r="L60" s="113"/>
      <c r="M60" s="113"/>
      <c r="N60" s="113"/>
      <c r="O60" s="113"/>
      <c r="P60" s="113"/>
      <c r="Q60" s="113"/>
      <c r="R60" s="113"/>
      <c r="S60" s="113" t="s">
        <v>235</v>
      </c>
      <c r="T60" s="146" t="s">
        <v>496</v>
      </c>
      <c r="U60" s="198">
        <f>П5ВЕД!AA467</f>
        <v>48126</v>
      </c>
      <c r="V60" s="114"/>
      <c r="W60" s="114"/>
      <c r="X60" s="112"/>
    </row>
    <row r="61" spans="1:24" ht="183.75" customHeight="1" x14ac:dyDescent="0.3">
      <c r="A61" s="112" t="s">
        <v>298</v>
      </c>
      <c r="B61" s="113" t="s">
        <v>113</v>
      </c>
      <c r="C61" s="113" t="s">
        <v>121</v>
      </c>
      <c r="D61" s="113" t="s">
        <v>601</v>
      </c>
      <c r="E61" s="113"/>
      <c r="F61" s="113"/>
      <c r="G61" s="113"/>
      <c r="H61" s="113"/>
      <c r="I61" s="113"/>
      <c r="J61" s="113"/>
      <c r="K61" s="113"/>
      <c r="L61" s="113"/>
      <c r="M61" s="113"/>
      <c r="N61" s="113"/>
      <c r="O61" s="113"/>
      <c r="P61" s="113"/>
      <c r="Q61" s="113"/>
      <c r="R61" s="113"/>
      <c r="S61" s="113"/>
      <c r="T61" s="112" t="s">
        <v>600</v>
      </c>
      <c r="U61" s="225">
        <f>U62</f>
        <v>14673918.83</v>
      </c>
      <c r="V61" s="114"/>
      <c r="W61" s="114"/>
      <c r="X61" s="112" t="s">
        <v>298</v>
      </c>
    </row>
    <row r="62" spans="1:24" ht="157.5" customHeight="1" x14ac:dyDescent="0.3">
      <c r="A62" s="119" t="s">
        <v>299</v>
      </c>
      <c r="B62" s="113" t="s">
        <v>113</v>
      </c>
      <c r="C62" s="113" t="s">
        <v>121</v>
      </c>
      <c r="D62" s="113" t="s">
        <v>601</v>
      </c>
      <c r="E62" s="113"/>
      <c r="F62" s="113"/>
      <c r="G62" s="113"/>
      <c r="H62" s="113"/>
      <c r="I62" s="113"/>
      <c r="J62" s="113"/>
      <c r="K62" s="113"/>
      <c r="L62" s="113"/>
      <c r="M62" s="113"/>
      <c r="N62" s="113"/>
      <c r="O62" s="113"/>
      <c r="P62" s="113"/>
      <c r="Q62" s="113"/>
      <c r="R62" s="113"/>
      <c r="S62" s="113" t="s">
        <v>300</v>
      </c>
      <c r="T62" s="150" t="s">
        <v>299</v>
      </c>
      <c r="U62" s="196">
        <f>П5ВЕД!AA49</f>
        <v>14673918.83</v>
      </c>
      <c r="V62" s="114"/>
      <c r="W62" s="114"/>
      <c r="X62" s="119" t="s">
        <v>299</v>
      </c>
    </row>
    <row r="63" spans="1:24" ht="157.5" customHeight="1" x14ac:dyDescent="0.3">
      <c r="A63" s="119"/>
      <c r="B63" s="113" t="s">
        <v>113</v>
      </c>
      <c r="C63" s="148" t="s">
        <v>121</v>
      </c>
      <c r="D63" s="216" t="s">
        <v>919</v>
      </c>
      <c r="E63" s="148"/>
      <c r="F63" s="148"/>
      <c r="G63" s="148"/>
      <c r="H63" s="148"/>
      <c r="I63" s="148"/>
      <c r="J63" s="148"/>
      <c r="K63" s="148"/>
      <c r="L63" s="148"/>
      <c r="M63" s="148"/>
      <c r="N63" s="148"/>
      <c r="O63" s="148"/>
      <c r="P63" s="148"/>
      <c r="Q63" s="148"/>
      <c r="R63" s="148"/>
      <c r="S63" s="148"/>
      <c r="T63" s="150" t="s">
        <v>917</v>
      </c>
      <c r="U63" s="196">
        <f>U64</f>
        <v>604846.91999999993</v>
      </c>
      <c r="V63" s="114"/>
      <c r="W63" s="114"/>
      <c r="X63" s="119"/>
    </row>
    <row r="64" spans="1:24" ht="237" customHeight="1" x14ac:dyDescent="0.3">
      <c r="A64" s="119"/>
      <c r="B64" s="113" t="s">
        <v>113</v>
      </c>
      <c r="C64" s="148" t="s">
        <v>121</v>
      </c>
      <c r="D64" s="216" t="s">
        <v>844</v>
      </c>
      <c r="E64" s="148"/>
      <c r="F64" s="148"/>
      <c r="G64" s="148"/>
      <c r="H64" s="148"/>
      <c r="I64" s="148"/>
      <c r="J64" s="148"/>
      <c r="K64" s="148"/>
      <c r="L64" s="148"/>
      <c r="M64" s="148"/>
      <c r="N64" s="148"/>
      <c r="O64" s="148"/>
      <c r="P64" s="148"/>
      <c r="Q64" s="148"/>
      <c r="R64" s="148"/>
      <c r="S64" s="148" t="s">
        <v>235</v>
      </c>
      <c r="T64" s="150" t="s">
        <v>918</v>
      </c>
      <c r="U64" s="196">
        <f>П5ВЕД!AA51</f>
        <v>604846.91999999993</v>
      </c>
      <c r="V64" s="114"/>
      <c r="W64" s="114"/>
      <c r="X64" s="119"/>
    </row>
    <row r="65" spans="1:24" ht="74.25" customHeight="1" x14ac:dyDescent="0.3">
      <c r="A65" s="119"/>
      <c r="B65" s="113" t="s">
        <v>113</v>
      </c>
      <c r="C65" s="113" t="s">
        <v>121</v>
      </c>
      <c r="D65" s="113" t="s">
        <v>844</v>
      </c>
      <c r="E65" s="113"/>
      <c r="F65" s="113"/>
      <c r="G65" s="113"/>
      <c r="H65" s="113"/>
      <c r="I65" s="113"/>
      <c r="J65" s="113"/>
      <c r="K65" s="113"/>
      <c r="L65" s="113"/>
      <c r="M65" s="113"/>
      <c r="N65" s="113"/>
      <c r="O65" s="113"/>
      <c r="P65" s="113"/>
      <c r="Q65" s="113"/>
      <c r="R65" s="113"/>
      <c r="S65" s="113"/>
      <c r="T65" s="150" t="s">
        <v>842</v>
      </c>
      <c r="U65" s="196">
        <f>U66</f>
        <v>400000</v>
      </c>
      <c r="V65" s="114"/>
      <c r="W65" s="114"/>
      <c r="X65" s="119"/>
    </row>
    <row r="66" spans="1:24" ht="208.5" customHeight="1" x14ac:dyDescent="0.3">
      <c r="A66" s="119"/>
      <c r="B66" s="113" t="s">
        <v>113</v>
      </c>
      <c r="C66" s="113" t="s">
        <v>121</v>
      </c>
      <c r="D66" s="113" t="s">
        <v>844</v>
      </c>
      <c r="E66" s="113"/>
      <c r="F66" s="113"/>
      <c r="G66" s="113"/>
      <c r="H66" s="113"/>
      <c r="I66" s="113"/>
      <c r="J66" s="113"/>
      <c r="K66" s="113"/>
      <c r="L66" s="113"/>
      <c r="M66" s="113"/>
      <c r="N66" s="113"/>
      <c r="O66" s="113"/>
      <c r="P66" s="113"/>
      <c r="Q66" s="113"/>
      <c r="R66" s="113"/>
      <c r="S66" s="113" t="s">
        <v>235</v>
      </c>
      <c r="T66" s="150" t="s">
        <v>843</v>
      </c>
      <c r="U66" s="196">
        <f>П5ВЕД!AA53</f>
        <v>400000</v>
      </c>
      <c r="V66" s="114"/>
      <c r="W66" s="114"/>
      <c r="X66" s="119"/>
    </row>
    <row r="67" spans="1:24" ht="199.5" customHeight="1" x14ac:dyDescent="0.3">
      <c r="A67" s="119" t="s">
        <v>224</v>
      </c>
      <c r="B67" s="113" t="s">
        <v>113</v>
      </c>
      <c r="C67" s="113" t="s">
        <v>121</v>
      </c>
      <c r="D67" s="113" t="s">
        <v>602</v>
      </c>
      <c r="E67" s="113"/>
      <c r="F67" s="113"/>
      <c r="G67" s="113"/>
      <c r="H67" s="113"/>
      <c r="I67" s="113"/>
      <c r="J67" s="113"/>
      <c r="K67" s="113"/>
      <c r="L67" s="113"/>
      <c r="M67" s="113"/>
      <c r="N67" s="113"/>
      <c r="O67" s="113"/>
      <c r="P67" s="113"/>
      <c r="Q67" s="113"/>
      <c r="R67" s="113"/>
      <c r="S67" s="113"/>
      <c r="T67" s="152" t="s">
        <v>224</v>
      </c>
      <c r="U67" s="225">
        <f>U68+U69</f>
        <v>584381.05000000005</v>
      </c>
      <c r="V67" s="114"/>
      <c r="W67" s="114"/>
      <c r="X67" s="119" t="s">
        <v>224</v>
      </c>
    </row>
    <row r="68" spans="1:24" ht="318" customHeight="1" x14ac:dyDescent="0.3">
      <c r="A68" s="119" t="s">
        <v>301</v>
      </c>
      <c r="B68" s="113" t="s">
        <v>113</v>
      </c>
      <c r="C68" s="113" t="s">
        <v>121</v>
      </c>
      <c r="D68" s="113" t="s">
        <v>602</v>
      </c>
      <c r="E68" s="113"/>
      <c r="F68" s="113"/>
      <c r="G68" s="113"/>
      <c r="H68" s="113"/>
      <c r="I68" s="113"/>
      <c r="J68" s="113"/>
      <c r="K68" s="113"/>
      <c r="L68" s="113"/>
      <c r="M68" s="113"/>
      <c r="N68" s="113"/>
      <c r="O68" s="113"/>
      <c r="P68" s="113"/>
      <c r="Q68" s="113"/>
      <c r="R68" s="113"/>
      <c r="S68" s="113" t="s">
        <v>29</v>
      </c>
      <c r="T68" s="152" t="s">
        <v>301</v>
      </c>
      <c r="U68" s="196">
        <f>П5ВЕД!AA55</f>
        <v>538280.99</v>
      </c>
      <c r="V68" s="114"/>
      <c r="W68" s="114"/>
      <c r="X68" s="119" t="s">
        <v>301</v>
      </c>
    </row>
    <row r="69" spans="1:24" ht="243.75" customHeight="1" x14ac:dyDescent="0.3">
      <c r="A69" s="119" t="s">
        <v>302</v>
      </c>
      <c r="B69" s="113" t="s">
        <v>113</v>
      </c>
      <c r="C69" s="113" t="s">
        <v>121</v>
      </c>
      <c r="D69" s="113" t="s">
        <v>602</v>
      </c>
      <c r="E69" s="113"/>
      <c r="F69" s="113"/>
      <c r="G69" s="113"/>
      <c r="H69" s="113"/>
      <c r="I69" s="113"/>
      <c r="J69" s="113"/>
      <c r="K69" s="113"/>
      <c r="L69" s="113"/>
      <c r="M69" s="113"/>
      <c r="N69" s="113"/>
      <c r="O69" s="113"/>
      <c r="P69" s="113"/>
      <c r="Q69" s="113"/>
      <c r="R69" s="113"/>
      <c r="S69" s="113" t="s">
        <v>281</v>
      </c>
      <c r="T69" s="119" t="s">
        <v>302</v>
      </c>
      <c r="U69" s="196">
        <f>П5ВЕД!AA56</f>
        <v>46100.06</v>
      </c>
      <c r="V69" s="114"/>
      <c r="W69" s="114"/>
      <c r="X69" s="119" t="s">
        <v>302</v>
      </c>
    </row>
    <row r="70" spans="1:24" ht="104.25" customHeight="1" x14ac:dyDescent="0.3">
      <c r="A70" s="119"/>
      <c r="B70" s="113" t="s">
        <v>113</v>
      </c>
      <c r="C70" s="113" t="s">
        <v>121</v>
      </c>
      <c r="D70" s="216" t="s">
        <v>934</v>
      </c>
      <c r="E70" s="113"/>
      <c r="F70" s="113"/>
      <c r="G70" s="113"/>
      <c r="H70" s="113"/>
      <c r="I70" s="113"/>
      <c r="J70" s="113"/>
      <c r="K70" s="113"/>
      <c r="L70" s="113"/>
      <c r="M70" s="113"/>
      <c r="N70" s="113"/>
      <c r="O70" s="113"/>
      <c r="P70" s="113"/>
      <c r="Q70" s="113"/>
      <c r="R70" s="113"/>
      <c r="S70" s="113"/>
      <c r="T70" s="119" t="s">
        <v>932</v>
      </c>
      <c r="U70" s="196">
        <f>U71</f>
        <v>1032810.19</v>
      </c>
      <c r="V70" s="114"/>
      <c r="W70" s="114"/>
      <c r="X70" s="119"/>
    </row>
    <row r="71" spans="1:24" ht="51.75" customHeight="1" x14ac:dyDescent="0.3">
      <c r="A71" s="119"/>
      <c r="B71" s="113" t="s">
        <v>113</v>
      </c>
      <c r="C71" s="113" t="s">
        <v>121</v>
      </c>
      <c r="D71" s="216" t="s">
        <v>934</v>
      </c>
      <c r="E71" s="113"/>
      <c r="F71" s="113"/>
      <c r="G71" s="113"/>
      <c r="H71" s="113"/>
      <c r="I71" s="113"/>
      <c r="J71" s="113"/>
      <c r="K71" s="113"/>
      <c r="L71" s="113"/>
      <c r="M71" s="113"/>
      <c r="N71" s="113"/>
      <c r="O71" s="113"/>
      <c r="P71" s="113"/>
      <c r="Q71" s="113"/>
      <c r="R71" s="113"/>
      <c r="S71" s="113" t="s">
        <v>281</v>
      </c>
      <c r="T71" s="150" t="s">
        <v>933</v>
      </c>
      <c r="U71" s="196">
        <f>П5ВЕД!AA58</f>
        <v>1032810.19</v>
      </c>
      <c r="V71" s="114"/>
      <c r="W71" s="114"/>
      <c r="X71" s="119"/>
    </row>
    <row r="72" spans="1:24" ht="71.25" customHeight="1" x14ac:dyDescent="0.3">
      <c r="A72" s="119"/>
      <c r="B72" s="113" t="s">
        <v>113</v>
      </c>
      <c r="C72" s="113" t="s">
        <v>121</v>
      </c>
      <c r="D72" s="214" t="s">
        <v>855</v>
      </c>
      <c r="E72" s="113"/>
      <c r="F72" s="113"/>
      <c r="G72" s="113"/>
      <c r="H72" s="113"/>
      <c r="I72" s="113"/>
      <c r="J72" s="113"/>
      <c r="K72" s="113"/>
      <c r="L72" s="113"/>
      <c r="M72" s="113"/>
      <c r="N72" s="113"/>
      <c r="O72" s="113"/>
      <c r="P72" s="113"/>
      <c r="Q72" s="113"/>
      <c r="R72" s="113"/>
      <c r="S72" s="113"/>
      <c r="T72" s="152" t="s">
        <v>853</v>
      </c>
      <c r="U72" s="196">
        <f>U73</f>
        <v>2800000</v>
      </c>
      <c r="V72" s="114"/>
      <c r="W72" s="114"/>
      <c r="X72" s="119"/>
    </row>
    <row r="73" spans="1:24" ht="75.75" customHeight="1" x14ac:dyDescent="0.3">
      <c r="A73" s="119"/>
      <c r="B73" s="113" t="s">
        <v>113</v>
      </c>
      <c r="C73" s="113" t="s">
        <v>121</v>
      </c>
      <c r="D73" s="214" t="s">
        <v>855</v>
      </c>
      <c r="E73" s="113"/>
      <c r="F73" s="113"/>
      <c r="G73" s="113"/>
      <c r="H73" s="113"/>
      <c r="I73" s="113"/>
      <c r="J73" s="113"/>
      <c r="K73" s="113"/>
      <c r="L73" s="113"/>
      <c r="M73" s="113"/>
      <c r="N73" s="113"/>
      <c r="O73" s="113"/>
      <c r="P73" s="113"/>
      <c r="Q73" s="113"/>
      <c r="R73" s="113"/>
      <c r="S73" s="113" t="s">
        <v>355</v>
      </c>
      <c r="T73" s="152" t="s">
        <v>854</v>
      </c>
      <c r="U73" s="196">
        <f>П5ВЕД!AA59</f>
        <v>2800000</v>
      </c>
      <c r="V73" s="114"/>
      <c r="W73" s="114"/>
      <c r="X73" s="119"/>
    </row>
    <row r="74" spans="1:24" ht="73.5" customHeight="1" x14ac:dyDescent="0.3">
      <c r="A74" s="119"/>
      <c r="B74" s="113" t="s">
        <v>113</v>
      </c>
      <c r="C74" s="113" t="s">
        <v>121</v>
      </c>
      <c r="D74" s="113" t="s">
        <v>716</v>
      </c>
      <c r="E74" s="113"/>
      <c r="F74" s="113"/>
      <c r="G74" s="113"/>
      <c r="H74" s="113"/>
      <c r="I74" s="113"/>
      <c r="J74" s="113"/>
      <c r="K74" s="113"/>
      <c r="L74" s="113"/>
      <c r="M74" s="113"/>
      <c r="N74" s="113"/>
      <c r="O74" s="113"/>
      <c r="P74" s="113"/>
      <c r="Q74" s="113"/>
      <c r="R74" s="113"/>
      <c r="S74" s="113"/>
      <c r="T74" s="119" t="s">
        <v>543</v>
      </c>
      <c r="U74" s="196">
        <f>U75</f>
        <v>533500</v>
      </c>
      <c r="V74" s="114"/>
      <c r="W74" s="114"/>
      <c r="X74" s="119"/>
    </row>
    <row r="75" spans="1:24" ht="42.75" customHeight="1" x14ac:dyDescent="0.3">
      <c r="A75" s="119"/>
      <c r="B75" s="113" t="s">
        <v>113</v>
      </c>
      <c r="C75" s="113" t="s">
        <v>121</v>
      </c>
      <c r="D75" s="113" t="s">
        <v>716</v>
      </c>
      <c r="E75" s="113"/>
      <c r="F75" s="113"/>
      <c r="G75" s="113"/>
      <c r="H75" s="113"/>
      <c r="I75" s="113"/>
      <c r="J75" s="113"/>
      <c r="K75" s="113"/>
      <c r="L75" s="113"/>
      <c r="M75" s="113"/>
      <c r="N75" s="113"/>
      <c r="O75" s="113"/>
      <c r="P75" s="113"/>
      <c r="Q75" s="113"/>
      <c r="R75" s="113"/>
      <c r="S75" s="113" t="s">
        <v>235</v>
      </c>
      <c r="T75" s="119" t="s">
        <v>544</v>
      </c>
      <c r="U75" s="196">
        <f>П5ВЕД!AA266</f>
        <v>533500</v>
      </c>
      <c r="V75" s="114"/>
      <c r="W75" s="114"/>
      <c r="X75" s="119"/>
    </row>
    <row r="76" spans="1:24" ht="55.9" customHeight="1" x14ac:dyDescent="0.3">
      <c r="A76" s="110" t="s">
        <v>303</v>
      </c>
      <c r="B76" s="122" t="s">
        <v>114</v>
      </c>
      <c r="C76" s="122" t="s">
        <v>124</v>
      </c>
      <c r="D76" s="122"/>
      <c r="E76" s="122"/>
      <c r="F76" s="122"/>
      <c r="G76" s="122"/>
      <c r="H76" s="122"/>
      <c r="I76" s="122"/>
      <c r="J76" s="122"/>
      <c r="K76" s="122"/>
      <c r="L76" s="122"/>
      <c r="M76" s="122"/>
      <c r="N76" s="122"/>
      <c r="O76" s="122"/>
      <c r="P76" s="122"/>
      <c r="Q76" s="122"/>
      <c r="R76" s="122"/>
      <c r="S76" s="122"/>
      <c r="T76" s="110" t="s">
        <v>303</v>
      </c>
      <c r="U76" s="199">
        <f>U77+U86</f>
        <v>3377249.99</v>
      </c>
      <c r="V76" s="111"/>
      <c r="W76" s="111"/>
      <c r="X76" s="110" t="s">
        <v>303</v>
      </c>
    </row>
    <row r="77" spans="1:24" ht="74.45" customHeight="1" x14ac:dyDescent="0.3">
      <c r="A77" s="112" t="s">
        <v>243</v>
      </c>
      <c r="B77" s="113" t="s">
        <v>114</v>
      </c>
      <c r="C77" s="113" t="s">
        <v>118</v>
      </c>
      <c r="D77" s="113"/>
      <c r="E77" s="113"/>
      <c r="F77" s="113"/>
      <c r="G77" s="113"/>
      <c r="H77" s="113"/>
      <c r="I77" s="113"/>
      <c r="J77" s="113"/>
      <c r="K77" s="113"/>
      <c r="L77" s="113"/>
      <c r="M77" s="113"/>
      <c r="N77" s="113"/>
      <c r="O77" s="113"/>
      <c r="P77" s="113"/>
      <c r="Q77" s="113"/>
      <c r="R77" s="113"/>
      <c r="S77" s="113"/>
      <c r="T77" s="112" t="s">
        <v>243</v>
      </c>
      <c r="U77" s="196">
        <f>U78+U80+U82+U84</f>
        <v>3375249.99</v>
      </c>
      <c r="V77" s="114"/>
      <c r="W77" s="114"/>
      <c r="X77" s="112" t="s">
        <v>243</v>
      </c>
    </row>
    <row r="78" spans="1:24" ht="204" customHeight="1" x14ac:dyDescent="0.3">
      <c r="A78" s="112" t="s">
        <v>499</v>
      </c>
      <c r="B78" s="113" t="s">
        <v>114</v>
      </c>
      <c r="C78" s="113" t="s">
        <v>118</v>
      </c>
      <c r="D78" s="113" t="s">
        <v>768</v>
      </c>
      <c r="E78" s="113"/>
      <c r="F78" s="113"/>
      <c r="G78" s="113"/>
      <c r="H78" s="113"/>
      <c r="I78" s="113"/>
      <c r="J78" s="113"/>
      <c r="K78" s="113"/>
      <c r="L78" s="113"/>
      <c r="M78" s="113"/>
      <c r="N78" s="113"/>
      <c r="O78" s="113"/>
      <c r="P78" s="113"/>
      <c r="Q78" s="113"/>
      <c r="R78" s="113"/>
      <c r="S78" s="113"/>
      <c r="T78" s="112" t="s">
        <v>767</v>
      </c>
      <c r="U78" s="196">
        <f>U79</f>
        <v>2497749.9900000002</v>
      </c>
      <c r="V78" s="114"/>
      <c r="W78" s="114"/>
      <c r="X78" s="112" t="s">
        <v>499</v>
      </c>
    </row>
    <row r="79" spans="1:24" ht="130.35" customHeight="1" x14ac:dyDescent="0.3">
      <c r="A79" s="112" t="s">
        <v>500</v>
      </c>
      <c r="B79" s="113" t="s">
        <v>114</v>
      </c>
      <c r="C79" s="113" t="s">
        <v>118</v>
      </c>
      <c r="D79" s="113" t="s">
        <v>768</v>
      </c>
      <c r="E79" s="113"/>
      <c r="F79" s="113"/>
      <c r="G79" s="113"/>
      <c r="H79" s="113"/>
      <c r="I79" s="113"/>
      <c r="J79" s="113"/>
      <c r="K79" s="113"/>
      <c r="L79" s="113"/>
      <c r="M79" s="113"/>
      <c r="N79" s="113"/>
      <c r="O79" s="113"/>
      <c r="P79" s="113"/>
      <c r="Q79" s="113"/>
      <c r="R79" s="113"/>
      <c r="S79" s="113" t="s">
        <v>300</v>
      </c>
      <c r="T79" s="118" t="s">
        <v>500</v>
      </c>
      <c r="U79" s="197">
        <f>П5ВЕД!AA471</f>
        <v>2497749.9900000002</v>
      </c>
      <c r="V79" s="114"/>
      <c r="W79" s="114"/>
      <c r="X79" s="112" t="s">
        <v>500</v>
      </c>
    </row>
    <row r="80" spans="1:24" ht="219.75" customHeight="1" x14ac:dyDescent="0.3">
      <c r="A80" s="112" t="s">
        <v>304</v>
      </c>
      <c r="B80" s="113" t="s">
        <v>114</v>
      </c>
      <c r="C80" s="113" t="s">
        <v>118</v>
      </c>
      <c r="D80" s="113" t="s">
        <v>604</v>
      </c>
      <c r="E80" s="113"/>
      <c r="F80" s="113"/>
      <c r="G80" s="113"/>
      <c r="H80" s="113"/>
      <c r="I80" s="113"/>
      <c r="J80" s="113"/>
      <c r="K80" s="113"/>
      <c r="L80" s="113"/>
      <c r="M80" s="113"/>
      <c r="N80" s="113"/>
      <c r="O80" s="113"/>
      <c r="P80" s="113"/>
      <c r="Q80" s="113"/>
      <c r="R80" s="113"/>
      <c r="S80" s="113"/>
      <c r="T80" s="112" t="s">
        <v>603</v>
      </c>
      <c r="U80" s="197">
        <f>U81</f>
        <v>165000</v>
      </c>
      <c r="V80" s="114"/>
      <c r="W80" s="114"/>
      <c r="X80" s="112" t="s">
        <v>304</v>
      </c>
    </row>
    <row r="81" spans="1:24" ht="126.75" customHeight="1" x14ac:dyDescent="0.3">
      <c r="A81" s="112" t="s">
        <v>305</v>
      </c>
      <c r="B81" s="113" t="s">
        <v>114</v>
      </c>
      <c r="C81" s="113" t="s">
        <v>118</v>
      </c>
      <c r="D81" s="113" t="s">
        <v>604</v>
      </c>
      <c r="E81" s="113"/>
      <c r="F81" s="113"/>
      <c r="G81" s="113"/>
      <c r="H81" s="113"/>
      <c r="I81" s="113"/>
      <c r="J81" s="113"/>
      <c r="K81" s="113"/>
      <c r="L81" s="113"/>
      <c r="M81" s="113"/>
      <c r="N81" s="113"/>
      <c r="O81" s="113"/>
      <c r="P81" s="113"/>
      <c r="Q81" s="113"/>
      <c r="R81" s="113"/>
      <c r="S81" s="113" t="s">
        <v>281</v>
      </c>
      <c r="T81" s="112" t="s">
        <v>305</v>
      </c>
      <c r="U81" s="196">
        <f>П5ВЕД!AA64</f>
        <v>165000</v>
      </c>
      <c r="V81" s="114"/>
      <c r="W81" s="114"/>
      <c r="X81" s="112" t="s">
        <v>305</v>
      </c>
    </row>
    <row r="82" spans="1:24" ht="188.25" customHeight="1" x14ac:dyDescent="0.3">
      <c r="A82" s="112" t="s">
        <v>306</v>
      </c>
      <c r="B82" s="113" t="s">
        <v>114</v>
      </c>
      <c r="C82" s="113" t="s">
        <v>118</v>
      </c>
      <c r="D82" s="113" t="s">
        <v>606</v>
      </c>
      <c r="E82" s="113"/>
      <c r="F82" s="113"/>
      <c r="G82" s="113"/>
      <c r="H82" s="113"/>
      <c r="I82" s="113"/>
      <c r="J82" s="113"/>
      <c r="K82" s="113"/>
      <c r="L82" s="113"/>
      <c r="M82" s="113"/>
      <c r="N82" s="113"/>
      <c r="O82" s="113"/>
      <c r="P82" s="113"/>
      <c r="Q82" s="113"/>
      <c r="R82" s="113"/>
      <c r="S82" s="113"/>
      <c r="T82" s="112" t="s">
        <v>605</v>
      </c>
      <c r="U82" s="197">
        <f>U83</f>
        <v>462500</v>
      </c>
      <c r="V82" s="114"/>
      <c r="W82" s="114"/>
      <c r="X82" s="112" t="s">
        <v>306</v>
      </c>
    </row>
    <row r="83" spans="1:24" ht="93" customHeight="1" x14ac:dyDescent="0.3">
      <c r="A83" s="112" t="s">
        <v>307</v>
      </c>
      <c r="B83" s="113" t="s">
        <v>114</v>
      </c>
      <c r="C83" s="113" t="s">
        <v>118</v>
      </c>
      <c r="D83" s="113" t="s">
        <v>606</v>
      </c>
      <c r="E83" s="113"/>
      <c r="F83" s="113"/>
      <c r="G83" s="113"/>
      <c r="H83" s="113"/>
      <c r="I83" s="113"/>
      <c r="J83" s="113"/>
      <c r="K83" s="113"/>
      <c r="L83" s="113"/>
      <c r="M83" s="113"/>
      <c r="N83" s="113"/>
      <c r="O83" s="113"/>
      <c r="P83" s="113"/>
      <c r="Q83" s="113"/>
      <c r="R83" s="113"/>
      <c r="S83" s="113" t="s">
        <v>281</v>
      </c>
      <c r="T83" s="112" t="s">
        <v>307</v>
      </c>
      <c r="U83" s="196">
        <f>П5ВЕД!AA66</f>
        <v>462500</v>
      </c>
      <c r="V83" s="114"/>
      <c r="W83" s="114"/>
      <c r="X83" s="112" t="s">
        <v>307</v>
      </c>
    </row>
    <row r="84" spans="1:24" ht="199.5" customHeight="1" x14ac:dyDescent="0.3">
      <c r="A84" s="112"/>
      <c r="B84" s="113" t="s">
        <v>114</v>
      </c>
      <c r="C84" s="113" t="s">
        <v>118</v>
      </c>
      <c r="D84" s="214" t="s">
        <v>916</v>
      </c>
      <c r="E84" s="113"/>
      <c r="F84" s="113"/>
      <c r="G84" s="113"/>
      <c r="H84" s="113"/>
      <c r="I84" s="113"/>
      <c r="J84" s="113"/>
      <c r="K84" s="113"/>
      <c r="L84" s="113"/>
      <c r="M84" s="113"/>
      <c r="N84" s="113"/>
      <c r="O84" s="113"/>
      <c r="P84" s="113"/>
      <c r="Q84" s="113"/>
      <c r="R84" s="113"/>
      <c r="S84" s="113"/>
      <c r="T84" s="119" t="s">
        <v>914</v>
      </c>
      <c r="U84" s="196">
        <f>U85</f>
        <v>250000</v>
      </c>
      <c r="V84" s="114"/>
      <c r="W84" s="114"/>
      <c r="X84" s="112"/>
    </row>
    <row r="85" spans="1:24" ht="235.5" customHeight="1" x14ac:dyDescent="0.3">
      <c r="A85" s="112"/>
      <c r="B85" s="113" t="s">
        <v>114</v>
      </c>
      <c r="C85" s="113" t="s">
        <v>118</v>
      </c>
      <c r="D85" s="216" t="s">
        <v>916</v>
      </c>
      <c r="E85" s="113"/>
      <c r="F85" s="113"/>
      <c r="G85" s="113"/>
      <c r="H85" s="113"/>
      <c r="I85" s="113"/>
      <c r="J85" s="113"/>
      <c r="K85" s="113"/>
      <c r="L85" s="113"/>
      <c r="M85" s="113"/>
      <c r="N85" s="113"/>
      <c r="O85" s="113"/>
      <c r="P85" s="113"/>
      <c r="Q85" s="113"/>
      <c r="R85" s="113"/>
      <c r="S85" s="113" t="s">
        <v>281</v>
      </c>
      <c r="T85" s="150" t="s">
        <v>915</v>
      </c>
      <c r="U85" s="196">
        <f>П5ВЕД!AA68</f>
        <v>250000</v>
      </c>
      <c r="V85" s="114"/>
      <c r="W85" s="114"/>
      <c r="X85" s="112"/>
    </row>
    <row r="86" spans="1:24" ht="59.25" customHeight="1" x14ac:dyDescent="0.3">
      <c r="A86" s="119"/>
      <c r="B86" s="113" t="s">
        <v>114</v>
      </c>
      <c r="C86" s="113" t="s">
        <v>134</v>
      </c>
      <c r="D86" s="113"/>
      <c r="E86" s="113"/>
      <c r="F86" s="113"/>
      <c r="G86" s="113"/>
      <c r="H86" s="113"/>
      <c r="I86" s="113"/>
      <c r="J86" s="113"/>
      <c r="K86" s="113"/>
      <c r="L86" s="113"/>
      <c r="M86" s="113"/>
      <c r="N86" s="113"/>
      <c r="O86" s="113"/>
      <c r="P86" s="113"/>
      <c r="Q86" s="113"/>
      <c r="R86" s="113"/>
      <c r="S86" s="113"/>
      <c r="T86" s="120" t="s">
        <v>135</v>
      </c>
      <c r="U86" s="196">
        <f>U87</f>
        <v>2000</v>
      </c>
      <c r="V86" s="114"/>
      <c r="W86" s="114"/>
      <c r="X86" s="119"/>
    </row>
    <row r="87" spans="1:24" ht="131.25" customHeight="1" x14ac:dyDescent="0.3">
      <c r="A87" s="119"/>
      <c r="B87" s="113" t="s">
        <v>114</v>
      </c>
      <c r="C87" s="113" t="s">
        <v>134</v>
      </c>
      <c r="D87" s="113" t="s">
        <v>608</v>
      </c>
      <c r="E87" s="113"/>
      <c r="F87" s="113"/>
      <c r="G87" s="113"/>
      <c r="H87" s="113"/>
      <c r="I87" s="113"/>
      <c r="J87" s="113"/>
      <c r="K87" s="113"/>
      <c r="L87" s="113"/>
      <c r="M87" s="113"/>
      <c r="N87" s="113"/>
      <c r="O87" s="113"/>
      <c r="P87" s="113"/>
      <c r="Q87" s="113"/>
      <c r="R87" s="113"/>
      <c r="S87" s="113"/>
      <c r="T87" s="115" t="s">
        <v>607</v>
      </c>
      <c r="U87" s="197">
        <f>U88</f>
        <v>2000</v>
      </c>
      <c r="V87" s="114"/>
      <c r="W87" s="114"/>
      <c r="X87" s="119"/>
    </row>
    <row r="88" spans="1:24" ht="132.75" customHeight="1" x14ac:dyDescent="0.3">
      <c r="A88" s="119"/>
      <c r="B88" s="148" t="s">
        <v>114</v>
      </c>
      <c r="C88" s="148" t="s">
        <v>134</v>
      </c>
      <c r="D88" s="113" t="s">
        <v>608</v>
      </c>
      <c r="E88" s="148"/>
      <c r="F88" s="148"/>
      <c r="G88" s="148"/>
      <c r="H88" s="148"/>
      <c r="I88" s="148"/>
      <c r="J88" s="148"/>
      <c r="K88" s="148"/>
      <c r="L88" s="148"/>
      <c r="M88" s="148"/>
      <c r="N88" s="148"/>
      <c r="O88" s="148"/>
      <c r="P88" s="148"/>
      <c r="Q88" s="148"/>
      <c r="R88" s="148"/>
      <c r="S88" s="148" t="s">
        <v>281</v>
      </c>
      <c r="T88" s="150" t="s">
        <v>536</v>
      </c>
      <c r="U88" s="198">
        <f>П5ВЕД!AA71</f>
        <v>2000</v>
      </c>
      <c r="V88" s="114"/>
      <c r="W88" s="114"/>
      <c r="X88" s="119"/>
    </row>
    <row r="89" spans="1:24" ht="18.600000000000001" customHeight="1" x14ac:dyDescent="0.3">
      <c r="A89" s="110" t="s">
        <v>308</v>
      </c>
      <c r="B89" s="122" t="s">
        <v>127</v>
      </c>
      <c r="C89" s="122" t="s">
        <v>124</v>
      </c>
      <c r="D89" s="122"/>
      <c r="E89" s="122"/>
      <c r="F89" s="122"/>
      <c r="G89" s="122"/>
      <c r="H89" s="122"/>
      <c r="I89" s="122"/>
      <c r="J89" s="122"/>
      <c r="K89" s="122"/>
      <c r="L89" s="122"/>
      <c r="M89" s="122"/>
      <c r="N89" s="122"/>
      <c r="O89" s="122"/>
      <c r="P89" s="122"/>
      <c r="Q89" s="122"/>
      <c r="R89" s="122"/>
      <c r="S89" s="122"/>
      <c r="T89" s="110" t="s">
        <v>308</v>
      </c>
      <c r="U89" s="200">
        <f>U90+U109+U114+U131+U142</f>
        <v>26789101.57</v>
      </c>
      <c r="V89" s="111"/>
      <c r="W89" s="111"/>
      <c r="X89" s="110" t="s">
        <v>308</v>
      </c>
    </row>
    <row r="90" spans="1:24" ht="18.600000000000001" customHeight="1" x14ac:dyDescent="0.3">
      <c r="A90" s="112" t="s">
        <v>138</v>
      </c>
      <c r="B90" s="113" t="s">
        <v>127</v>
      </c>
      <c r="C90" s="113" t="s">
        <v>115</v>
      </c>
      <c r="D90" s="113"/>
      <c r="E90" s="113"/>
      <c r="F90" s="113"/>
      <c r="G90" s="113"/>
      <c r="H90" s="113"/>
      <c r="I90" s="113"/>
      <c r="J90" s="113"/>
      <c r="K90" s="113"/>
      <c r="L90" s="113"/>
      <c r="M90" s="113"/>
      <c r="N90" s="113"/>
      <c r="O90" s="113"/>
      <c r="P90" s="113"/>
      <c r="Q90" s="113"/>
      <c r="R90" s="113"/>
      <c r="S90" s="113"/>
      <c r="T90" s="112" t="s">
        <v>138</v>
      </c>
      <c r="U90" s="197">
        <f>U91+U93+U95+U97+U99+U101+U103+U105+U107</f>
        <v>248800</v>
      </c>
      <c r="V90" s="176"/>
      <c r="W90" s="176"/>
      <c r="X90" s="112" t="s">
        <v>138</v>
      </c>
    </row>
    <row r="91" spans="1:24" ht="144.75" customHeight="1" x14ac:dyDescent="0.3">
      <c r="A91" s="112" t="s">
        <v>309</v>
      </c>
      <c r="B91" s="113" t="s">
        <v>127</v>
      </c>
      <c r="C91" s="113" t="s">
        <v>115</v>
      </c>
      <c r="D91" s="113" t="s">
        <v>610</v>
      </c>
      <c r="E91" s="113"/>
      <c r="F91" s="113"/>
      <c r="G91" s="113"/>
      <c r="H91" s="113"/>
      <c r="I91" s="113"/>
      <c r="J91" s="113"/>
      <c r="K91" s="113"/>
      <c r="L91" s="113"/>
      <c r="M91" s="113"/>
      <c r="N91" s="113"/>
      <c r="O91" s="113"/>
      <c r="P91" s="113"/>
      <c r="Q91" s="113"/>
      <c r="R91" s="113"/>
      <c r="S91" s="113"/>
      <c r="T91" s="112" t="s">
        <v>609</v>
      </c>
      <c r="U91" s="197">
        <f>U92</f>
        <v>0</v>
      </c>
      <c r="V91" s="114"/>
      <c r="W91" s="114"/>
      <c r="X91" s="112" t="s">
        <v>309</v>
      </c>
    </row>
    <row r="92" spans="1:24" ht="130.35" customHeight="1" x14ac:dyDescent="0.3">
      <c r="A92" s="112" t="s">
        <v>310</v>
      </c>
      <c r="B92" s="113" t="s">
        <v>127</v>
      </c>
      <c r="C92" s="113" t="s">
        <v>115</v>
      </c>
      <c r="D92" s="113" t="s">
        <v>610</v>
      </c>
      <c r="E92" s="113"/>
      <c r="F92" s="113"/>
      <c r="G92" s="113"/>
      <c r="H92" s="113"/>
      <c r="I92" s="113"/>
      <c r="J92" s="113"/>
      <c r="K92" s="113"/>
      <c r="L92" s="113"/>
      <c r="M92" s="113"/>
      <c r="N92" s="113"/>
      <c r="O92" s="113"/>
      <c r="P92" s="113"/>
      <c r="Q92" s="113"/>
      <c r="R92" s="113"/>
      <c r="S92" s="113" t="s">
        <v>281</v>
      </c>
      <c r="T92" s="146" t="s">
        <v>310</v>
      </c>
      <c r="U92" s="196">
        <f>П5ВЕД!AA75</f>
        <v>0</v>
      </c>
      <c r="V92" s="114"/>
      <c r="W92" s="114"/>
      <c r="X92" s="112" t="s">
        <v>310</v>
      </c>
    </row>
    <row r="93" spans="1:24" ht="130.5" customHeight="1" x14ac:dyDescent="0.3">
      <c r="A93" s="112" t="s">
        <v>311</v>
      </c>
      <c r="B93" s="113" t="s">
        <v>127</v>
      </c>
      <c r="C93" s="113" t="s">
        <v>115</v>
      </c>
      <c r="D93" s="113" t="s">
        <v>612</v>
      </c>
      <c r="E93" s="113"/>
      <c r="F93" s="113"/>
      <c r="G93" s="113"/>
      <c r="H93" s="113"/>
      <c r="I93" s="113"/>
      <c r="J93" s="113"/>
      <c r="K93" s="113"/>
      <c r="L93" s="113"/>
      <c r="M93" s="113"/>
      <c r="N93" s="113"/>
      <c r="O93" s="113"/>
      <c r="P93" s="113"/>
      <c r="Q93" s="113"/>
      <c r="R93" s="113"/>
      <c r="S93" s="113"/>
      <c r="T93" s="112" t="s">
        <v>611</v>
      </c>
      <c r="U93" s="197">
        <f>U94</f>
        <v>120000</v>
      </c>
      <c r="V93" s="114"/>
      <c r="W93" s="114"/>
      <c r="X93" s="112" t="s">
        <v>311</v>
      </c>
    </row>
    <row r="94" spans="1:24" ht="111.75" customHeight="1" x14ac:dyDescent="0.3">
      <c r="A94" s="112" t="s">
        <v>312</v>
      </c>
      <c r="B94" s="113" t="s">
        <v>127</v>
      </c>
      <c r="C94" s="113" t="s">
        <v>115</v>
      </c>
      <c r="D94" s="113" t="s">
        <v>612</v>
      </c>
      <c r="E94" s="113"/>
      <c r="F94" s="113"/>
      <c r="G94" s="113"/>
      <c r="H94" s="113"/>
      <c r="I94" s="113"/>
      <c r="J94" s="113"/>
      <c r="K94" s="113"/>
      <c r="L94" s="113"/>
      <c r="M94" s="113"/>
      <c r="N94" s="113"/>
      <c r="O94" s="113"/>
      <c r="P94" s="113"/>
      <c r="Q94" s="113"/>
      <c r="R94" s="113"/>
      <c r="S94" s="113" t="s">
        <v>281</v>
      </c>
      <c r="T94" s="118" t="s">
        <v>312</v>
      </c>
      <c r="U94" s="196">
        <f>П5ВЕД!AA77</f>
        <v>120000</v>
      </c>
      <c r="V94" s="114"/>
      <c r="W94" s="114"/>
      <c r="X94" s="112" t="s">
        <v>312</v>
      </c>
    </row>
    <row r="95" spans="1:24" ht="149.25" customHeight="1" x14ac:dyDescent="0.3">
      <c r="A95" s="112" t="s">
        <v>313</v>
      </c>
      <c r="B95" s="113" t="s">
        <v>127</v>
      </c>
      <c r="C95" s="113" t="s">
        <v>115</v>
      </c>
      <c r="D95" s="113" t="s">
        <v>614</v>
      </c>
      <c r="E95" s="113"/>
      <c r="F95" s="113"/>
      <c r="G95" s="113"/>
      <c r="H95" s="113"/>
      <c r="I95" s="113"/>
      <c r="J95" s="113"/>
      <c r="K95" s="113"/>
      <c r="L95" s="113"/>
      <c r="M95" s="113"/>
      <c r="N95" s="113"/>
      <c r="O95" s="113"/>
      <c r="P95" s="113"/>
      <c r="Q95" s="113"/>
      <c r="R95" s="113"/>
      <c r="S95" s="113"/>
      <c r="T95" s="112" t="s">
        <v>613</v>
      </c>
      <c r="U95" s="196">
        <f>U96</f>
        <v>87000</v>
      </c>
      <c r="V95" s="114"/>
      <c r="W95" s="114"/>
      <c r="X95" s="112" t="s">
        <v>313</v>
      </c>
    </row>
    <row r="96" spans="1:24" ht="130.35" customHeight="1" x14ac:dyDescent="0.3">
      <c r="A96" s="112" t="s">
        <v>314</v>
      </c>
      <c r="B96" s="113" t="s">
        <v>127</v>
      </c>
      <c r="C96" s="113" t="s">
        <v>115</v>
      </c>
      <c r="D96" s="113" t="s">
        <v>614</v>
      </c>
      <c r="E96" s="113"/>
      <c r="F96" s="113"/>
      <c r="G96" s="113"/>
      <c r="H96" s="113"/>
      <c r="I96" s="113"/>
      <c r="J96" s="113"/>
      <c r="K96" s="113"/>
      <c r="L96" s="113"/>
      <c r="M96" s="113"/>
      <c r="N96" s="113"/>
      <c r="O96" s="113"/>
      <c r="P96" s="113"/>
      <c r="Q96" s="113"/>
      <c r="R96" s="113"/>
      <c r="S96" s="113" t="s">
        <v>281</v>
      </c>
      <c r="T96" s="146" t="s">
        <v>314</v>
      </c>
      <c r="U96" s="197">
        <f>П5ВЕД!AA79</f>
        <v>87000</v>
      </c>
      <c r="V96" s="114"/>
      <c r="W96" s="114"/>
      <c r="X96" s="112" t="s">
        <v>314</v>
      </c>
    </row>
    <row r="97" spans="1:24" ht="122.25" customHeight="1" x14ac:dyDescent="0.3">
      <c r="A97" s="112" t="s">
        <v>315</v>
      </c>
      <c r="B97" s="113" t="s">
        <v>127</v>
      </c>
      <c r="C97" s="113" t="s">
        <v>115</v>
      </c>
      <c r="D97" s="113" t="s">
        <v>616</v>
      </c>
      <c r="E97" s="113"/>
      <c r="F97" s="113"/>
      <c r="G97" s="113"/>
      <c r="H97" s="113"/>
      <c r="I97" s="113"/>
      <c r="J97" s="113"/>
      <c r="K97" s="113"/>
      <c r="L97" s="113"/>
      <c r="M97" s="113"/>
      <c r="N97" s="113"/>
      <c r="O97" s="113"/>
      <c r="P97" s="113"/>
      <c r="Q97" s="113"/>
      <c r="R97" s="113"/>
      <c r="S97" s="113"/>
      <c r="T97" s="112" t="s">
        <v>615</v>
      </c>
      <c r="U97" s="196">
        <f>U98</f>
        <v>10000</v>
      </c>
      <c r="V97" s="114"/>
      <c r="W97" s="114"/>
      <c r="X97" s="112" t="s">
        <v>315</v>
      </c>
    </row>
    <row r="98" spans="1:24" ht="93" customHeight="1" x14ac:dyDescent="0.3">
      <c r="A98" s="112" t="s">
        <v>316</v>
      </c>
      <c r="B98" s="113" t="s">
        <v>127</v>
      </c>
      <c r="C98" s="113" t="s">
        <v>115</v>
      </c>
      <c r="D98" s="113" t="s">
        <v>616</v>
      </c>
      <c r="E98" s="113"/>
      <c r="F98" s="113"/>
      <c r="G98" s="113"/>
      <c r="H98" s="113"/>
      <c r="I98" s="113"/>
      <c r="J98" s="113"/>
      <c r="K98" s="113"/>
      <c r="L98" s="113"/>
      <c r="M98" s="113"/>
      <c r="N98" s="113"/>
      <c r="O98" s="113"/>
      <c r="P98" s="113"/>
      <c r="Q98" s="113"/>
      <c r="R98" s="113"/>
      <c r="S98" s="113" t="s">
        <v>281</v>
      </c>
      <c r="T98" s="146" t="s">
        <v>316</v>
      </c>
      <c r="U98" s="197">
        <f>П5ВЕД!AA81</f>
        <v>10000</v>
      </c>
      <c r="V98" s="114"/>
      <c r="W98" s="114"/>
      <c r="X98" s="112" t="s">
        <v>316</v>
      </c>
    </row>
    <row r="99" spans="1:24" ht="121.5" customHeight="1" x14ac:dyDescent="0.3">
      <c r="A99" s="112" t="s">
        <v>317</v>
      </c>
      <c r="B99" s="113" t="s">
        <v>127</v>
      </c>
      <c r="C99" s="113" t="s">
        <v>115</v>
      </c>
      <c r="D99" s="113" t="s">
        <v>618</v>
      </c>
      <c r="E99" s="113"/>
      <c r="F99" s="113"/>
      <c r="G99" s="113"/>
      <c r="H99" s="113"/>
      <c r="I99" s="113"/>
      <c r="J99" s="113"/>
      <c r="K99" s="113"/>
      <c r="L99" s="113"/>
      <c r="M99" s="113"/>
      <c r="N99" s="113"/>
      <c r="O99" s="113"/>
      <c r="P99" s="113"/>
      <c r="Q99" s="113"/>
      <c r="R99" s="113"/>
      <c r="S99" s="113"/>
      <c r="T99" s="112" t="s">
        <v>617</v>
      </c>
      <c r="U99" s="196">
        <f>U100</f>
        <v>0</v>
      </c>
      <c r="V99" s="114"/>
      <c r="W99" s="114"/>
      <c r="X99" s="112" t="s">
        <v>317</v>
      </c>
    </row>
    <row r="100" spans="1:24" ht="93" customHeight="1" x14ac:dyDescent="0.3">
      <c r="A100" s="112" t="s">
        <v>318</v>
      </c>
      <c r="B100" s="113" t="s">
        <v>127</v>
      </c>
      <c r="C100" s="113" t="s">
        <v>115</v>
      </c>
      <c r="D100" s="113" t="s">
        <v>618</v>
      </c>
      <c r="E100" s="113"/>
      <c r="F100" s="113"/>
      <c r="G100" s="113"/>
      <c r="H100" s="113"/>
      <c r="I100" s="113"/>
      <c r="J100" s="113"/>
      <c r="K100" s="113"/>
      <c r="L100" s="113"/>
      <c r="M100" s="113"/>
      <c r="N100" s="113"/>
      <c r="O100" s="113"/>
      <c r="P100" s="113"/>
      <c r="Q100" s="113"/>
      <c r="R100" s="113"/>
      <c r="S100" s="113" t="s">
        <v>281</v>
      </c>
      <c r="T100" s="146" t="s">
        <v>318</v>
      </c>
      <c r="U100" s="197">
        <f>П5ВЕД!AA83</f>
        <v>0</v>
      </c>
      <c r="V100" s="114"/>
      <c r="W100" s="114"/>
      <c r="X100" s="112" t="s">
        <v>318</v>
      </c>
    </row>
    <row r="101" spans="1:24" ht="133.5" customHeight="1" x14ac:dyDescent="0.3">
      <c r="A101" s="112" t="s">
        <v>319</v>
      </c>
      <c r="B101" s="113" t="s">
        <v>127</v>
      </c>
      <c r="C101" s="113" t="s">
        <v>115</v>
      </c>
      <c r="D101" s="113" t="s">
        <v>620</v>
      </c>
      <c r="E101" s="113"/>
      <c r="F101" s="113"/>
      <c r="G101" s="113"/>
      <c r="H101" s="113"/>
      <c r="I101" s="113"/>
      <c r="J101" s="113"/>
      <c r="K101" s="113"/>
      <c r="L101" s="113"/>
      <c r="M101" s="113"/>
      <c r="N101" s="113"/>
      <c r="O101" s="113"/>
      <c r="P101" s="113"/>
      <c r="Q101" s="113"/>
      <c r="R101" s="113"/>
      <c r="S101" s="113"/>
      <c r="T101" s="112" t="s">
        <v>619</v>
      </c>
      <c r="U101" s="196">
        <f>U102</f>
        <v>0</v>
      </c>
      <c r="V101" s="114"/>
      <c r="W101" s="114"/>
      <c r="X101" s="112" t="s">
        <v>319</v>
      </c>
    </row>
    <row r="102" spans="1:24" ht="130.35" customHeight="1" x14ac:dyDescent="0.3">
      <c r="A102" s="112" t="s">
        <v>320</v>
      </c>
      <c r="B102" s="113" t="s">
        <v>127</v>
      </c>
      <c r="C102" s="113" t="s">
        <v>115</v>
      </c>
      <c r="D102" s="113" t="s">
        <v>620</v>
      </c>
      <c r="E102" s="113"/>
      <c r="F102" s="113"/>
      <c r="G102" s="113"/>
      <c r="H102" s="113"/>
      <c r="I102" s="113"/>
      <c r="J102" s="113"/>
      <c r="K102" s="113"/>
      <c r="L102" s="113"/>
      <c r="M102" s="113"/>
      <c r="N102" s="113"/>
      <c r="O102" s="113"/>
      <c r="P102" s="113"/>
      <c r="Q102" s="113"/>
      <c r="R102" s="113"/>
      <c r="S102" s="113" t="s">
        <v>281</v>
      </c>
      <c r="T102" s="146" t="s">
        <v>320</v>
      </c>
      <c r="U102" s="197">
        <f>П5ВЕД!AA85</f>
        <v>0</v>
      </c>
      <c r="V102" s="114"/>
      <c r="W102" s="114"/>
      <c r="X102" s="112" t="s">
        <v>320</v>
      </c>
    </row>
    <row r="103" spans="1:24" ht="111.75" customHeight="1" x14ac:dyDescent="0.3">
      <c r="A103" s="112" t="s">
        <v>321</v>
      </c>
      <c r="B103" s="113" t="s">
        <v>127</v>
      </c>
      <c r="C103" s="113" t="s">
        <v>115</v>
      </c>
      <c r="D103" s="113" t="s">
        <v>622</v>
      </c>
      <c r="E103" s="113"/>
      <c r="F103" s="113"/>
      <c r="G103" s="113"/>
      <c r="H103" s="113"/>
      <c r="I103" s="113"/>
      <c r="J103" s="113"/>
      <c r="K103" s="113"/>
      <c r="L103" s="113"/>
      <c r="M103" s="113"/>
      <c r="N103" s="113"/>
      <c r="O103" s="113"/>
      <c r="P103" s="113"/>
      <c r="Q103" s="113"/>
      <c r="R103" s="113"/>
      <c r="S103" s="113"/>
      <c r="T103" s="112" t="s">
        <v>783</v>
      </c>
      <c r="U103" s="196">
        <f>U104</f>
        <v>0</v>
      </c>
      <c r="V103" s="114"/>
      <c r="W103" s="114"/>
      <c r="X103" s="112" t="s">
        <v>321</v>
      </c>
    </row>
    <row r="104" spans="1:24" ht="167.65" customHeight="1" x14ac:dyDescent="0.3">
      <c r="A104" s="112" t="s">
        <v>322</v>
      </c>
      <c r="B104" s="113" t="s">
        <v>127</v>
      </c>
      <c r="C104" s="113" t="s">
        <v>115</v>
      </c>
      <c r="D104" s="113" t="s">
        <v>622</v>
      </c>
      <c r="E104" s="113"/>
      <c r="F104" s="113"/>
      <c r="G104" s="113"/>
      <c r="H104" s="113"/>
      <c r="I104" s="113"/>
      <c r="J104" s="113"/>
      <c r="K104" s="113"/>
      <c r="L104" s="113"/>
      <c r="M104" s="113"/>
      <c r="N104" s="113"/>
      <c r="O104" s="113"/>
      <c r="P104" s="113"/>
      <c r="Q104" s="113"/>
      <c r="R104" s="113"/>
      <c r="S104" s="113" t="s">
        <v>281</v>
      </c>
      <c r="T104" s="112" t="s">
        <v>784</v>
      </c>
      <c r="U104" s="197">
        <f>П5ВЕД!AA87</f>
        <v>0</v>
      </c>
      <c r="V104" s="114"/>
      <c r="W104" s="114"/>
      <c r="X104" s="112" t="s">
        <v>322</v>
      </c>
    </row>
    <row r="105" spans="1:24" ht="172.5" customHeight="1" x14ac:dyDescent="0.3">
      <c r="A105" s="112"/>
      <c r="B105" s="113" t="s">
        <v>127</v>
      </c>
      <c r="C105" s="113" t="s">
        <v>115</v>
      </c>
      <c r="D105" s="166" t="s">
        <v>624</v>
      </c>
      <c r="E105" s="113"/>
      <c r="F105" s="113"/>
      <c r="G105" s="113"/>
      <c r="H105" s="113"/>
      <c r="I105" s="113"/>
      <c r="J105" s="113"/>
      <c r="K105" s="113"/>
      <c r="L105" s="113"/>
      <c r="M105" s="113"/>
      <c r="N105" s="113"/>
      <c r="O105" s="113"/>
      <c r="P105" s="113"/>
      <c r="Q105" s="113"/>
      <c r="R105" s="113"/>
      <c r="S105" s="113"/>
      <c r="T105" s="175" t="s">
        <v>534</v>
      </c>
      <c r="U105" s="196">
        <f>U106</f>
        <v>31800</v>
      </c>
      <c r="V105" s="114"/>
      <c r="W105" s="114"/>
      <c r="X105" s="112"/>
    </row>
    <row r="106" spans="1:24" ht="81.75" customHeight="1" x14ac:dyDescent="0.3">
      <c r="A106" s="112"/>
      <c r="B106" s="113" t="s">
        <v>127</v>
      </c>
      <c r="C106" s="113" t="s">
        <v>115</v>
      </c>
      <c r="D106" s="166" t="s">
        <v>624</v>
      </c>
      <c r="E106" s="113"/>
      <c r="F106" s="113"/>
      <c r="G106" s="113"/>
      <c r="H106" s="113"/>
      <c r="I106" s="113"/>
      <c r="J106" s="113"/>
      <c r="K106" s="113"/>
      <c r="L106" s="113"/>
      <c r="M106" s="113"/>
      <c r="N106" s="113"/>
      <c r="O106" s="113"/>
      <c r="P106" s="113"/>
      <c r="Q106" s="113"/>
      <c r="R106" s="113"/>
      <c r="S106" s="113" t="s">
        <v>235</v>
      </c>
      <c r="T106" s="162" t="s">
        <v>623</v>
      </c>
      <c r="U106" s="197">
        <f>П5ВЕД!AA89</f>
        <v>31800</v>
      </c>
      <c r="V106" s="114"/>
      <c r="W106" s="114"/>
      <c r="X106" s="112"/>
    </row>
    <row r="107" spans="1:24" ht="184.5" customHeight="1" x14ac:dyDescent="0.3">
      <c r="A107" s="112"/>
      <c r="B107" s="159" t="s">
        <v>127</v>
      </c>
      <c r="C107" s="159" t="s">
        <v>115</v>
      </c>
      <c r="D107" s="166" t="s">
        <v>626</v>
      </c>
      <c r="E107" s="159"/>
      <c r="F107" s="159"/>
      <c r="G107" s="159"/>
      <c r="H107" s="159"/>
      <c r="I107" s="159"/>
      <c r="J107" s="159"/>
      <c r="K107" s="159"/>
      <c r="L107" s="159"/>
      <c r="M107" s="159"/>
      <c r="N107" s="159"/>
      <c r="O107" s="159"/>
      <c r="P107" s="159"/>
      <c r="Q107" s="159"/>
      <c r="R107" s="159"/>
      <c r="S107" s="159"/>
      <c r="T107" s="175" t="s">
        <v>535</v>
      </c>
      <c r="U107" s="196">
        <f>U108</f>
        <v>0</v>
      </c>
      <c r="V107" s="114"/>
      <c r="W107" s="114"/>
      <c r="X107" s="112"/>
    </row>
    <row r="108" spans="1:24" ht="99" customHeight="1" x14ac:dyDescent="0.3">
      <c r="A108" s="112"/>
      <c r="B108" s="163" t="s">
        <v>127</v>
      </c>
      <c r="C108" s="163" t="s">
        <v>115</v>
      </c>
      <c r="D108" s="166" t="s">
        <v>626</v>
      </c>
      <c r="E108" s="163"/>
      <c r="F108" s="163"/>
      <c r="G108" s="163"/>
      <c r="H108" s="163"/>
      <c r="I108" s="163"/>
      <c r="J108" s="163"/>
      <c r="K108" s="163"/>
      <c r="L108" s="163"/>
      <c r="M108" s="163"/>
      <c r="N108" s="163"/>
      <c r="O108" s="163"/>
      <c r="P108" s="163"/>
      <c r="Q108" s="163"/>
      <c r="R108" s="163"/>
      <c r="S108" s="163" t="s">
        <v>235</v>
      </c>
      <c r="T108" s="219" t="s">
        <v>625</v>
      </c>
      <c r="U108" s="197">
        <f>П5ВЕД!AA91</f>
        <v>0</v>
      </c>
      <c r="V108" s="114"/>
      <c r="W108" s="114"/>
      <c r="X108" s="112"/>
    </row>
    <row r="109" spans="1:24" ht="18.600000000000001" customHeight="1" x14ac:dyDescent="0.3">
      <c r="A109" s="112" t="s">
        <v>244</v>
      </c>
      <c r="B109" s="113" t="s">
        <v>127</v>
      </c>
      <c r="C109" s="113" t="s">
        <v>116</v>
      </c>
      <c r="D109" s="113"/>
      <c r="E109" s="113"/>
      <c r="F109" s="113"/>
      <c r="G109" s="113"/>
      <c r="H109" s="113"/>
      <c r="I109" s="113"/>
      <c r="J109" s="113"/>
      <c r="K109" s="113"/>
      <c r="L109" s="113"/>
      <c r="M109" s="113"/>
      <c r="N109" s="113"/>
      <c r="O109" s="113"/>
      <c r="P109" s="113"/>
      <c r="Q109" s="113"/>
      <c r="R109" s="113"/>
      <c r="S109" s="113"/>
      <c r="T109" s="112" t="s">
        <v>244</v>
      </c>
      <c r="U109" s="197">
        <f>U110+U112</f>
        <v>530000</v>
      </c>
      <c r="V109" s="114"/>
      <c r="W109" s="114"/>
      <c r="X109" s="112" t="s">
        <v>244</v>
      </c>
    </row>
    <row r="110" spans="1:24" ht="112.5" customHeight="1" x14ac:dyDescent="0.3">
      <c r="A110" s="112" t="s">
        <v>323</v>
      </c>
      <c r="B110" s="113" t="s">
        <v>127</v>
      </c>
      <c r="C110" s="113" t="s">
        <v>116</v>
      </c>
      <c r="D110" s="113" t="s">
        <v>628</v>
      </c>
      <c r="E110" s="113"/>
      <c r="F110" s="113"/>
      <c r="G110" s="113"/>
      <c r="H110" s="113"/>
      <c r="I110" s="113"/>
      <c r="J110" s="113"/>
      <c r="K110" s="113"/>
      <c r="L110" s="113"/>
      <c r="M110" s="113"/>
      <c r="N110" s="113"/>
      <c r="O110" s="113"/>
      <c r="P110" s="113"/>
      <c r="Q110" s="113"/>
      <c r="R110" s="113"/>
      <c r="S110" s="113"/>
      <c r="T110" s="112" t="s">
        <v>627</v>
      </c>
      <c r="U110" s="196">
        <f>U111</f>
        <v>0</v>
      </c>
      <c r="V110" s="114"/>
      <c r="W110" s="114"/>
      <c r="X110" s="112" t="s">
        <v>323</v>
      </c>
    </row>
    <row r="111" spans="1:24" ht="74.45" customHeight="1" x14ac:dyDescent="0.3">
      <c r="A111" s="112" t="s">
        <v>324</v>
      </c>
      <c r="B111" s="113" t="s">
        <v>127</v>
      </c>
      <c r="C111" s="113" t="s">
        <v>116</v>
      </c>
      <c r="D111" s="113" t="s">
        <v>628</v>
      </c>
      <c r="E111" s="113"/>
      <c r="F111" s="113"/>
      <c r="G111" s="113"/>
      <c r="H111" s="113"/>
      <c r="I111" s="113"/>
      <c r="J111" s="113"/>
      <c r="K111" s="113"/>
      <c r="L111" s="113"/>
      <c r="M111" s="113"/>
      <c r="N111" s="113"/>
      <c r="O111" s="113"/>
      <c r="P111" s="113"/>
      <c r="Q111" s="113"/>
      <c r="R111" s="113"/>
      <c r="S111" s="113" t="s">
        <v>281</v>
      </c>
      <c r="T111" s="118" t="s">
        <v>324</v>
      </c>
      <c r="U111" s="197">
        <f>П5ВЕД!AA94</f>
        <v>0</v>
      </c>
      <c r="V111" s="114"/>
      <c r="W111" s="114"/>
      <c r="X111" s="112" t="s">
        <v>324</v>
      </c>
    </row>
    <row r="112" spans="1:24" ht="126.75" customHeight="1" x14ac:dyDescent="0.3">
      <c r="A112" s="112" t="s">
        <v>325</v>
      </c>
      <c r="B112" s="113" t="s">
        <v>127</v>
      </c>
      <c r="C112" s="113" t="s">
        <v>116</v>
      </c>
      <c r="D112" s="214" t="s">
        <v>630</v>
      </c>
      <c r="E112" s="113"/>
      <c r="F112" s="113"/>
      <c r="G112" s="113"/>
      <c r="H112" s="113"/>
      <c r="I112" s="113"/>
      <c r="J112" s="113"/>
      <c r="K112" s="113"/>
      <c r="L112" s="113"/>
      <c r="M112" s="113"/>
      <c r="N112" s="113"/>
      <c r="O112" s="113"/>
      <c r="P112" s="113"/>
      <c r="Q112" s="113"/>
      <c r="R112" s="113"/>
      <c r="S112" s="113"/>
      <c r="T112" s="112" t="s">
        <v>629</v>
      </c>
      <c r="U112" s="196">
        <f>U113</f>
        <v>530000</v>
      </c>
      <c r="V112" s="114"/>
      <c r="W112" s="114"/>
      <c r="X112" s="112" t="s">
        <v>325</v>
      </c>
    </row>
    <row r="113" spans="1:24" ht="93" customHeight="1" x14ac:dyDescent="0.3">
      <c r="A113" s="112" t="s">
        <v>326</v>
      </c>
      <c r="B113" s="113" t="s">
        <v>127</v>
      </c>
      <c r="C113" s="113" t="s">
        <v>116</v>
      </c>
      <c r="D113" s="214" t="s">
        <v>630</v>
      </c>
      <c r="E113" s="113"/>
      <c r="F113" s="113"/>
      <c r="G113" s="113"/>
      <c r="H113" s="113"/>
      <c r="I113" s="113"/>
      <c r="J113" s="113"/>
      <c r="K113" s="113"/>
      <c r="L113" s="113"/>
      <c r="M113" s="113"/>
      <c r="N113" s="113"/>
      <c r="O113" s="113"/>
      <c r="P113" s="113"/>
      <c r="Q113" s="113"/>
      <c r="R113" s="113"/>
      <c r="S113" s="113" t="s">
        <v>281</v>
      </c>
      <c r="T113" s="146" t="s">
        <v>326</v>
      </c>
      <c r="U113" s="197">
        <f>П5ВЕД!AA96</f>
        <v>530000</v>
      </c>
      <c r="V113" s="114"/>
      <c r="W113" s="114"/>
      <c r="X113" s="112" t="s">
        <v>326</v>
      </c>
    </row>
    <row r="114" spans="1:24" ht="18.600000000000001" customHeight="1" x14ac:dyDescent="0.3">
      <c r="A114" s="112" t="s">
        <v>139</v>
      </c>
      <c r="B114" s="113" t="s">
        <v>127</v>
      </c>
      <c r="C114" s="113" t="s">
        <v>117</v>
      </c>
      <c r="D114" s="113"/>
      <c r="E114" s="113"/>
      <c r="F114" s="113"/>
      <c r="G114" s="113"/>
      <c r="H114" s="113"/>
      <c r="I114" s="113"/>
      <c r="J114" s="113"/>
      <c r="K114" s="113"/>
      <c r="L114" s="113"/>
      <c r="M114" s="113"/>
      <c r="N114" s="113"/>
      <c r="O114" s="113"/>
      <c r="P114" s="113"/>
      <c r="Q114" s="113"/>
      <c r="R114" s="113"/>
      <c r="S114" s="113"/>
      <c r="T114" s="112" t="s">
        <v>139</v>
      </c>
      <c r="U114" s="197">
        <f>U117+U119+U123+U125+U127+U129+U115+U121</f>
        <v>5399265.6500000004</v>
      </c>
      <c r="V114" s="114"/>
      <c r="W114" s="114"/>
      <c r="X114" s="112" t="s">
        <v>139</v>
      </c>
    </row>
    <row r="115" spans="1:24" ht="42.75" customHeight="1" x14ac:dyDescent="0.3">
      <c r="A115" s="112"/>
      <c r="B115" s="113" t="s">
        <v>127</v>
      </c>
      <c r="C115" s="113" t="s">
        <v>117</v>
      </c>
      <c r="D115" s="216" t="s">
        <v>836</v>
      </c>
      <c r="E115" s="148"/>
      <c r="F115" s="148"/>
      <c r="G115" s="148"/>
      <c r="H115" s="148"/>
      <c r="I115" s="148"/>
      <c r="J115" s="148"/>
      <c r="K115" s="148"/>
      <c r="L115" s="148"/>
      <c r="M115" s="148"/>
      <c r="N115" s="148"/>
      <c r="O115" s="148"/>
      <c r="P115" s="148"/>
      <c r="Q115" s="148"/>
      <c r="R115" s="148"/>
      <c r="S115" s="148"/>
      <c r="T115" s="175" t="s">
        <v>835</v>
      </c>
      <c r="U115" s="197">
        <f>U116</f>
        <v>1833265.65</v>
      </c>
      <c r="V115" s="114"/>
      <c r="W115" s="114"/>
      <c r="X115" s="112"/>
    </row>
    <row r="116" spans="1:24" ht="105" customHeight="1" x14ac:dyDescent="0.3">
      <c r="A116" s="112"/>
      <c r="B116" s="113" t="s">
        <v>127</v>
      </c>
      <c r="C116" s="113" t="s">
        <v>117</v>
      </c>
      <c r="D116" s="216" t="s">
        <v>836</v>
      </c>
      <c r="E116" s="148"/>
      <c r="F116" s="148"/>
      <c r="G116" s="148"/>
      <c r="H116" s="148"/>
      <c r="I116" s="148"/>
      <c r="J116" s="148"/>
      <c r="K116" s="148"/>
      <c r="L116" s="148"/>
      <c r="M116" s="148"/>
      <c r="N116" s="148"/>
      <c r="O116" s="148"/>
      <c r="P116" s="148"/>
      <c r="Q116" s="148"/>
      <c r="R116" s="148"/>
      <c r="S116" s="148" t="s">
        <v>281</v>
      </c>
      <c r="T116" s="175" t="s">
        <v>834</v>
      </c>
      <c r="U116" s="197">
        <f>П5ВЕД!AA99</f>
        <v>1833265.65</v>
      </c>
      <c r="V116" s="114"/>
      <c r="W116" s="114"/>
      <c r="X116" s="112"/>
    </row>
    <row r="117" spans="1:24" ht="119.25" customHeight="1" x14ac:dyDescent="0.3">
      <c r="A117" s="112" t="s">
        <v>327</v>
      </c>
      <c r="B117" s="113" t="s">
        <v>127</v>
      </c>
      <c r="C117" s="113" t="s">
        <v>117</v>
      </c>
      <c r="D117" s="214" t="s">
        <v>632</v>
      </c>
      <c r="E117" s="113"/>
      <c r="F117" s="113"/>
      <c r="G117" s="113"/>
      <c r="H117" s="113"/>
      <c r="I117" s="113"/>
      <c r="J117" s="113"/>
      <c r="K117" s="113"/>
      <c r="L117" s="113"/>
      <c r="M117" s="113"/>
      <c r="N117" s="113"/>
      <c r="O117" s="113"/>
      <c r="P117" s="113"/>
      <c r="Q117" s="113"/>
      <c r="R117" s="113"/>
      <c r="S117" s="113"/>
      <c r="T117" s="112" t="s">
        <v>631</v>
      </c>
      <c r="U117" s="196">
        <f>U118</f>
        <v>2238000</v>
      </c>
      <c r="V117" s="114"/>
      <c r="W117" s="114"/>
      <c r="X117" s="112" t="s">
        <v>327</v>
      </c>
    </row>
    <row r="118" spans="1:24" ht="93" customHeight="1" x14ac:dyDescent="0.3">
      <c r="A118" s="112" t="s">
        <v>328</v>
      </c>
      <c r="B118" s="113" t="s">
        <v>127</v>
      </c>
      <c r="C118" s="113" t="s">
        <v>117</v>
      </c>
      <c r="D118" s="214" t="s">
        <v>632</v>
      </c>
      <c r="E118" s="113"/>
      <c r="F118" s="113"/>
      <c r="G118" s="113"/>
      <c r="H118" s="113"/>
      <c r="I118" s="113"/>
      <c r="J118" s="113"/>
      <c r="K118" s="113"/>
      <c r="L118" s="113"/>
      <c r="M118" s="113"/>
      <c r="N118" s="113"/>
      <c r="O118" s="113"/>
      <c r="P118" s="113"/>
      <c r="Q118" s="113"/>
      <c r="R118" s="113"/>
      <c r="S118" s="113" t="s">
        <v>281</v>
      </c>
      <c r="T118" s="146" t="s">
        <v>328</v>
      </c>
      <c r="U118" s="197">
        <f>П5ВЕД!AA101</f>
        <v>2238000</v>
      </c>
      <c r="V118" s="114"/>
      <c r="W118" s="114"/>
      <c r="X118" s="112" t="s">
        <v>328</v>
      </c>
    </row>
    <row r="119" spans="1:24" ht="126" customHeight="1" x14ac:dyDescent="0.3">
      <c r="A119" s="112" t="s">
        <v>329</v>
      </c>
      <c r="B119" s="113" t="s">
        <v>127</v>
      </c>
      <c r="C119" s="113" t="s">
        <v>117</v>
      </c>
      <c r="D119" s="214" t="s">
        <v>634</v>
      </c>
      <c r="E119" s="113"/>
      <c r="F119" s="113"/>
      <c r="G119" s="113"/>
      <c r="H119" s="113"/>
      <c r="I119" s="113"/>
      <c r="J119" s="113"/>
      <c r="K119" s="113"/>
      <c r="L119" s="113"/>
      <c r="M119" s="113"/>
      <c r="N119" s="113"/>
      <c r="O119" s="113"/>
      <c r="P119" s="113"/>
      <c r="Q119" s="113"/>
      <c r="R119" s="113"/>
      <c r="S119" s="113"/>
      <c r="T119" s="112" t="s">
        <v>633</v>
      </c>
      <c r="U119" s="196">
        <f>U120</f>
        <v>410000</v>
      </c>
      <c r="V119" s="114"/>
      <c r="W119" s="114"/>
      <c r="X119" s="112" t="s">
        <v>329</v>
      </c>
    </row>
    <row r="120" spans="1:24" ht="111.75" customHeight="1" x14ac:dyDescent="0.3">
      <c r="A120" s="112" t="s">
        <v>330</v>
      </c>
      <c r="B120" s="113" t="s">
        <v>127</v>
      </c>
      <c r="C120" s="113" t="s">
        <v>117</v>
      </c>
      <c r="D120" s="214" t="s">
        <v>634</v>
      </c>
      <c r="E120" s="113"/>
      <c r="F120" s="113"/>
      <c r="G120" s="113"/>
      <c r="H120" s="113"/>
      <c r="I120" s="113"/>
      <c r="J120" s="113"/>
      <c r="K120" s="113"/>
      <c r="L120" s="113"/>
      <c r="M120" s="113"/>
      <c r="N120" s="113"/>
      <c r="O120" s="113"/>
      <c r="P120" s="113"/>
      <c r="Q120" s="113"/>
      <c r="R120" s="113"/>
      <c r="S120" s="113" t="s">
        <v>281</v>
      </c>
      <c r="T120" s="118" t="s">
        <v>330</v>
      </c>
      <c r="U120" s="197">
        <f>П5ВЕД!AA103</f>
        <v>410000</v>
      </c>
      <c r="V120" s="114"/>
      <c r="W120" s="114"/>
      <c r="X120" s="112" t="s">
        <v>330</v>
      </c>
    </row>
    <row r="121" spans="1:24" ht="63.75" customHeight="1" x14ac:dyDescent="0.3">
      <c r="A121" s="112"/>
      <c r="B121" s="113" t="s">
        <v>127</v>
      </c>
      <c r="C121" s="113" t="s">
        <v>117</v>
      </c>
      <c r="D121" s="214" t="s">
        <v>852</v>
      </c>
      <c r="E121" s="113"/>
      <c r="F121" s="113"/>
      <c r="G121" s="113"/>
      <c r="H121" s="113"/>
      <c r="I121" s="113"/>
      <c r="J121" s="113"/>
      <c r="K121" s="113"/>
      <c r="L121" s="113"/>
      <c r="M121" s="113"/>
      <c r="N121" s="113"/>
      <c r="O121" s="113"/>
      <c r="P121" s="113"/>
      <c r="Q121" s="113"/>
      <c r="R121" s="113"/>
      <c r="S121" s="113"/>
      <c r="T121" s="112" t="s">
        <v>850</v>
      </c>
      <c r="U121" s="197">
        <f>U122</f>
        <v>101000</v>
      </c>
      <c r="V121" s="114"/>
      <c r="W121" s="114"/>
      <c r="X121" s="112"/>
    </row>
    <row r="122" spans="1:24" ht="111.75" customHeight="1" x14ac:dyDescent="0.3">
      <c r="A122" s="112"/>
      <c r="B122" s="113" t="s">
        <v>127</v>
      </c>
      <c r="C122" s="113" t="s">
        <v>117</v>
      </c>
      <c r="D122" s="214" t="s">
        <v>852</v>
      </c>
      <c r="E122" s="113"/>
      <c r="F122" s="113"/>
      <c r="G122" s="113"/>
      <c r="H122" s="113"/>
      <c r="I122" s="113"/>
      <c r="J122" s="113"/>
      <c r="K122" s="113"/>
      <c r="L122" s="113"/>
      <c r="M122" s="113"/>
      <c r="N122" s="113"/>
      <c r="O122" s="113"/>
      <c r="P122" s="113"/>
      <c r="Q122" s="113"/>
      <c r="R122" s="113"/>
      <c r="S122" s="113" t="s">
        <v>281</v>
      </c>
      <c r="T122" s="146" t="s">
        <v>851</v>
      </c>
      <c r="U122" s="197">
        <f>П5ВЕД!AA104</f>
        <v>101000</v>
      </c>
      <c r="V122" s="114"/>
      <c r="W122" s="114"/>
      <c r="X122" s="112"/>
    </row>
    <row r="123" spans="1:24" ht="107.25" customHeight="1" x14ac:dyDescent="0.3">
      <c r="A123" s="112" t="s">
        <v>331</v>
      </c>
      <c r="B123" s="113" t="s">
        <v>127</v>
      </c>
      <c r="C123" s="113" t="s">
        <v>117</v>
      </c>
      <c r="D123" s="214" t="s">
        <v>636</v>
      </c>
      <c r="E123" s="113"/>
      <c r="F123" s="113"/>
      <c r="G123" s="113"/>
      <c r="H123" s="113"/>
      <c r="I123" s="113"/>
      <c r="J123" s="113"/>
      <c r="K123" s="113"/>
      <c r="L123" s="113"/>
      <c r="M123" s="113"/>
      <c r="N123" s="113"/>
      <c r="O123" s="113"/>
      <c r="P123" s="113"/>
      <c r="Q123" s="113"/>
      <c r="R123" s="113"/>
      <c r="S123" s="113"/>
      <c r="T123" s="112" t="s">
        <v>635</v>
      </c>
      <c r="U123" s="196">
        <f>U124</f>
        <v>561000</v>
      </c>
      <c r="V123" s="114"/>
      <c r="W123" s="114"/>
      <c r="X123" s="112" t="s">
        <v>331</v>
      </c>
    </row>
    <row r="124" spans="1:24" ht="74.45" customHeight="1" x14ac:dyDescent="0.3">
      <c r="A124" s="112" t="s">
        <v>332</v>
      </c>
      <c r="B124" s="113" t="s">
        <v>127</v>
      </c>
      <c r="C124" s="113" t="s">
        <v>117</v>
      </c>
      <c r="D124" s="214" t="s">
        <v>636</v>
      </c>
      <c r="E124" s="113"/>
      <c r="F124" s="113"/>
      <c r="G124" s="113"/>
      <c r="H124" s="113"/>
      <c r="I124" s="113"/>
      <c r="J124" s="113"/>
      <c r="K124" s="113"/>
      <c r="L124" s="113"/>
      <c r="M124" s="113"/>
      <c r="N124" s="113"/>
      <c r="O124" s="113"/>
      <c r="P124" s="113"/>
      <c r="Q124" s="113"/>
      <c r="R124" s="113"/>
      <c r="S124" s="113" t="s">
        <v>281</v>
      </c>
      <c r="T124" s="118" t="s">
        <v>332</v>
      </c>
      <c r="U124" s="196">
        <f>П5ВЕД!AA107</f>
        <v>561000</v>
      </c>
      <c r="V124" s="114"/>
      <c r="W124" s="114"/>
      <c r="X124" s="112" t="s">
        <v>332</v>
      </c>
    </row>
    <row r="125" spans="1:24" ht="128.25" customHeight="1" x14ac:dyDescent="0.3">
      <c r="A125" s="112" t="s">
        <v>333</v>
      </c>
      <c r="B125" s="113" t="s">
        <v>127</v>
      </c>
      <c r="C125" s="113" t="s">
        <v>117</v>
      </c>
      <c r="D125" s="214" t="s">
        <v>638</v>
      </c>
      <c r="E125" s="113"/>
      <c r="F125" s="113"/>
      <c r="G125" s="113"/>
      <c r="H125" s="113"/>
      <c r="I125" s="113"/>
      <c r="J125" s="113"/>
      <c r="K125" s="113"/>
      <c r="L125" s="113"/>
      <c r="M125" s="113"/>
      <c r="N125" s="113"/>
      <c r="O125" s="113"/>
      <c r="P125" s="113"/>
      <c r="Q125" s="113"/>
      <c r="R125" s="113"/>
      <c r="S125" s="113"/>
      <c r="T125" s="112" t="s">
        <v>637</v>
      </c>
      <c r="U125" s="197">
        <f>U126</f>
        <v>0</v>
      </c>
      <c r="V125" s="114"/>
      <c r="W125" s="114"/>
      <c r="X125" s="112" t="s">
        <v>333</v>
      </c>
    </row>
    <row r="126" spans="1:24" ht="111.75" customHeight="1" x14ac:dyDescent="0.3">
      <c r="A126" s="112" t="s">
        <v>334</v>
      </c>
      <c r="B126" s="113" t="s">
        <v>127</v>
      </c>
      <c r="C126" s="113" t="s">
        <v>117</v>
      </c>
      <c r="D126" s="214" t="s">
        <v>638</v>
      </c>
      <c r="E126" s="113"/>
      <c r="F126" s="113"/>
      <c r="G126" s="113"/>
      <c r="H126" s="113"/>
      <c r="I126" s="113"/>
      <c r="J126" s="113"/>
      <c r="K126" s="113"/>
      <c r="L126" s="113"/>
      <c r="M126" s="113"/>
      <c r="N126" s="113"/>
      <c r="O126" s="113"/>
      <c r="P126" s="113"/>
      <c r="Q126" s="113"/>
      <c r="R126" s="113"/>
      <c r="S126" s="113" t="s">
        <v>235</v>
      </c>
      <c r="T126" s="146" t="s">
        <v>334</v>
      </c>
      <c r="U126" s="196">
        <f>П5ВЕД!AA109</f>
        <v>0</v>
      </c>
      <c r="V126" s="114"/>
      <c r="W126" s="114"/>
      <c r="X126" s="112" t="s">
        <v>334</v>
      </c>
    </row>
    <row r="127" spans="1:24" ht="121.5" customHeight="1" x14ac:dyDescent="0.3">
      <c r="A127" s="112" t="s">
        <v>335</v>
      </c>
      <c r="B127" s="113" t="s">
        <v>127</v>
      </c>
      <c r="C127" s="113" t="s">
        <v>117</v>
      </c>
      <c r="D127" s="214" t="s">
        <v>640</v>
      </c>
      <c r="E127" s="113"/>
      <c r="F127" s="113"/>
      <c r="G127" s="113"/>
      <c r="H127" s="113"/>
      <c r="I127" s="113"/>
      <c r="J127" s="113"/>
      <c r="K127" s="113"/>
      <c r="L127" s="113"/>
      <c r="M127" s="113"/>
      <c r="N127" s="113"/>
      <c r="O127" s="113"/>
      <c r="P127" s="113"/>
      <c r="Q127" s="113"/>
      <c r="R127" s="113"/>
      <c r="S127" s="113"/>
      <c r="T127" s="112" t="s">
        <v>639</v>
      </c>
      <c r="U127" s="197">
        <f>U128</f>
        <v>150000</v>
      </c>
      <c r="V127" s="114"/>
      <c r="W127" s="114"/>
      <c r="X127" s="112" t="s">
        <v>335</v>
      </c>
    </row>
    <row r="128" spans="1:24" ht="74.45" customHeight="1" x14ac:dyDescent="0.3">
      <c r="A128" s="112" t="s">
        <v>336</v>
      </c>
      <c r="B128" s="113" t="s">
        <v>127</v>
      </c>
      <c r="C128" s="113" t="s">
        <v>117</v>
      </c>
      <c r="D128" s="214" t="s">
        <v>640</v>
      </c>
      <c r="E128" s="113"/>
      <c r="F128" s="113"/>
      <c r="G128" s="113"/>
      <c r="H128" s="113"/>
      <c r="I128" s="113"/>
      <c r="J128" s="113"/>
      <c r="K128" s="113"/>
      <c r="L128" s="113"/>
      <c r="M128" s="113"/>
      <c r="N128" s="113"/>
      <c r="O128" s="113"/>
      <c r="P128" s="113"/>
      <c r="Q128" s="113"/>
      <c r="R128" s="113"/>
      <c r="S128" s="113" t="s">
        <v>281</v>
      </c>
      <c r="T128" s="118" t="s">
        <v>336</v>
      </c>
      <c r="U128" s="196">
        <f>П5ВЕД!AA111</f>
        <v>150000</v>
      </c>
      <c r="V128" s="114"/>
      <c r="W128" s="114"/>
      <c r="X128" s="112" t="s">
        <v>336</v>
      </c>
    </row>
    <row r="129" spans="1:24" ht="180.75" customHeight="1" x14ac:dyDescent="0.3">
      <c r="A129" s="112" t="s">
        <v>337</v>
      </c>
      <c r="B129" s="113" t="s">
        <v>127</v>
      </c>
      <c r="C129" s="113" t="s">
        <v>117</v>
      </c>
      <c r="D129" s="214" t="s">
        <v>642</v>
      </c>
      <c r="E129" s="113"/>
      <c r="F129" s="113"/>
      <c r="G129" s="113"/>
      <c r="H129" s="113"/>
      <c r="I129" s="113"/>
      <c r="J129" s="113"/>
      <c r="K129" s="113"/>
      <c r="L129" s="113"/>
      <c r="M129" s="113"/>
      <c r="N129" s="113"/>
      <c r="O129" s="113"/>
      <c r="P129" s="113"/>
      <c r="Q129" s="113"/>
      <c r="R129" s="113"/>
      <c r="S129" s="113"/>
      <c r="T129" s="112" t="s">
        <v>641</v>
      </c>
      <c r="U129" s="197">
        <f>U130</f>
        <v>106000</v>
      </c>
      <c r="V129" s="114"/>
      <c r="W129" s="114"/>
      <c r="X129" s="112" t="s">
        <v>337</v>
      </c>
    </row>
    <row r="130" spans="1:24" ht="167.65" customHeight="1" x14ac:dyDescent="0.3">
      <c r="A130" s="119" t="s">
        <v>338</v>
      </c>
      <c r="B130" s="113" t="s">
        <v>127</v>
      </c>
      <c r="C130" s="113" t="s">
        <v>117</v>
      </c>
      <c r="D130" s="214" t="s">
        <v>642</v>
      </c>
      <c r="E130" s="113"/>
      <c r="F130" s="113"/>
      <c r="G130" s="113"/>
      <c r="H130" s="113"/>
      <c r="I130" s="113"/>
      <c r="J130" s="113"/>
      <c r="K130" s="113"/>
      <c r="L130" s="113"/>
      <c r="M130" s="113"/>
      <c r="N130" s="113"/>
      <c r="O130" s="113"/>
      <c r="P130" s="113"/>
      <c r="Q130" s="113"/>
      <c r="R130" s="113"/>
      <c r="S130" s="113" t="s">
        <v>281</v>
      </c>
      <c r="T130" s="115" t="s">
        <v>338</v>
      </c>
      <c r="U130" s="196">
        <f>П5ВЕД!AA113</f>
        <v>106000</v>
      </c>
      <c r="V130" s="114"/>
      <c r="W130" s="114"/>
      <c r="X130" s="119" t="s">
        <v>338</v>
      </c>
    </row>
    <row r="131" spans="1:24" ht="54" customHeight="1" x14ac:dyDescent="0.3">
      <c r="A131" s="112"/>
      <c r="B131" s="113" t="s">
        <v>127</v>
      </c>
      <c r="C131" s="113" t="s">
        <v>118</v>
      </c>
      <c r="D131" s="113"/>
      <c r="E131" s="113"/>
      <c r="F131" s="113"/>
      <c r="G131" s="113"/>
      <c r="H131" s="113"/>
      <c r="I131" s="113"/>
      <c r="J131" s="113"/>
      <c r="K131" s="113"/>
      <c r="L131" s="113"/>
      <c r="M131" s="113"/>
      <c r="N131" s="113"/>
      <c r="O131" s="113"/>
      <c r="P131" s="113"/>
      <c r="Q131" s="113"/>
      <c r="R131" s="113"/>
      <c r="S131" s="113"/>
      <c r="T131" s="110" t="s">
        <v>532</v>
      </c>
      <c r="U131" s="197">
        <f>U134+U136+U140+U138+U132</f>
        <v>20428035.920000002</v>
      </c>
      <c r="V131" s="176"/>
      <c r="W131" s="176"/>
      <c r="X131" s="112"/>
    </row>
    <row r="132" spans="1:24" ht="115.5" customHeight="1" x14ac:dyDescent="0.3">
      <c r="A132" s="112"/>
      <c r="B132" s="113" t="s">
        <v>127</v>
      </c>
      <c r="C132" s="113" t="s">
        <v>118</v>
      </c>
      <c r="D132" s="113"/>
      <c r="E132" s="113"/>
      <c r="F132" s="113"/>
      <c r="G132" s="113"/>
      <c r="H132" s="113"/>
      <c r="I132" s="113"/>
      <c r="J132" s="113"/>
      <c r="K132" s="113"/>
      <c r="L132" s="113"/>
      <c r="M132" s="113"/>
      <c r="N132" s="113"/>
      <c r="O132" s="113"/>
      <c r="P132" s="113"/>
      <c r="Q132" s="113"/>
      <c r="R132" s="113"/>
      <c r="S132" s="113"/>
      <c r="T132" s="434" t="s">
        <v>1163</v>
      </c>
      <c r="U132" s="197">
        <f>U133</f>
        <v>97617</v>
      </c>
      <c r="V132" s="176"/>
      <c r="W132" s="176"/>
      <c r="X132" s="112"/>
    </row>
    <row r="133" spans="1:24" ht="54" customHeight="1" x14ac:dyDescent="0.3">
      <c r="A133" s="112"/>
      <c r="B133" s="113" t="s">
        <v>127</v>
      </c>
      <c r="C133" s="113" t="s">
        <v>118</v>
      </c>
      <c r="D133" s="216" t="s">
        <v>920</v>
      </c>
      <c r="E133" s="113"/>
      <c r="F133" s="113"/>
      <c r="G133" s="113"/>
      <c r="H133" s="113"/>
      <c r="I133" s="113"/>
      <c r="J133" s="113"/>
      <c r="K133" s="113"/>
      <c r="L133" s="113"/>
      <c r="M133" s="113"/>
      <c r="N133" s="113"/>
      <c r="O133" s="113"/>
      <c r="P133" s="113"/>
      <c r="Q133" s="113"/>
      <c r="R133" s="113"/>
      <c r="S133" s="113"/>
      <c r="T133" s="434" t="s">
        <v>933</v>
      </c>
      <c r="U133" s="197">
        <f>П5ВЕД!AA116</f>
        <v>97617</v>
      </c>
      <c r="V133" s="176"/>
      <c r="W133" s="176"/>
      <c r="X133" s="112"/>
    </row>
    <row r="134" spans="1:24" ht="157.5" customHeight="1" x14ac:dyDescent="0.3">
      <c r="A134" s="112"/>
      <c r="B134" s="113" t="s">
        <v>127</v>
      </c>
      <c r="C134" s="113" t="s">
        <v>118</v>
      </c>
      <c r="D134" s="214" t="s">
        <v>644</v>
      </c>
      <c r="E134" s="113"/>
      <c r="F134" s="113"/>
      <c r="G134" s="113"/>
      <c r="H134" s="113"/>
      <c r="I134" s="113"/>
      <c r="J134" s="113"/>
      <c r="K134" s="113"/>
      <c r="L134" s="113"/>
      <c r="M134" s="113"/>
      <c r="N134" s="113"/>
      <c r="O134" s="113"/>
      <c r="P134" s="113"/>
      <c r="Q134" s="113"/>
      <c r="R134" s="113"/>
      <c r="S134" s="113"/>
      <c r="T134" s="112" t="s">
        <v>643</v>
      </c>
      <c r="U134" s="196">
        <f>U135</f>
        <v>3490772.9200000004</v>
      </c>
      <c r="V134" s="114"/>
      <c r="W134" s="114"/>
      <c r="X134" s="112"/>
    </row>
    <row r="135" spans="1:24" ht="99.75" customHeight="1" x14ac:dyDescent="0.3">
      <c r="A135" s="112"/>
      <c r="B135" s="113" t="s">
        <v>127</v>
      </c>
      <c r="C135" s="113" t="s">
        <v>118</v>
      </c>
      <c r="D135" s="214" t="s">
        <v>644</v>
      </c>
      <c r="E135" s="113"/>
      <c r="F135" s="113"/>
      <c r="G135" s="113"/>
      <c r="H135" s="113"/>
      <c r="I135" s="113"/>
      <c r="J135" s="113"/>
      <c r="K135" s="113"/>
      <c r="L135" s="113"/>
      <c r="M135" s="113"/>
      <c r="N135" s="113"/>
      <c r="O135" s="113"/>
      <c r="P135" s="113"/>
      <c r="Q135" s="113"/>
      <c r="R135" s="113"/>
      <c r="S135" s="113" t="s">
        <v>281</v>
      </c>
      <c r="T135" s="146" t="s">
        <v>340</v>
      </c>
      <c r="U135" s="197">
        <f>П5ВЕД!AA118</f>
        <v>3490772.9200000004</v>
      </c>
      <c r="V135" s="114"/>
      <c r="W135" s="114"/>
      <c r="X135" s="112"/>
    </row>
    <row r="136" spans="1:24" ht="158.25" customHeight="1" x14ac:dyDescent="0.3">
      <c r="A136" s="112"/>
      <c r="B136" s="113" t="s">
        <v>127</v>
      </c>
      <c r="C136" s="113" t="s">
        <v>118</v>
      </c>
      <c r="D136" s="214" t="s">
        <v>646</v>
      </c>
      <c r="E136" s="113"/>
      <c r="F136" s="113"/>
      <c r="G136" s="113"/>
      <c r="H136" s="113"/>
      <c r="I136" s="113"/>
      <c r="J136" s="113"/>
      <c r="K136" s="113"/>
      <c r="L136" s="113"/>
      <c r="M136" s="113"/>
      <c r="N136" s="113"/>
      <c r="O136" s="113"/>
      <c r="P136" s="113"/>
      <c r="Q136" s="113"/>
      <c r="R136" s="113"/>
      <c r="S136" s="113"/>
      <c r="T136" s="112" t="s">
        <v>645</v>
      </c>
      <c r="U136" s="196">
        <f>U137</f>
        <v>0</v>
      </c>
      <c r="V136" s="114"/>
      <c r="W136" s="114"/>
      <c r="X136" s="112"/>
    </row>
    <row r="137" spans="1:24" ht="111.75" customHeight="1" x14ac:dyDescent="0.3">
      <c r="A137" s="112"/>
      <c r="B137" s="113" t="s">
        <v>127</v>
      </c>
      <c r="C137" s="113" t="s">
        <v>118</v>
      </c>
      <c r="D137" s="214" t="s">
        <v>646</v>
      </c>
      <c r="E137" s="113"/>
      <c r="F137" s="113"/>
      <c r="G137" s="113"/>
      <c r="H137" s="113"/>
      <c r="I137" s="113"/>
      <c r="J137" s="113"/>
      <c r="K137" s="113"/>
      <c r="L137" s="113"/>
      <c r="M137" s="113"/>
      <c r="N137" s="113"/>
      <c r="O137" s="113"/>
      <c r="P137" s="113"/>
      <c r="Q137" s="113"/>
      <c r="R137" s="113"/>
      <c r="S137" s="113" t="s">
        <v>281</v>
      </c>
      <c r="T137" s="146" t="s">
        <v>342</v>
      </c>
      <c r="U137" s="197">
        <f>П5ВЕД!AA120</f>
        <v>0</v>
      </c>
      <c r="V137" s="114"/>
      <c r="W137" s="114"/>
      <c r="X137" s="112"/>
    </row>
    <row r="138" spans="1:24" ht="89.25" customHeight="1" x14ac:dyDescent="0.3">
      <c r="A138" s="112"/>
      <c r="B138" s="113" t="s">
        <v>127</v>
      </c>
      <c r="C138" s="113" t="s">
        <v>118</v>
      </c>
      <c r="D138" s="214" t="s">
        <v>920</v>
      </c>
      <c r="E138" s="113"/>
      <c r="F138" s="113"/>
      <c r="G138" s="113"/>
      <c r="H138" s="113"/>
      <c r="I138" s="113"/>
      <c r="J138" s="113"/>
      <c r="K138" s="113"/>
      <c r="L138" s="113"/>
      <c r="M138" s="113"/>
      <c r="N138" s="113"/>
      <c r="O138" s="113"/>
      <c r="P138" s="113"/>
      <c r="Q138" s="113"/>
      <c r="R138" s="113"/>
      <c r="S138" s="113"/>
      <c r="T138" s="134" t="s">
        <v>944</v>
      </c>
      <c r="U138" s="197">
        <f>U139</f>
        <v>11787484</v>
      </c>
      <c r="V138" s="114"/>
      <c r="W138" s="114"/>
      <c r="X138" s="112"/>
    </row>
    <row r="139" spans="1:24" ht="40.5" customHeight="1" x14ac:dyDescent="0.3">
      <c r="A139" s="112"/>
      <c r="B139" s="113" t="s">
        <v>127</v>
      </c>
      <c r="C139" s="113" t="s">
        <v>118</v>
      </c>
      <c r="D139" s="214" t="s">
        <v>920</v>
      </c>
      <c r="E139" s="113"/>
      <c r="F139" s="113"/>
      <c r="G139" s="113"/>
      <c r="H139" s="113"/>
      <c r="I139" s="113"/>
      <c r="J139" s="113"/>
      <c r="K139" s="113"/>
      <c r="L139" s="113"/>
      <c r="M139" s="113"/>
      <c r="N139" s="113"/>
      <c r="O139" s="113"/>
      <c r="P139" s="113"/>
      <c r="Q139" s="113"/>
      <c r="R139" s="113"/>
      <c r="S139" s="113" t="s">
        <v>433</v>
      </c>
      <c r="T139" s="112" t="s">
        <v>856</v>
      </c>
      <c r="U139" s="197">
        <f>П5ВЕД!AA276</f>
        <v>11787484</v>
      </c>
      <c r="V139" s="114"/>
      <c r="W139" s="114"/>
      <c r="X139" s="112"/>
    </row>
    <row r="140" spans="1:24" ht="159.75" customHeight="1" x14ac:dyDescent="0.3">
      <c r="A140" s="112"/>
      <c r="B140" s="113" t="s">
        <v>127</v>
      </c>
      <c r="C140" s="113" t="s">
        <v>118</v>
      </c>
      <c r="D140" s="214" t="s">
        <v>646</v>
      </c>
      <c r="E140" s="113"/>
      <c r="F140" s="113"/>
      <c r="G140" s="113"/>
      <c r="H140" s="113"/>
      <c r="I140" s="113"/>
      <c r="J140" s="113"/>
      <c r="K140" s="113"/>
      <c r="L140" s="113"/>
      <c r="M140" s="113"/>
      <c r="N140" s="113"/>
      <c r="O140" s="113"/>
      <c r="P140" s="113"/>
      <c r="Q140" s="113"/>
      <c r="R140" s="113"/>
      <c r="S140" s="113"/>
      <c r="T140" s="112" t="s">
        <v>645</v>
      </c>
      <c r="U140" s="197">
        <f>U141</f>
        <v>5052162</v>
      </c>
      <c r="V140" s="114"/>
      <c r="W140" s="114"/>
      <c r="X140" s="112"/>
    </row>
    <row r="141" spans="1:24" ht="54" customHeight="1" x14ac:dyDescent="0.3">
      <c r="A141" s="112"/>
      <c r="B141" s="113" t="s">
        <v>127</v>
      </c>
      <c r="C141" s="113" t="s">
        <v>118</v>
      </c>
      <c r="D141" s="214" t="s">
        <v>646</v>
      </c>
      <c r="E141" s="113"/>
      <c r="F141" s="113"/>
      <c r="G141" s="113"/>
      <c r="H141" s="113"/>
      <c r="I141" s="113"/>
      <c r="J141" s="113"/>
      <c r="K141" s="113"/>
      <c r="L141" s="113"/>
      <c r="M141" s="113"/>
      <c r="N141" s="113"/>
      <c r="O141" s="113"/>
      <c r="P141" s="113"/>
      <c r="Q141" s="113"/>
      <c r="R141" s="113"/>
      <c r="S141" s="113" t="s">
        <v>433</v>
      </c>
      <c r="T141" s="112" t="s">
        <v>856</v>
      </c>
      <c r="U141" s="197">
        <f>П5ВЕД!AA278</f>
        <v>5052162</v>
      </c>
      <c r="V141" s="114"/>
      <c r="W141" s="114"/>
      <c r="X141" s="112"/>
    </row>
    <row r="142" spans="1:24" ht="37.15" customHeight="1" x14ac:dyDescent="0.3">
      <c r="A142" s="112" t="s">
        <v>140</v>
      </c>
      <c r="B142" s="113" t="s">
        <v>127</v>
      </c>
      <c r="C142" s="113" t="s">
        <v>120</v>
      </c>
      <c r="D142" s="113"/>
      <c r="E142" s="113"/>
      <c r="F142" s="113"/>
      <c r="G142" s="113"/>
      <c r="H142" s="113"/>
      <c r="I142" s="113"/>
      <c r="J142" s="113"/>
      <c r="K142" s="113"/>
      <c r="L142" s="113"/>
      <c r="M142" s="113"/>
      <c r="N142" s="113"/>
      <c r="O142" s="113"/>
      <c r="P142" s="113"/>
      <c r="Q142" s="113"/>
      <c r="R142" s="113"/>
      <c r="S142" s="113"/>
      <c r="T142" s="112" t="s">
        <v>140</v>
      </c>
      <c r="U142" s="196">
        <f>U143+U145+U147</f>
        <v>183000</v>
      </c>
      <c r="V142" s="114"/>
      <c r="W142" s="114"/>
      <c r="X142" s="112" t="s">
        <v>140</v>
      </c>
    </row>
    <row r="143" spans="1:24" ht="148.5" customHeight="1" x14ac:dyDescent="0.3">
      <c r="A143" s="112" t="s">
        <v>343</v>
      </c>
      <c r="B143" s="113" t="s">
        <v>127</v>
      </c>
      <c r="C143" s="113" t="s">
        <v>120</v>
      </c>
      <c r="D143" s="214" t="s">
        <v>648</v>
      </c>
      <c r="E143" s="113"/>
      <c r="F143" s="113"/>
      <c r="G143" s="113"/>
      <c r="H143" s="113"/>
      <c r="I143" s="113"/>
      <c r="J143" s="113"/>
      <c r="K143" s="113"/>
      <c r="L143" s="113"/>
      <c r="M143" s="113"/>
      <c r="N143" s="113"/>
      <c r="O143" s="113"/>
      <c r="P143" s="113"/>
      <c r="Q143" s="113"/>
      <c r="R143" s="113"/>
      <c r="S143" s="113"/>
      <c r="T143" s="112" t="s">
        <v>647</v>
      </c>
      <c r="U143" s="196">
        <f>U144</f>
        <v>106000</v>
      </c>
      <c r="V143" s="114"/>
      <c r="W143" s="114"/>
      <c r="X143" s="112" t="s">
        <v>343</v>
      </c>
    </row>
    <row r="144" spans="1:24" ht="107.25" customHeight="1" x14ac:dyDescent="0.3">
      <c r="A144" s="112" t="s">
        <v>345</v>
      </c>
      <c r="B144" s="113" t="s">
        <v>127</v>
      </c>
      <c r="C144" s="113" t="s">
        <v>120</v>
      </c>
      <c r="D144" s="214" t="s">
        <v>648</v>
      </c>
      <c r="E144" s="113"/>
      <c r="F144" s="113"/>
      <c r="G144" s="113"/>
      <c r="H144" s="113"/>
      <c r="I144" s="113"/>
      <c r="J144" s="113"/>
      <c r="K144" s="113"/>
      <c r="L144" s="113"/>
      <c r="M144" s="113"/>
      <c r="N144" s="113"/>
      <c r="O144" s="113"/>
      <c r="P144" s="113"/>
      <c r="Q144" s="113"/>
      <c r="R144" s="113"/>
      <c r="S144" s="113" t="s">
        <v>235</v>
      </c>
      <c r="T144" s="146" t="s">
        <v>345</v>
      </c>
      <c r="U144" s="197">
        <f>П5ВЕД!AA125</f>
        <v>106000</v>
      </c>
      <c r="V144" s="114"/>
      <c r="W144" s="114"/>
      <c r="X144" s="112" t="s">
        <v>345</v>
      </c>
    </row>
    <row r="145" spans="1:24" ht="180" customHeight="1" x14ac:dyDescent="0.3">
      <c r="A145" s="112" t="s">
        <v>346</v>
      </c>
      <c r="B145" s="113" t="s">
        <v>127</v>
      </c>
      <c r="C145" s="113" t="s">
        <v>120</v>
      </c>
      <c r="D145" s="214" t="s">
        <v>650</v>
      </c>
      <c r="E145" s="113"/>
      <c r="F145" s="113"/>
      <c r="G145" s="113"/>
      <c r="H145" s="113"/>
      <c r="I145" s="113"/>
      <c r="J145" s="113"/>
      <c r="K145" s="113"/>
      <c r="L145" s="113"/>
      <c r="M145" s="113"/>
      <c r="N145" s="113"/>
      <c r="O145" s="113"/>
      <c r="P145" s="113"/>
      <c r="Q145" s="113"/>
      <c r="R145" s="113"/>
      <c r="S145" s="113"/>
      <c r="T145" s="112" t="s">
        <v>649</v>
      </c>
      <c r="U145" s="196">
        <f>U146</f>
        <v>53000</v>
      </c>
      <c r="V145" s="114"/>
      <c r="W145" s="114"/>
      <c r="X145" s="112" t="s">
        <v>346</v>
      </c>
    </row>
    <row r="146" spans="1:24" ht="167.65" customHeight="1" x14ac:dyDescent="0.3">
      <c r="A146" s="119" t="s">
        <v>348</v>
      </c>
      <c r="B146" s="113" t="s">
        <v>127</v>
      </c>
      <c r="C146" s="113" t="s">
        <v>120</v>
      </c>
      <c r="D146" s="214" t="s">
        <v>650</v>
      </c>
      <c r="E146" s="113"/>
      <c r="F146" s="113"/>
      <c r="G146" s="113"/>
      <c r="H146" s="113"/>
      <c r="I146" s="113"/>
      <c r="J146" s="113"/>
      <c r="K146" s="113"/>
      <c r="L146" s="113"/>
      <c r="M146" s="113"/>
      <c r="N146" s="113"/>
      <c r="O146" s="113"/>
      <c r="P146" s="113"/>
      <c r="Q146" s="113"/>
      <c r="R146" s="113"/>
      <c r="S146" s="113" t="s">
        <v>235</v>
      </c>
      <c r="T146" s="150" t="s">
        <v>348</v>
      </c>
      <c r="U146" s="197">
        <f>П5ВЕД!AA129</f>
        <v>53000</v>
      </c>
      <c r="V146" s="114"/>
      <c r="W146" s="114"/>
      <c r="X146" s="119" t="s">
        <v>348</v>
      </c>
    </row>
    <row r="147" spans="1:24" ht="143.25" customHeight="1" x14ac:dyDescent="0.3">
      <c r="A147" s="112" t="s">
        <v>349</v>
      </c>
      <c r="B147" s="113" t="s">
        <v>127</v>
      </c>
      <c r="C147" s="113" t="s">
        <v>120</v>
      </c>
      <c r="D147" s="214" t="s">
        <v>652</v>
      </c>
      <c r="E147" s="113"/>
      <c r="F147" s="113"/>
      <c r="G147" s="113"/>
      <c r="H147" s="113"/>
      <c r="I147" s="113"/>
      <c r="J147" s="113"/>
      <c r="K147" s="113"/>
      <c r="L147" s="113"/>
      <c r="M147" s="113"/>
      <c r="N147" s="113"/>
      <c r="O147" s="113"/>
      <c r="P147" s="113"/>
      <c r="Q147" s="113"/>
      <c r="R147" s="113"/>
      <c r="S147" s="113"/>
      <c r="T147" s="112" t="s">
        <v>651</v>
      </c>
      <c r="U147" s="196">
        <f>U148</f>
        <v>24000</v>
      </c>
      <c r="V147" s="114"/>
      <c r="W147" s="114"/>
      <c r="X147" s="112" t="s">
        <v>349</v>
      </c>
    </row>
    <row r="148" spans="1:24" ht="95.25" customHeight="1" x14ac:dyDescent="0.3">
      <c r="A148" s="112" t="s">
        <v>350</v>
      </c>
      <c r="B148" s="113" t="s">
        <v>127</v>
      </c>
      <c r="C148" s="113" t="s">
        <v>120</v>
      </c>
      <c r="D148" s="214" t="s">
        <v>652</v>
      </c>
      <c r="E148" s="113"/>
      <c r="F148" s="113"/>
      <c r="G148" s="113"/>
      <c r="H148" s="113"/>
      <c r="I148" s="113"/>
      <c r="J148" s="113"/>
      <c r="K148" s="113"/>
      <c r="L148" s="113"/>
      <c r="M148" s="113"/>
      <c r="N148" s="113"/>
      <c r="O148" s="113"/>
      <c r="P148" s="113"/>
      <c r="Q148" s="113"/>
      <c r="R148" s="113"/>
      <c r="S148" s="113" t="s">
        <v>281</v>
      </c>
      <c r="T148" s="146" t="s">
        <v>350</v>
      </c>
      <c r="U148" s="197">
        <f>П5ВЕД!AA131</f>
        <v>24000</v>
      </c>
      <c r="V148" s="114"/>
      <c r="W148" s="114"/>
      <c r="X148" s="112" t="s">
        <v>350</v>
      </c>
    </row>
    <row r="149" spans="1:24" ht="37.15" customHeight="1" x14ac:dyDescent="0.3">
      <c r="A149" s="110" t="s">
        <v>352</v>
      </c>
      <c r="B149" s="122" t="s">
        <v>115</v>
      </c>
      <c r="C149" s="122" t="s">
        <v>124</v>
      </c>
      <c r="D149" s="122"/>
      <c r="E149" s="122"/>
      <c r="F149" s="122"/>
      <c r="G149" s="122"/>
      <c r="H149" s="122"/>
      <c r="I149" s="122"/>
      <c r="J149" s="122"/>
      <c r="K149" s="122"/>
      <c r="L149" s="122"/>
      <c r="M149" s="122"/>
      <c r="N149" s="122"/>
      <c r="O149" s="122"/>
      <c r="P149" s="122"/>
      <c r="Q149" s="122"/>
      <c r="R149" s="122"/>
      <c r="S149" s="122"/>
      <c r="T149" s="110" t="s">
        <v>352</v>
      </c>
      <c r="U149" s="200">
        <f>U150+U159+U172</f>
        <v>301580163.18000001</v>
      </c>
      <c r="V149" s="111"/>
      <c r="W149" s="111"/>
      <c r="X149" s="110" t="s">
        <v>352</v>
      </c>
    </row>
    <row r="150" spans="1:24" ht="18.600000000000001" customHeight="1" x14ac:dyDescent="0.3">
      <c r="A150" s="112" t="s">
        <v>141</v>
      </c>
      <c r="B150" s="113" t="s">
        <v>115</v>
      </c>
      <c r="C150" s="113" t="s">
        <v>113</v>
      </c>
      <c r="D150" s="113"/>
      <c r="E150" s="113"/>
      <c r="F150" s="113"/>
      <c r="G150" s="113"/>
      <c r="H150" s="113"/>
      <c r="I150" s="113"/>
      <c r="J150" s="113"/>
      <c r="K150" s="113"/>
      <c r="L150" s="113"/>
      <c r="M150" s="113"/>
      <c r="N150" s="113"/>
      <c r="O150" s="113"/>
      <c r="P150" s="113"/>
      <c r="Q150" s="113"/>
      <c r="R150" s="113"/>
      <c r="S150" s="113"/>
      <c r="T150" s="112" t="s">
        <v>141</v>
      </c>
      <c r="U150" s="197">
        <f>U151+U157+U155+U152</f>
        <v>188341055.84999999</v>
      </c>
      <c r="V150" s="114"/>
      <c r="W150" s="114"/>
      <c r="X150" s="112" t="s">
        <v>141</v>
      </c>
    </row>
    <row r="151" spans="1:24" ht="222" customHeight="1" x14ac:dyDescent="0.3">
      <c r="A151" s="112" t="s">
        <v>353</v>
      </c>
      <c r="B151" s="113" t="s">
        <v>115</v>
      </c>
      <c r="C151" s="113" t="s">
        <v>113</v>
      </c>
      <c r="D151" s="214" t="s">
        <v>654</v>
      </c>
      <c r="E151" s="113"/>
      <c r="F151" s="113"/>
      <c r="G151" s="113"/>
      <c r="H151" s="113"/>
      <c r="I151" s="113"/>
      <c r="J151" s="113"/>
      <c r="K151" s="113"/>
      <c r="L151" s="113"/>
      <c r="M151" s="113"/>
      <c r="N151" s="113"/>
      <c r="O151" s="113"/>
      <c r="P151" s="113"/>
      <c r="Q151" s="113"/>
      <c r="R151" s="113"/>
      <c r="S151" s="113"/>
      <c r="T151" s="112" t="s">
        <v>653</v>
      </c>
      <c r="U151" s="196">
        <f>U154</f>
        <v>2500000</v>
      </c>
      <c r="V151" s="114"/>
      <c r="W151" s="114"/>
      <c r="X151" s="112" t="s">
        <v>353</v>
      </c>
    </row>
    <row r="152" spans="1:24" ht="222" customHeight="1" x14ac:dyDescent="0.3">
      <c r="A152" s="112"/>
      <c r="B152" s="164" t="s">
        <v>115</v>
      </c>
      <c r="C152" s="164" t="s">
        <v>113</v>
      </c>
      <c r="D152" s="221" t="s">
        <v>876</v>
      </c>
      <c r="E152" s="164"/>
      <c r="F152" s="164"/>
      <c r="G152" s="164"/>
      <c r="H152" s="164"/>
      <c r="I152" s="164"/>
      <c r="J152" s="164"/>
      <c r="K152" s="164"/>
      <c r="L152" s="164"/>
      <c r="M152" s="164"/>
      <c r="N152" s="164"/>
      <c r="O152" s="164"/>
      <c r="P152" s="164"/>
      <c r="Q152" s="164"/>
      <c r="R152" s="164"/>
      <c r="S152" s="164"/>
      <c r="T152" s="33" t="s">
        <v>875</v>
      </c>
      <c r="U152" s="255">
        <f>U153</f>
        <v>162460538.59</v>
      </c>
      <c r="V152" s="114"/>
      <c r="W152" s="114"/>
      <c r="X152" s="112"/>
    </row>
    <row r="153" spans="1:24" ht="84" customHeight="1" x14ac:dyDescent="0.3">
      <c r="A153" s="112"/>
      <c r="B153" s="164" t="s">
        <v>115</v>
      </c>
      <c r="C153" s="164" t="s">
        <v>113</v>
      </c>
      <c r="D153" s="221" t="s">
        <v>876</v>
      </c>
      <c r="E153" s="164"/>
      <c r="F153" s="164"/>
      <c r="G153" s="164"/>
      <c r="H153" s="164"/>
      <c r="I153" s="164"/>
      <c r="J153" s="164"/>
      <c r="K153" s="164"/>
      <c r="L153" s="164"/>
      <c r="M153" s="164"/>
      <c r="N153" s="164"/>
      <c r="O153" s="164"/>
      <c r="P153" s="164"/>
      <c r="Q153" s="164"/>
      <c r="R153" s="164"/>
      <c r="S153" s="164" t="s">
        <v>355</v>
      </c>
      <c r="T153" s="33" t="s">
        <v>530</v>
      </c>
      <c r="U153" s="255">
        <f>П5ВЕД!AA136</f>
        <v>162460538.59</v>
      </c>
      <c r="V153" s="114"/>
      <c r="W153" s="114"/>
      <c r="X153" s="112"/>
    </row>
    <row r="154" spans="1:24" ht="138.75" customHeight="1" x14ac:dyDescent="0.3">
      <c r="A154" s="112" t="s">
        <v>354</v>
      </c>
      <c r="B154" s="164" t="s">
        <v>115</v>
      </c>
      <c r="C154" s="164" t="s">
        <v>113</v>
      </c>
      <c r="D154" s="221" t="s">
        <v>654</v>
      </c>
      <c r="E154" s="164"/>
      <c r="F154" s="164"/>
      <c r="G154" s="164"/>
      <c r="H154" s="164"/>
      <c r="I154" s="164"/>
      <c r="J154" s="164"/>
      <c r="K154" s="164"/>
      <c r="L154" s="164"/>
      <c r="M154" s="164"/>
      <c r="N154" s="164"/>
      <c r="O154" s="164"/>
      <c r="P154" s="164"/>
      <c r="Q154" s="164"/>
      <c r="R154" s="164"/>
      <c r="S154" s="164" t="s">
        <v>355</v>
      </c>
      <c r="T154" s="156" t="s">
        <v>354</v>
      </c>
      <c r="U154" s="239">
        <f>П5ВЕД!AA135</f>
        <v>2500000</v>
      </c>
      <c r="V154" s="114"/>
      <c r="W154" s="114"/>
      <c r="X154" s="112" t="s">
        <v>354</v>
      </c>
    </row>
    <row r="155" spans="1:24" ht="234" customHeight="1" x14ac:dyDescent="0.3">
      <c r="A155" s="237"/>
      <c r="B155" s="244" t="s">
        <v>115</v>
      </c>
      <c r="C155" s="244" t="s">
        <v>113</v>
      </c>
      <c r="D155" s="222" t="s">
        <v>874</v>
      </c>
      <c r="E155" s="244"/>
      <c r="F155" s="244"/>
      <c r="G155" s="244"/>
      <c r="H155" s="244"/>
      <c r="I155" s="244"/>
      <c r="J155" s="244"/>
      <c r="K155" s="244"/>
      <c r="L155" s="244"/>
      <c r="M155" s="244"/>
      <c r="N155" s="244"/>
      <c r="O155" s="244"/>
      <c r="P155" s="244"/>
      <c r="Q155" s="244"/>
      <c r="R155" s="244"/>
      <c r="S155" s="244"/>
      <c r="T155" s="235" t="s">
        <v>837</v>
      </c>
      <c r="U155" s="231">
        <f>U156</f>
        <v>23051599.059999999</v>
      </c>
      <c r="V155" s="238"/>
      <c r="W155" s="114"/>
      <c r="X155" s="112"/>
    </row>
    <row r="156" spans="1:24" ht="138.75" customHeight="1" x14ac:dyDescent="0.3">
      <c r="A156" s="237"/>
      <c r="B156" s="244" t="s">
        <v>115</v>
      </c>
      <c r="C156" s="244" t="s">
        <v>113</v>
      </c>
      <c r="D156" s="222" t="s">
        <v>874</v>
      </c>
      <c r="E156" s="244"/>
      <c r="F156" s="244"/>
      <c r="G156" s="244"/>
      <c r="H156" s="244"/>
      <c r="I156" s="244"/>
      <c r="J156" s="244"/>
      <c r="K156" s="244"/>
      <c r="L156" s="244"/>
      <c r="M156" s="244"/>
      <c r="N156" s="244"/>
      <c r="O156" s="244"/>
      <c r="P156" s="244"/>
      <c r="Q156" s="244"/>
      <c r="R156" s="244"/>
      <c r="S156" s="244" t="s">
        <v>355</v>
      </c>
      <c r="T156" s="236" t="s">
        <v>354</v>
      </c>
      <c r="U156" s="231">
        <f>П5ВЕД!AA139</f>
        <v>23051599.059999999</v>
      </c>
      <c r="V156" s="238"/>
      <c r="W156" s="114"/>
      <c r="X156" s="112"/>
    </row>
    <row r="157" spans="1:24" ht="63.75" customHeight="1" x14ac:dyDescent="0.3">
      <c r="A157" s="112"/>
      <c r="B157" s="240" t="s">
        <v>115</v>
      </c>
      <c r="C157" s="240" t="s">
        <v>113</v>
      </c>
      <c r="D157" s="234" t="s">
        <v>655</v>
      </c>
      <c r="E157" s="240"/>
      <c r="F157" s="240"/>
      <c r="G157" s="240"/>
      <c r="H157" s="240"/>
      <c r="I157" s="240"/>
      <c r="J157" s="240"/>
      <c r="K157" s="240"/>
      <c r="L157" s="240"/>
      <c r="M157" s="240"/>
      <c r="N157" s="240"/>
      <c r="O157" s="240"/>
      <c r="P157" s="240"/>
      <c r="Q157" s="240"/>
      <c r="R157" s="240"/>
      <c r="S157" s="241"/>
      <c r="T157" s="242" t="s">
        <v>581</v>
      </c>
      <c r="U157" s="243">
        <f>U158</f>
        <v>328918.2</v>
      </c>
      <c r="V157" s="117"/>
      <c r="W157" s="117"/>
      <c r="X157" s="112"/>
    </row>
    <row r="158" spans="1:24" ht="55.5" customHeight="1" x14ac:dyDescent="0.3">
      <c r="A158" s="112"/>
      <c r="B158" s="148" t="s">
        <v>115</v>
      </c>
      <c r="C158" s="148" t="s">
        <v>113</v>
      </c>
      <c r="D158" s="216" t="s">
        <v>655</v>
      </c>
      <c r="E158" s="148"/>
      <c r="F158" s="148"/>
      <c r="G158" s="148"/>
      <c r="H158" s="148"/>
      <c r="I158" s="148"/>
      <c r="J158" s="148"/>
      <c r="K158" s="148"/>
      <c r="L158" s="148"/>
      <c r="M158" s="148"/>
      <c r="N158" s="148"/>
      <c r="O158" s="148"/>
      <c r="P158" s="148"/>
      <c r="Q158" s="148"/>
      <c r="R158" s="148"/>
      <c r="S158" s="160" t="s">
        <v>281</v>
      </c>
      <c r="T158" s="33" t="s">
        <v>582</v>
      </c>
      <c r="U158" s="201">
        <f>П5ВЕД!AA141</f>
        <v>328918.2</v>
      </c>
      <c r="V158" s="117"/>
      <c r="W158" s="117"/>
      <c r="X158" s="112"/>
    </row>
    <row r="159" spans="1:24" ht="18.600000000000001" customHeight="1" x14ac:dyDescent="0.3">
      <c r="A159" s="112" t="s">
        <v>142</v>
      </c>
      <c r="B159" s="113" t="s">
        <v>115</v>
      </c>
      <c r="C159" s="113" t="s">
        <v>123</v>
      </c>
      <c r="D159" s="113"/>
      <c r="E159" s="113"/>
      <c r="F159" s="113"/>
      <c r="G159" s="113"/>
      <c r="H159" s="113"/>
      <c r="I159" s="113"/>
      <c r="J159" s="113"/>
      <c r="K159" s="113"/>
      <c r="L159" s="113"/>
      <c r="M159" s="113"/>
      <c r="N159" s="113"/>
      <c r="O159" s="113"/>
      <c r="P159" s="113"/>
      <c r="Q159" s="113"/>
      <c r="R159" s="113"/>
      <c r="S159" s="113"/>
      <c r="T159" s="135" t="s">
        <v>142</v>
      </c>
      <c r="U159" s="197">
        <f>U160+U170+U164+U162+U166+U168</f>
        <v>109554139.14</v>
      </c>
      <c r="V159" s="114"/>
      <c r="W159" s="114"/>
      <c r="X159" s="112" t="s">
        <v>142</v>
      </c>
    </row>
    <row r="160" spans="1:24" ht="249" customHeight="1" x14ac:dyDescent="0.3">
      <c r="A160" s="119" t="s">
        <v>219</v>
      </c>
      <c r="B160" s="113" t="s">
        <v>115</v>
      </c>
      <c r="C160" s="113" t="s">
        <v>123</v>
      </c>
      <c r="D160" s="214" t="s">
        <v>658</v>
      </c>
      <c r="E160" s="113"/>
      <c r="F160" s="113"/>
      <c r="G160" s="113"/>
      <c r="H160" s="113"/>
      <c r="I160" s="113"/>
      <c r="J160" s="113"/>
      <c r="K160" s="113"/>
      <c r="L160" s="113"/>
      <c r="M160" s="113"/>
      <c r="N160" s="113"/>
      <c r="O160" s="113"/>
      <c r="P160" s="113"/>
      <c r="Q160" s="113"/>
      <c r="R160" s="113"/>
      <c r="S160" s="113"/>
      <c r="T160" s="119" t="s">
        <v>219</v>
      </c>
      <c r="U160" s="196">
        <f>U161</f>
        <v>84116738.310000002</v>
      </c>
      <c r="V160" s="114"/>
      <c r="W160" s="114"/>
      <c r="X160" s="119" t="s">
        <v>219</v>
      </c>
    </row>
    <row r="161" spans="1:24" ht="285.75" customHeight="1" x14ac:dyDescent="0.3">
      <c r="A161" s="119" t="s">
        <v>356</v>
      </c>
      <c r="B161" s="113" t="s">
        <v>115</v>
      </c>
      <c r="C161" s="113" t="s">
        <v>123</v>
      </c>
      <c r="D161" s="214" t="s">
        <v>658</v>
      </c>
      <c r="E161" s="113"/>
      <c r="F161" s="113"/>
      <c r="G161" s="113"/>
      <c r="H161" s="113"/>
      <c r="I161" s="113"/>
      <c r="J161" s="113"/>
      <c r="K161" s="113"/>
      <c r="L161" s="113"/>
      <c r="M161" s="113"/>
      <c r="N161" s="113"/>
      <c r="O161" s="113"/>
      <c r="P161" s="113"/>
      <c r="Q161" s="113"/>
      <c r="R161" s="113"/>
      <c r="S161" s="113" t="s">
        <v>235</v>
      </c>
      <c r="T161" s="119" t="s">
        <v>556</v>
      </c>
      <c r="U161" s="197">
        <f>П5ВЕД!AA148</f>
        <v>84116738.310000002</v>
      </c>
      <c r="V161" s="114"/>
      <c r="W161" s="114"/>
      <c r="X161" s="119" t="s">
        <v>356</v>
      </c>
    </row>
    <row r="162" spans="1:24" ht="44.25" customHeight="1" x14ac:dyDescent="0.3">
      <c r="A162" s="119"/>
      <c r="B162" s="113" t="s">
        <v>115</v>
      </c>
      <c r="C162" s="113" t="s">
        <v>123</v>
      </c>
      <c r="D162" s="214" t="s">
        <v>870</v>
      </c>
      <c r="E162" s="113"/>
      <c r="F162" s="113"/>
      <c r="G162" s="113"/>
      <c r="H162" s="113"/>
      <c r="I162" s="113"/>
      <c r="J162" s="113"/>
      <c r="K162" s="113"/>
      <c r="L162" s="113"/>
      <c r="M162" s="113"/>
      <c r="N162" s="113"/>
      <c r="O162" s="113"/>
      <c r="P162" s="113"/>
      <c r="Q162" s="113"/>
      <c r="R162" s="113"/>
      <c r="S162" s="113"/>
      <c r="T162" s="150" t="s">
        <v>868</v>
      </c>
      <c r="U162" s="197">
        <f>U163</f>
        <v>3800000</v>
      </c>
      <c r="V162" s="114"/>
      <c r="W162" s="114"/>
      <c r="X162" s="119"/>
    </row>
    <row r="163" spans="1:24" ht="251.25" customHeight="1" x14ac:dyDescent="0.3">
      <c r="A163" s="119"/>
      <c r="B163" s="113" t="s">
        <v>115</v>
      </c>
      <c r="C163" s="113" t="s">
        <v>123</v>
      </c>
      <c r="D163" s="214" t="s">
        <v>870</v>
      </c>
      <c r="E163" s="113"/>
      <c r="F163" s="113"/>
      <c r="G163" s="113"/>
      <c r="H163" s="113"/>
      <c r="I163" s="113"/>
      <c r="J163" s="113"/>
      <c r="K163" s="113"/>
      <c r="L163" s="113"/>
      <c r="M163" s="113"/>
      <c r="N163" s="113"/>
      <c r="O163" s="113"/>
      <c r="P163" s="113"/>
      <c r="Q163" s="113"/>
      <c r="R163" s="113"/>
      <c r="S163" s="113" t="s">
        <v>281</v>
      </c>
      <c r="T163" s="150" t="s">
        <v>869</v>
      </c>
      <c r="U163" s="197">
        <f>П5ВЕД!AA149</f>
        <v>3800000</v>
      </c>
      <c r="V163" s="114"/>
      <c r="W163" s="114"/>
      <c r="X163" s="119"/>
    </row>
    <row r="164" spans="1:24" ht="46.5" customHeight="1" x14ac:dyDescent="0.3">
      <c r="A164" s="119"/>
      <c r="B164" s="113" t="s">
        <v>115</v>
      </c>
      <c r="C164" s="113" t="s">
        <v>123</v>
      </c>
      <c r="D164" s="216" t="s">
        <v>833</v>
      </c>
      <c r="E164" s="113"/>
      <c r="F164" s="113"/>
      <c r="G164" s="113"/>
      <c r="H164" s="113"/>
      <c r="I164" s="113"/>
      <c r="J164" s="113"/>
      <c r="K164" s="113"/>
      <c r="L164" s="113"/>
      <c r="M164" s="113"/>
      <c r="N164" s="113"/>
      <c r="O164" s="113"/>
      <c r="P164" s="113"/>
      <c r="Q164" s="113"/>
      <c r="R164" s="113"/>
      <c r="S164" s="113"/>
      <c r="T164" s="146" t="s">
        <v>831</v>
      </c>
      <c r="U164" s="197">
        <f>U165</f>
        <v>11142506.66</v>
      </c>
      <c r="V164" s="114"/>
      <c r="W164" s="114"/>
      <c r="X164" s="119"/>
    </row>
    <row r="165" spans="1:24" ht="217.5" customHeight="1" x14ac:dyDescent="0.3">
      <c r="A165" s="119"/>
      <c r="B165" s="113" t="s">
        <v>115</v>
      </c>
      <c r="C165" s="113" t="s">
        <v>123</v>
      </c>
      <c r="D165" s="216" t="s">
        <v>833</v>
      </c>
      <c r="E165" s="113"/>
      <c r="F165" s="113"/>
      <c r="G165" s="113"/>
      <c r="H165" s="113"/>
      <c r="I165" s="113"/>
      <c r="J165" s="113"/>
      <c r="K165" s="113"/>
      <c r="L165" s="113"/>
      <c r="M165" s="113"/>
      <c r="N165" s="113"/>
      <c r="O165" s="113"/>
      <c r="P165" s="113"/>
      <c r="Q165" s="113"/>
      <c r="R165" s="113"/>
      <c r="S165" s="113" t="s">
        <v>281</v>
      </c>
      <c r="T165" s="146" t="s">
        <v>832</v>
      </c>
      <c r="U165" s="197">
        <f>П5ВЕД!AA146</f>
        <v>11142506.66</v>
      </c>
      <c r="V165" s="114"/>
      <c r="W165" s="114"/>
      <c r="X165" s="119"/>
    </row>
    <row r="166" spans="1:24" ht="217.5" customHeight="1" x14ac:dyDescent="0.3">
      <c r="A166" s="119"/>
      <c r="B166" s="113" t="s">
        <v>115</v>
      </c>
      <c r="C166" s="113" t="s">
        <v>123</v>
      </c>
      <c r="D166" s="216" t="s">
        <v>833</v>
      </c>
      <c r="E166" s="113"/>
      <c r="F166" s="113"/>
      <c r="G166" s="113"/>
      <c r="H166" s="113"/>
      <c r="I166" s="113"/>
      <c r="J166" s="113"/>
      <c r="K166" s="113"/>
      <c r="L166" s="113"/>
      <c r="M166" s="113"/>
      <c r="N166" s="113"/>
      <c r="O166" s="113"/>
      <c r="P166" s="113"/>
      <c r="Q166" s="113"/>
      <c r="R166" s="113"/>
      <c r="S166" s="113"/>
      <c r="T166" s="147" t="s">
        <v>832</v>
      </c>
      <c r="U166" s="197">
        <f>U167</f>
        <v>2277767.2999999998</v>
      </c>
      <c r="V166" s="114"/>
      <c r="W166" s="114"/>
      <c r="X166" s="119"/>
    </row>
    <row r="167" spans="1:24" ht="36" customHeight="1" x14ac:dyDescent="0.3">
      <c r="A167" s="119"/>
      <c r="B167" s="113" t="s">
        <v>115</v>
      </c>
      <c r="C167" s="113" t="s">
        <v>123</v>
      </c>
      <c r="D167" s="216" t="s">
        <v>833</v>
      </c>
      <c r="E167" s="113"/>
      <c r="F167" s="113"/>
      <c r="G167" s="113"/>
      <c r="H167" s="113"/>
      <c r="I167" s="113"/>
      <c r="J167" s="113"/>
      <c r="K167" s="113"/>
      <c r="L167" s="113"/>
      <c r="M167" s="113"/>
      <c r="N167" s="113"/>
      <c r="O167" s="113"/>
      <c r="P167" s="113"/>
      <c r="Q167" s="113"/>
      <c r="R167" s="113"/>
      <c r="S167" s="113" t="s">
        <v>433</v>
      </c>
      <c r="T167" s="147" t="s">
        <v>856</v>
      </c>
      <c r="U167" s="197">
        <f>П5ВЕД!AA284</f>
        <v>2277767.2999999998</v>
      </c>
      <c r="V167" s="114"/>
      <c r="W167" s="114"/>
      <c r="X167" s="119"/>
    </row>
    <row r="168" spans="1:24" ht="182.25" customHeight="1" x14ac:dyDescent="0.3">
      <c r="A168" s="119"/>
      <c r="B168" s="113" t="s">
        <v>115</v>
      </c>
      <c r="C168" s="113" t="s">
        <v>123</v>
      </c>
      <c r="D168" s="148" t="s">
        <v>974</v>
      </c>
      <c r="E168" s="113"/>
      <c r="F168" s="113"/>
      <c r="G168" s="113"/>
      <c r="H168" s="113"/>
      <c r="I168" s="113"/>
      <c r="J168" s="113"/>
      <c r="K168" s="113"/>
      <c r="L168" s="113"/>
      <c r="M168" s="113"/>
      <c r="N168" s="113"/>
      <c r="O168" s="113"/>
      <c r="P168" s="113"/>
      <c r="Q168" s="113"/>
      <c r="R168" s="113"/>
      <c r="S168" s="113"/>
      <c r="T168" s="292" t="s">
        <v>973</v>
      </c>
      <c r="U168" s="197">
        <f>U169</f>
        <v>740000</v>
      </c>
      <c r="V168" s="114"/>
      <c r="W168" s="114"/>
      <c r="X168" s="119"/>
    </row>
    <row r="169" spans="1:24" ht="36" customHeight="1" x14ac:dyDescent="0.3">
      <c r="A169" s="119"/>
      <c r="B169" s="113" t="s">
        <v>115</v>
      </c>
      <c r="C169" s="113" t="s">
        <v>123</v>
      </c>
      <c r="D169" s="148" t="s">
        <v>974</v>
      </c>
      <c r="E169" s="113"/>
      <c r="F169" s="113"/>
      <c r="G169" s="113"/>
      <c r="H169" s="113"/>
      <c r="I169" s="113"/>
      <c r="J169" s="113"/>
      <c r="K169" s="113"/>
      <c r="L169" s="113"/>
      <c r="M169" s="113"/>
      <c r="N169" s="113"/>
      <c r="O169" s="113"/>
      <c r="P169" s="113"/>
      <c r="Q169" s="113"/>
      <c r="R169" s="113"/>
      <c r="S169" s="113" t="s">
        <v>433</v>
      </c>
      <c r="T169" s="147" t="s">
        <v>856</v>
      </c>
      <c r="U169" s="197">
        <f>П5ВЕД!AA292</f>
        <v>740000</v>
      </c>
      <c r="V169" s="114"/>
      <c r="W169" s="114"/>
      <c r="X169" s="119"/>
    </row>
    <row r="170" spans="1:24" ht="138.75" customHeight="1" x14ac:dyDescent="0.3">
      <c r="A170" s="119"/>
      <c r="B170" s="113" t="s">
        <v>115</v>
      </c>
      <c r="C170" s="113" t="s">
        <v>123</v>
      </c>
      <c r="D170" s="216" t="s">
        <v>657</v>
      </c>
      <c r="E170" s="113"/>
      <c r="F170" s="113"/>
      <c r="G170" s="113"/>
      <c r="H170" s="113"/>
      <c r="I170" s="113"/>
      <c r="J170" s="113"/>
      <c r="K170" s="113"/>
      <c r="L170" s="113"/>
      <c r="M170" s="113"/>
      <c r="N170" s="113"/>
      <c r="O170" s="113"/>
      <c r="P170" s="113"/>
      <c r="Q170" s="113"/>
      <c r="R170" s="113"/>
      <c r="S170" s="113"/>
      <c r="T170" s="147" t="s">
        <v>656</v>
      </c>
      <c r="U170" s="196">
        <f>U171</f>
        <v>7477126.8700000001</v>
      </c>
      <c r="V170" s="114"/>
      <c r="W170" s="114"/>
      <c r="X170" s="119"/>
    </row>
    <row r="171" spans="1:24" ht="82.5" customHeight="1" x14ac:dyDescent="0.3">
      <c r="A171" s="119"/>
      <c r="B171" s="113" t="s">
        <v>115</v>
      </c>
      <c r="C171" s="113" t="s">
        <v>123</v>
      </c>
      <c r="D171" s="216" t="s">
        <v>657</v>
      </c>
      <c r="E171" s="113"/>
      <c r="F171" s="113"/>
      <c r="G171" s="113"/>
      <c r="H171" s="113"/>
      <c r="I171" s="113"/>
      <c r="J171" s="113"/>
      <c r="K171" s="113"/>
      <c r="L171" s="113"/>
      <c r="M171" s="113"/>
      <c r="N171" s="113"/>
      <c r="O171" s="113"/>
      <c r="P171" s="113"/>
      <c r="Q171" s="113"/>
      <c r="R171" s="113"/>
      <c r="S171" s="113"/>
      <c r="T171" s="146" t="s">
        <v>351</v>
      </c>
      <c r="U171" s="197">
        <f>П5ВЕД!AA144</f>
        <v>7477126.8700000001</v>
      </c>
      <c r="V171" s="114"/>
      <c r="W171" s="114"/>
      <c r="X171" s="119"/>
    </row>
    <row r="172" spans="1:24" ht="18.600000000000001" customHeight="1" x14ac:dyDescent="0.3">
      <c r="A172" s="112" t="s">
        <v>143</v>
      </c>
      <c r="B172" s="113" t="s">
        <v>115</v>
      </c>
      <c r="C172" s="113" t="s">
        <v>114</v>
      </c>
      <c r="D172" s="113"/>
      <c r="E172" s="113"/>
      <c r="F172" s="113"/>
      <c r="G172" s="113"/>
      <c r="H172" s="113"/>
      <c r="I172" s="113"/>
      <c r="J172" s="113"/>
      <c r="K172" s="113"/>
      <c r="L172" s="113"/>
      <c r="M172" s="113"/>
      <c r="N172" s="113"/>
      <c r="O172" s="113"/>
      <c r="P172" s="113"/>
      <c r="Q172" s="113"/>
      <c r="R172" s="113"/>
      <c r="S172" s="113"/>
      <c r="T172" s="112" t="s">
        <v>143</v>
      </c>
      <c r="U172" s="197">
        <f>U173+U177+U183+U187+U189+U191+U185+U181+U175+U179</f>
        <v>3684968.19</v>
      </c>
      <c r="V172" s="114"/>
      <c r="W172" s="114"/>
      <c r="X172" s="112" t="s">
        <v>143</v>
      </c>
    </row>
    <row r="173" spans="1:24" ht="113.25" customHeight="1" x14ac:dyDescent="0.3">
      <c r="A173" s="112" t="s">
        <v>357</v>
      </c>
      <c r="B173" s="113" t="s">
        <v>115</v>
      </c>
      <c r="C173" s="113" t="s">
        <v>114</v>
      </c>
      <c r="D173" s="214" t="s">
        <v>660</v>
      </c>
      <c r="E173" s="113"/>
      <c r="F173" s="113"/>
      <c r="G173" s="113"/>
      <c r="H173" s="113"/>
      <c r="I173" s="113"/>
      <c r="J173" s="113"/>
      <c r="K173" s="113"/>
      <c r="L173" s="113"/>
      <c r="M173" s="113"/>
      <c r="N173" s="113"/>
      <c r="O173" s="113"/>
      <c r="P173" s="113"/>
      <c r="Q173" s="113"/>
      <c r="R173" s="113"/>
      <c r="S173" s="113"/>
      <c r="T173" s="112" t="s">
        <v>659</v>
      </c>
      <c r="U173" s="196">
        <f>U174</f>
        <v>279990</v>
      </c>
      <c r="V173" s="114"/>
      <c r="W173" s="114"/>
      <c r="X173" s="112" t="s">
        <v>357</v>
      </c>
    </row>
    <row r="174" spans="1:24" ht="93" customHeight="1" x14ac:dyDescent="0.3">
      <c r="A174" s="112" t="s">
        <v>358</v>
      </c>
      <c r="B174" s="113" t="s">
        <v>115</v>
      </c>
      <c r="C174" s="113" t="s">
        <v>114</v>
      </c>
      <c r="D174" s="214" t="s">
        <v>660</v>
      </c>
      <c r="E174" s="113"/>
      <c r="F174" s="113"/>
      <c r="G174" s="113"/>
      <c r="H174" s="113"/>
      <c r="I174" s="113"/>
      <c r="J174" s="113"/>
      <c r="K174" s="113"/>
      <c r="L174" s="113"/>
      <c r="M174" s="113"/>
      <c r="N174" s="113"/>
      <c r="O174" s="113"/>
      <c r="P174" s="113"/>
      <c r="Q174" s="113"/>
      <c r="R174" s="113"/>
      <c r="S174" s="113" t="s">
        <v>281</v>
      </c>
      <c r="T174" s="146" t="s">
        <v>358</v>
      </c>
      <c r="U174" s="197">
        <f>П5ВЕД!AA153</f>
        <v>279990</v>
      </c>
      <c r="V174" s="114"/>
      <c r="W174" s="114"/>
      <c r="X174" s="112" t="s">
        <v>358</v>
      </c>
    </row>
    <row r="175" spans="1:24" ht="129.75" customHeight="1" x14ac:dyDescent="0.3">
      <c r="A175" s="112"/>
      <c r="B175" s="113" t="s">
        <v>115</v>
      </c>
      <c r="C175" s="113" t="s">
        <v>114</v>
      </c>
      <c r="D175" s="214" t="s">
        <v>660</v>
      </c>
      <c r="E175" s="113"/>
      <c r="F175" s="113"/>
      <c r="G175" s="113"/>
      <c r="H175" s="113"/>
      <c r="I175" s="113"/>
      <c r="J175" s="113"/>
      <c r="K175" s="113"/>
      <c r="L175" s="113"/>
      <c r="M175" s="113"/>
      <c r="N175" s="113"/>
      <c r="O175" s="113"/>
      <c r="P175" s="113"/>
      <c r="Q175" s="113"/>
      <c r="R175" s="113"/>
      <c r="S175" s="113"/>
      <c r="T175" s="147" t="s">
        <v>659</v>
      </c>
      <c r="U175" s="197">
        <f>U176</f>
        <v>520010</v>
      </c>
      <c r="V175" s="114"/>
      <c r="W175" s="114"/>
      <c r="X175" s="112"/>
    </row>
    <row r="176" spans="1:24" ht="37.5" customHeight="1" x14ac:dyDescent="0.3">
      <c r="A176" s="112"/>
      <c r="B176" s="113" t="s">
        <v>115</v>
      </c>
      <c r="C176" s="113" t="s">
        <v>114</v>
      </c>
      <c r="D176" s="214" t="s">
        <v>660</v>
      </c>
      <c r="E176" s="113"/>
      <c r="F176" s="113"/>
      <c r="G176" s="113"/>
      <c r="H176" s="113"/>
      <c r="I176" s="113"/>
      <c r="J176" s="113"/>
      <c r="K176" s="113"/>
      <c r="L176" s="113"/>
      <c r="M176" s="113"/>
      <c r="N176" s="113"/>
      <c r="O176" s="113"/>
      <c r="P176" s="113"/>
      <c r="Q176" s="113"/>
      <c r="R176" s="113"/>
      <c r="S176" s="113" t="s">
        <v>433</v>
      </c>
      <c r="T176" s="147" t="s">
        <v>856</v>
      </c>
      <c r="U176" s="197">
        <f>П5ВЕД!AA299</f>
        <v>520010</v>
      </c>
      <c r="V176" s="114"/>
      <c r="W176" s="114"/>
      <c r="X176" s="112"/>
    </row>
    <row r="177" spans="1:24" ht="107.25" customHeight="1" x14ac:dyDescent="0.3">
      <c r="A177" s="112" t="s">
        <v>359</v>
      </c>
      <c r="B177" s="113" t="s">
        <v>115</v>
      </c>
      <c r="C177" s="113" t="s">
        <v>114</v>
      </c>
      <c r="D177" s="214" t="s">
        <v>662</v>
      </c>
      <c r="E177" s="113"/>
      <c r="F177" s="113"/>
      <c r="G177" s="113"/>
      <c r="H177" s="113"/>
      <c r="I177" s="113"/>
      <c r="J177" s="113"/>
      <c r="K177" s="113"/>
      <c r="L177" s="113"/>
      <c r="M177" s="113"/>
      <c r="N177" s="113"/>
      <c r="O177" s="113"/>
      <c r="P177" s="113"/>
      <c r="Q177" s="113"/>
      <c r="R177" s="113"/>
      <c r="S177" s="113"/>
      <c r="T177" s="112" t="s">
        <v>661</v>
      </c>
      <c r="U177" s="196">
        <f>U178</f>
        <v>0</v>
      </c>
      <c r="V177" s="114"/>
      <c r="W177" s="114"/>
      <c r="X177" s="112" t="s">
        <v>359</v>
      </c>
    </row>
    <row r="178" spans="1:24" ht="74.45" customHeight="1" x14ac:dyDescent="0.3">
      <c r="A178" s="112" t="s">
        <v>360</v>
      </c>
      <c r="B178" s="113" t="s">
        <v>115</v>
      </c>
      <c r="C178" s="113" t="s">
        <v>114</v>
      </c>
      <c r="D178" s="214" t="s">
        <v>662</v>
      </c>
      <c r="E178" s="113"/>
      <c r="F178" s="113"/>
      <c r="G178" s="113"/>
      <c r="H178" s="113"/>
      <c r="I178" s="113"/>
      <c r="J178" s="113"/>
      <c r="K178" s="113"/>
      <c r="L178" s="113"/>
      <c r="M178" s="113"/>
      <c r="N178" s="113"/>
      <c r="O178" s="113"/>
      <c r="P178" s="113"/>
      <c r="Q178" s="113"/>
      <c r="R178" s="113"/>
      <c r="S178" s="113" t="s">
        <v>281</v>
      </c>
      <c r="T178" s="146" t="s">
        <v>360</v>
      </c>
      <c r="U178" s="197">
        <f>П5ВЕД!AA155</f>
        <v>0</v>
      </c>
      <c r="V178" s="114"/>
      <c r="W178" s="114"/>
      <c r="X178" s="112" t="s">
        <v>360</v>
      </c>
    </row>
    <row r="179" spans="1:24" ht="74.45" customHeight="1" x14ac:dyDescent="0.3">
      <c r="A179" s="112"/>
      <c r="B179" s="113" t="s">
        <v>115</v>
      </c>
      <c r="C179" s="113" t="s">
        <v>114</v>
      </c>
      <c r="D179" s="214" t="s">
        <v>662</v>
      </c>
      <c r="E179" s="113"/>
      <c r="F179" s="113"/>
      <c r="G179" s="113"/>
      <c r="H179" s="113"/>
      <c r="I179" s="113"/>
      <c r="J179" s="113"/>
      <c r="K179" s="113"/>
      <c r="L179" s="113"/>
      <c r="M179" s="113"/>
      <c r="N179" s="113"/>
      <c r="O179" s="113"/>
      <c r="P179" s="113"/>
      <c r="Q179" s="113"/>
      <c r="R179" s="113"/>
      <c r="S179" s="113"/>
      <c r="T179" s="311" t="s">
        <v>661</v>
      </c>
      <c r="U179" s="197">
        <f>U180</f>
        <v>580449.21</v>
      </c>
      <c r="V179" s="114"/>
      <c r="W179" s="114"/>
      <c r="X179" s="112"/>
    </row>
    <row r="180" spans="1:24" ht="74.45" customHeight="1" x14ac:dyDescent="0.3">
      <c r="A180" s="112"/>
      <c r="B180" s="113" t="s">
        <v>115</v>
      </c>
      <c r="C180" s="113" t="s">
        <v>114</v>
      </c>
      <c r="D180" s="214" t="s">
        <v>662</v>
      </c>
      <c r="E180" s="113"/>
      <c r="F180" s="113"/>
      <c r="G180" s="113"/>
      <c r="H180" s="113"/>
      <c r="I180" s="113"/>
      <c r="J180" s="113"/>
      <c r="K180" s="113"/>
      <c r="L180" s="113"/>
      <c r="M180" s="113"/>
      <c r="N180" s="113"/>
      <c r="O180" s="113"/>
      <c r="P180" s="113"/>
      <c r="Q180" s="113"/>
      <c r="R180" s="113"/>
      <c r="S180" s="113" t="s">
        <v>433</v>
      </c>
      <c r="T180" s="311" t="s">
        <v>856</v>
      </c>
      <c r="U180" s="197">
        <f>П5ВЕД!AA310</f>
        <v>580449.21</v>
      </c>
      <c r="V180" s="114"/>
      <c r="W180" s="114"/>
      <c r="X180" s="112"/>
    </row>
    <row r="181" spans="1:24" ht="28.5" customHeight="1" x14ac:dyDescent="0.3">
      <c r="A181" s="112"/>
      <c r="B181" s="113" t="s">
        <v>115</v>
      </c>
      <c r="C181" s="113" t="s">
        <v>114</v>
      </c>
      <c r="D181" s="216" t="s">
        <v>859</v>
      </c>
      <c r="E181" s="113"/>
      <c r="F181" s="113"/>
      <c r="G181" s="113"/>
      <c r="H181" s="113"/>
      <c r="I181" s="113"/>
      <c r="J181" s="113"/>
      <c r="K181" s="113"/>
      <c r="L181" s="113"/>
      <c r="M181" s="113"/>
      <c r="N181" s="113"/>
      <c r="O181" s="113"/>
      <c r="P181" s="113"/>
      <c r="Q181" s="113"/>
      <c r="R181" s="113"/>
      <c r="S181" s="113"/>
      <c r="T181" s="147" t="s">
        <v>860</v>
      </c>
      <c r="U181" s="197">
        <f>U182</f>
        <v>78000</v>
      </c>
      <c r="V181" s="114"/>
      <c r="W181" s="114"/>
      <c r="X181" s="112"/>
    </row>
    <row r="182" spans="1:24" ht="110.25" customHeight="1" x14ac:dyDescent="0.3">
      <c r="A182" s="112"/>
      <c r="B182" s="113" t="s">
        <v>115</v>
      </c>
      <c r="C182" s="113" t="s">
        <v>114</v>
      </c>
      <c r="D182" s="216" t="s">
        <v>859</v>
      </c>
      <c r="E182" s="113"/>
      <c r="F182" s="113"/>
      <c r="G182" s="113"/>
      <c r="H182" s="113"/>
      <c r="I182" s="113"/>
      <c r="J182" s="113"/>
      <c r="K182" s="113"/>
      <c r="L182" s="113"/>
      <c r="M182" s="113"/>
      <c r="N182" s="113"/>
      <c r="O182" s="113"/>
      <c r="P182" s="113"/>
      <c r="Q182" s="113"/>
      <c r="R182" s="113"/>
      <c r="S182" s="113"/>
      <c r="T182" s="146" t="s">
        <v>861</v>
      </c>
      <c r="U182" s="197">
        <f>П5ВЕД!AA156</f>
        <v>78000</v>
      </c>
      <c r="V182" s="114"/>
      <c r="W182" s="114"/>
      <c r="X182" s="112"/>
    </row>
    <row r="183" spans="1:24" ht="114" customHeight="1" x14ac:dyDescent="0.3">
      <c r="A183" s="112" t="s">
        <v>361</v>
      </c>
      <c r="B183" s="113" t="s">
        <v>115</v>
      </c>
      <c r="C183" s="113" t="s">
        <v>114</v>
      </c>
      <c r="D183" s="214" t="s">
        <v>664</v>
      </c>
      <c r="E183" s="113"/>
      <c r="F183" s="113"/>
      <c r="G183" s="113"/>
      <c r="H183" s="113"/>
      <c r="I183" s="113"/>
      <c r="J183" s="113"/>
      <c r="K183" s="113"/>
      <c r="L183" s="113"/>
      <c r="M183" s="113"/>
      <c r="N183" s="113"/>
      <c r="O183" s="113"/>
      <c r="P183" s="113"/>
      <c r="Q183" s="113"/>
      <c r="R183" s="113"/>
      <c r="S183" s="113"/>
      <c r="T183" s="112" t="s">
        <v>663</v>
      </c>
      <c r="U183" s="196">
        <f>U184</f>
        <v>50000</v>
      </c>
      <c r="V183" s="114"/>
      <c r="W183" s="114"/>
      <c r="X183" s="112" t="s">
        <v>361</v>
      </c>
    </row>
    <row r="184" spans="1:24" ht="93" customHeight="1" x14ac:dyDescent="0.3">
      <c r="A184" s="112" t="s">
        <v>362</v>
      </c>
      <c r="B184" s="113" t="s">
        <v>115</v>
      </c>
      <c r="C184" s="113" t="s">
        <v>114</v>
      </c>
      <c r="D184" s="214" t="s">
        <v>664</v>
      </c>
      <c r="E184" s="113"/>
      <c r="F184" s="113"/>
      <c r="G184" s="113"/>
      <c r="H184" s="113"/>
      <c r="I184" s="113"/>
      <c r="J184" s="113"/>
      <c r="K184" s="113"/>
      <c r="L184" s="113"/>
      <c r="M184" s="113"/>
      <c r="N184" s="113"/>
      <c r="O184" s="113"/>
      <c r="P184" s="113"/>
      <c r="Q184" s="113"/>
      <c r="R184" s="113"/>
      <c r="S184" s="113" t="s">
        <v>281</v>
      </c>
      <c r="T184" s="118" t="s">
        <v>362</v>
      </c>
      <c r="U184" s="197">
        <f>П5ВЕД!AA159</f>
        <v>50000</v>
      </c>
      <c r="V184" s="114"/>
      <c r="W184" s="114"/>
      <c r="X184" s="112" t="s">
        <v>362</v>
      </c>
    </row>
    <row r="185" spans="1:24" ht="36.75" customHeight="1" x14ac:dyDescent="0.3">
      <c r="A185" s="112"/>
      <c r="B185" s="113" t="s">
        <v>115</v>
      </c>
      <c r="C185" s="113" t="s">
        <v>114</v>
      </c>
      <c r="D185" s="214" t="s">
        <v>841</v>
      </c>
      <c r="E185" s="113"/>
      <c r="F185" s="113"/>
      <c r="G185" s="113"/>
      <c r="H185" s="113"/>
      <c r="I185" s="113"/>
      <c r="J185" s="113"/>
      <c r="K185" s="113"/>
      <c r="L185" s="113"/>
      <c r="M185" s="113"/>
      <c r="N185" s="113"/>
      <c r="O185" s="113"/>
      <c r="P185" s="113"/>
      <c r="Q185" s="113"/>
      <c r="R185" s="113"/>
      <c r="S185" s="113"/>
      <c r="T185" s="112" t="s">
        <v>839</v>
      </c>
      <c r="U185" s="197">
        <f>U186</f>
        <v>1826518.98</v>
      </c>
      <c r="V185" s="114"/>
      <c r="W185" s="114"/>
      <c r="X185" s="112"/>
    </row>
    <row r="186" spans="1:24" ht="77.25" customHeight="1" x14ac:dyDescent="0.3">
      <c r="A186" s="112"/>
      <c r="B186" s="113" t="s">
        <v>115</v>
      </c>
      <c r="C186" s="113" t="s">
        <v>114</v>
      </c>
      <c r="D186" s="214" t="s">
        <v>841</v>
      </c>
      <c r="E186" s="113"/>
      <c r="F186" s="113"/>
      <c r="G186" s="113"/>
      <c r="H186" s="113"/>
      <c r="I186" s="113"/>
      <c r="J186" s="113"/>
      <c r="K186" s="113"/>
      <c r="L186" s="113"/>
      <c r="M186" s="113"/>
      <c r="N186" s="113"/>
      <c r="O186" s="113"/>
      <c r="P186" s="113"/>
      <c r="Q186" s="113"/>
      <c r="R186" s="113"/>
      <c r="S186" s="113" t="s">
        <v>281</v>
      </c>
      <c r="T186" s="146" t="s">
        <v>840</v>
      </c>
      <c r="U186" s="197">
        <f>П5ВЕД!AA161</f>
        <v>1826518.98</v>
      </c>
      <c r="V186" s="114"/>
      <c r="W186" s="114"/>
      <c r="X186" s="112"/>
    </row>
    <row r="187" spans="1:24" ht="126" customHeight="1" x14ac:dyDescent="0.3">
      <c r="A187" s="112" t="s">
        <v>363</v>
      </c>
      <c r="B187" s="113" t="s">
        <v>115</v>
      </c>
      <c r="C187" s="113" t="s">
        <v>114</v>
      </c>
      <c r="D187" s="214" t="s">
        <v>666</v>
      </c>
      <c r="E187" s="113"/>
      <c r="F187" s="113"/>
      <c r="G187" s="113"/>
      <c r="H187" s="113"/>
      <c r="I187" s="113"/>
      <c r="J187" s="113"/>
      <c r="K187" s="113"/>
      <c r="L187" s="113"/>
      <c r="M187" s="113"/>
      <c r="N187" s="113"/>
      <c r="O187" s="113"/>
      <c r="P187" s="113"/>
      <c r="Q187" s="113"/>
      <c r="R187" s="113"/>
      <c r="S187" s="113"/>
      <c r="T187" s="112" t="s">
        <v>665</v>
      </c>
      <c r="U187" s="196">
        <f>U188</f>
        <v>200000</v>
      </c>
      <c r="V187" s="114"/>
      <c r="W187" s="114"/>
      <c r="X187" s="112" t="s">
        <v>363</v>
      </c>
    </row>
    <row r="188" spans="1:24" ht="93" customHeight="1" x14ac:dyDescent="0.3">
      <c r="A188" s="112" t="s">
        <v>364</v>
      </c>
      <c r="B188" s="113" t="s">
        <v>115</v>
      </c>
      <c r="C188" s="113" t="s">
        <v>114</v>
      </c>
      <c r="D188" s="214" t="s">
        <v>666</v>
      </c>
      <c r="E188" s="113"/>
      <c r="F188" s="113"/>
      <c r="G188" s="113"/>
      <c r="H188" s="113"/>
      <c r="I188" s="113"/>
      <c r="J188" s="113"/>
      <c r="K188" s="113"/>
      <c r="L188" s="113"/>
      <c r="M188" s="113"/>
      <c r="N188" s="113"/>
      <c r="O188" s="113"/>
      <c r="P188" s="113"/>
      <c r="Q188" s="113"/>
      <c r="R188" s="113"/>
      <c r="S188" s="113" t="s">
        <v>281</v>
      </c>
      <c r="T188" s="146" t="s">
        <v>364</v>
      </c>
      <c r="U188" s="197">
        <f>П5ВЕД!AA163</f>
        <v>200000</v>
      </c>
      <c r="V188" s="114"/>
      <c r="W188" s="114"/>
      <c r="X188" s="112" t="s">
        <v>364</v>
      </c>
    </row>
    <row r="189" spans="1:24" ht="107.25" customHeight="1" x14ac:dyDescent="0.3">
      <c r="A189" s="112" t="s">
        <v>365</v>
      </c>
      <c r="B189" s="113" t="s">
        <v>115</v>
      </c>
      <c r="C189" s="113" t="s">
        <v>114</v>
      </c>
      <c r="D189" s="214" t="s">
        <v>668</v>
      </c>
      <c r="E189" s="113"/>
      <c r="F189" s="113"/>
      <c r="G189" s="113"/>
      <c r="H189" s="113"/>
      <c r="I189" s="113"/>
      <c r="J189" s="113"/>
      <c r="K189" s="113"/>
      <c r="L189" s="113"/>
      <c r="M189" s="113"/>
      <c r="N189" s="113"/>
      <c r="O189" s="113"/>
      <c r="P189" s="113"/>
      <c r="Q189" s="113"/>
      <c r="R189" s="113"/>
      <c r="S189" s="113"/>
      <c r="T189" s="112" t="s">
        <v>667</v>
      </c>
      <c r="U189" s="196">
        <f>U190</f>
        <v>0</v>
      </c>
      <c r="V189" s="114"/>
      <c r="W189" s="114"/>
      <c r="X189" s="112" t="s">
        <v>365</v>
      </c>
    </row>
    <row r="190" spans="1:24" ht="74.45" customHeight="1" x14ac:dyDescent="0.3">
      <c r="A190" s="112" t="s">
        <v>366</v>
      </c>
      <c r="B190" s="113" t="s">
        <v>115</v>
      </c>
      <c r="C190" s="113" t="s">
        <v>114</v>
      </c>
      <c r="D190" s="214" t="s">
        <v>668</v>
      </c>
      <c r="E190" s="113"/>
      <c r="F190" s="113"/>
      <c r="G190" s="113"/>
      <c r="H190" s="113"/>
      <c r="I190" s="113"/>
      <c r="J190" s="113"/>
      <c r="K190" s="113"/>
      <c r="L190" s="113"/>
      <c r="M190" s="113"/>
      <c r="N190" s="113"/>
      <c r="O190" s="113"/>
      <c r="P190" s="113"/>
      <c r="Q190" s="113"/>
      <c r="R190" s="113"/>
      <c r="S190" s="113" t="s">
        <v>281</v>
      </c>
      <c r="T190" s="118" t="s">
        <v>366</v>
      </c>
      <c r="U190" s="197">
        <f>П5ВЕД!AA165</f>
        <v>0</v>
      </c>
      <c r="V190" s="114"/>
      <c r="W190" s="114"/>
      <c r="X190" s="112" t="s">
        <v>366</v>
      </c>
    </row>
    <row r="191" spans="1:24" ht="116.25" customHeight="1" x14ac:dyDescent="0.3">
      <c r="A191" s="112" t="s">
        <v>367</v>
      </c>
      <c r="B191" s="113" t="s">
        <v>115</v>
      </c>
      <c r="C191" s="113" t="s">
        <v>114</v>
      </c>
      <c r="D191" s="214" t="s">
        <v>670</v>
      </c>
      <c r="E191" s="113"/>
      <c r="F191" s="113"/>
      <c r="G191" s="113"/>
      <c r="H191" s="113"/>
      <c r="I191" s="113"/>
      <c r="J191" s="113"/>
      <c r="K191" s="113"/>
      <c r="L191" s="113"/>
      <c r="M191" s="113"/>
      <c r="N191" s="113"/>
      <c r="O191" s="113"/>
      <c r="P191" s="113"/>
      <c r="Q191" s="113"/>
      <c r="R191" s="113"/>
      <c r="S191" s="113"/>
      <c r="T191" s="112" t="s">
        <v>669</v>
      </c>
      <c r="U191" s="196">
        <f>U192</f>
        <v>150000</v>
      </c>
      <c r="V191" s="114"/>
      <c r="W191" s="114"/>
      <c r="X191" s="112" t="s">
        <v>367</v>
      </c>
    </row>
    <row r="192" spans="1:24" ht="93" customHeight="1" x14ac:dyDescent="0.3">
      <c r="A192" s="112" t="s">
        <v>368</v>
      </c>
      <c r="B192" s="113" t="s">
        <v>115</v>
      </c>
      <c r="C192" s="113" t="s">
        <v>114</v>
      </c>
      <c r="D192" s="214" t="s">
        <v>670</v>
      </c>
      <c r="E192" s="113"/>
      <c r="F192" s="113"/>
      <c r="G192" s="113"/>
      <c r="H192" s="113"/>
      <c r="I192" s="113"/>
      <c r="J192" s="113"/>
      <c r="K192" s="113"/>
      <c r="L192" s="113"/>
      <c r="M192" s="113"/>
      <c r="N192" s="113"/>
      <c r="O192" s="113"/>
      <c r="P192" s="113"/>
      <c r="Q192" s="113"/>
      <c r="R192" s="113"/>
      <c r="S192" s="113" t="s">
        <v>281</v>
      </c>
      <c r="T192" s="118" t="s">
        <v>368</v>
      </c>
      <c r="U192" s="197">
        <f>П5ВЕД!AA167</f>
        <v>150000</v>
      </c>
      <c r="V192" s="114"/>
      <c r="W192" s="114"/>
      <c r="X192" s="112" t="s">
        <v>368</v>
      </c>
    </row>
    <row r="193" spans="1:24" ht="18.600000000000001" customHeight="1" x14ac:dyDescent="0.3">
      <c r="A193" s="110" t="s">
        <v>369</v>
      </c>
      <c r="B193" s="122" t="s">
        <v>129</v>
      </c>
      <c r="C193" s="122" t="s">
        <v>124</v>
      </c>
      <c r="D193" s="122"/>
      <c r="E193" s="122"/>
      <c r="F193" s="122"/>
      <c r="G193" s="122"/>
      <c r="H193" s="122"/>
      <c r="I193" s="122"/>
      <c r="J193" s="122"/>
      <c r="K193" s="122"/>
      <c r="L193" s="122"/>
      <c r="M193" s="122"/>
      <c r="N193" s="122"/>
      <c r="O193" s="122"/>
      <c r="P193" s="122"/>
      <c r="Q193" s="122"/>
      <c r="R193" s="122"/>
      <c r="S193" s="122"/>
      <c r="T193" s="110" t="s">
        <v>369</v>
      </c>
      <c r="U193" s="200">
        <f>U194+U209+U246+U265</f>
        <v>416271908.89999998</v>
      </c>
      <c r="V193" s="111"/>
      <c r="W193" s="111"/>
      <c r="X193" s="110" t="s">
        <v>369</v>
      </c>
    </row>
    <row r="194" spans="1:24" ht="18.600000000000001" customHeight="1" x14ac:dyDescent="0.3">
      <c r="A194" s="112" t="s">
        <v>146</v>
      </c>
      <c r="B194" s="113" t="s">
        <v>129</v>
      </c>
      <c r="C194" s="113" t="s">
        <v>113</v>
      </c>
      <c r="D194" s="113"/>
      <c r="E194" s="113"/>
      <c r="F194" s="113"/>
      <c r="G194" s="113"/>
      <c r="H194" s="113"/>
      <c r="I194" s="113"/>
      <c r="J194" s="113"/>
      <c r="K194" s="113"/>
      <c r="L194" s="113"/>
      <c r="M194" s="113"/>
      <c r="N194" s="113"/>
      <c r="O194" s="113"/>
      <c r="P194" s="113"/>
      <c r="Q194" s="113"/>
      <c r="R194" s="113"/>
      <c r="S194" s="113"/>
      <c r="T194" s="112" t="s">
        <v>146</v>
      </c>
      <c r="U194" s="196">
        <f>U197+U199+U203+U201+U205+U195+U207</f>
        <v>111099150.61999999</v>
      </c>
      <c r="V194" s="114"/>
      <c r="W194" s="114"/>
      <c r="X194" s="112" t="s">
        <v>146</v>
      </c>
    </row>
    <row r="195" spans="1:24" ht="163.5" customHeight="1" x14ac:dyDescent="0.3">
      <c r="A195" s="112"/>
      <c r="B195" s="148" t="s">
        <v>129</v>
      </c>
      <c r="C195" s="148" t="s">
        <v>113</v>
      </c>
      <c r="D195" s="148" t="s">
        <v>728</v>
      </c>
      <c r="E195" s="148"/>
      <c r="F195" s="148"/>
      <c r="G195" s="148"/>
      <c r="H195" s="148"/>
      <c r="I195" s="148"/>
      <c r="J195" s="148"/>
      <c r="K195" s="148"/>
      <c r="L195" s="148"/>
      <c r="M195" s="148"/>
      <c r="N195" s="148"/>
      <c r="O195" s="148"/>
      <c r="P195" s="148"/>
      <c r="Q195" s="148"/>
      <c r="R195" s="148"/>
      <c r="S195" s="148"/>
      <c r="T195" s="147" t="s">
        <v>727</v>
      </c>
      <c r="U195" s="196">
        <f>U196</f>
        <v>681008.52</v>
      </c>
      <c r="V195" s="114"/>
      <c r="W195" s="114"/>
      <c r="X195" s="112"/>
    </row>
    <row r="196" spans="1:24" ht="99" customHeight="1" x14ac:dyDescent="0.3">
      <c r="A196" s="112"/>
      <c r="B196" s="271" t="s">
        <v>129</v>
      </c>
      <c r="C196" s="271" t="s">
        <v>113</v>
      </c>
      <c r="D196" s="148" t="s">
        <v>728</v>
      </c>
      <c r="E196" s="271"/>
      <c r="F196" s="271"/>
      <c r="G196" s="271"/>
      <c r="H196" s="271"/>
      <c r="I196" s="271"/>
      <c r="J196" s="271"/>
      <c r="K196" s="271"/>
      <c r="L196" s="271"/>
      <c r="M196" s="271"/>
      <c r="N196" s="271"/>
      <c r="O196" s="271"/>
      <c r="P196" s="271"/>
      <c r="Q196" s="271"/>
      <c r="R196" s="271"/>
      <c r="S196" s="271" t="s">
        <v>300</v>
      </c>
      <c r="T196" s="146" t="s">
        <v>441</v>
      </c>
      <c r="U196" s="196">
        <f>П5ВЕД!AA369</f>
        <v>681008.52</v>
      </c>
      <c r="V196" s="114"/>
      <c r="W196" s="114"/>
      <c r="X196" s="112"/>
    </row>
    <row r="197" spans="1:24" ht="149.25" customHeight="1" x14ac:dyDescent="0.3">
      <c r="A197" s="112" t="s">
        <v>435</v>
      </c>
      <c r="B197" s="113" t="s">
        <v>129</v>
      </c>
      <c r="C197" s="113" t="s">
        <v>113</v>
      </c>
      <c r="D197" s="214" t="s">
        <v>722</v>
      </c>
      <c r="E197" s="113"/>
      <c r="F197" s="113"/>
      <c r="G197" s="113"/>
      <c r="H197" s="113"/>
      <c r="I197" s="113"/>
      <c r="J197" s="113"/>
      <c r="K197" s="113"/>
      <c r="L197" s="113"/>
      <c r="M197" s="113"/>
      <c r="N197" s="113"/>
      <c r="O197" s="113"/>
      <c r="P197" s="113"/>
      <c r="Q197" s="113"/>
      <c r="R197" s="113"/>
      <c r="S197" s="113"/>
      <c r="T197" s="112" t="s">
        <v>721</v>
      </c>
      <c r="U197" s="196">
        <f>U198</f>
        <v>51764678.990000002</v>
      </c>
      <c r="V197" s="114"/>
      <c r="W197" s="114"/>
      <c r="X197" s="112" t="s">
        <v>435</v>
      </c>
    </row>
    <row r="198" spans="1:24" ht="132.75" customHeight="1" x14ac:dyDescent="0.3">
      <c r="A198" s="112" t="s">
        <v>436</v>
      </c>
      <c r="B198" s="113" t="s">
        <v>129</v>
      </c>
      <c r="C198" s="113" t="s">
        <v>113</v>
      </c>
      <c r="D198" s="214" t="s">
        <v>722</v>
      </c>
      <c r="E198" s="113"/>
      <c r="F198" s="113"/>
      <c r="G198" s="113"/>
      <c r="H198" s="113"/>
      <c r="I198" s="113"/>
      <c r="J198" s="113"/>
      <c r="K198" s="113"/>
      <c r="L198" s="113"/>
      <c r="M198" s="113"/>
      <c r="N198" s="113"/>
      <c r="O198" s="113"/>
      <c r="P198" s="113"/>
      <c r="Q198" s="113"/>
      <c r="R198" s="113"/>
      <c r="S198" s="113" t="s">
        <v>300</v>
      </c>
      <c r="T198" s="146" t="s">
        <v>436</v>
      </c>
      <c r="U198" s="197">
        <f>П5ВЕД!AA371</f>
        <v>51764678.990000002</v>
      </c>
      <c r="V198" s="114"/>
      <c r="W198" s="114"/>
      <c r="X198" s="112" t="s">
        <v>436</v>
      </c>
    </row>
    <row r="199" spans="1:24" ht="114" customHeight="1" x14ac:dyDescent="0.3">
      <c r="A199" s="112" t="s">
        <v>437</v>
      </c>
      <c r="B199" s="113" t="s">
        <v>129</v>
      </c>
      <c r="C199" s="113" t="s">
        <v>113</v>
      </c>
      <c r="D199" s="214" t="s">
        <v>724</v>
      </c>
      <c r="E199" s="113"/>
      <c r="F199" s="113"/>
      <c r="G199" s="113"/>
      <c r="H199" s="113"/>
      <c r="I199" s="113"/>
      <c r="J199" s="113"/>
      <c r="K199" s="113"/>
      <c r="L199" s="113"/>
      <c r="M199" s="113"/>
      <c r="N199" s="113"/>
      <c r="O199" s="113"/>
      <c r="P199" s="113"/>
      <c r="Q199" s="113"/>
      <c r="R199" s="113"/>
      <c r="S199" s="113"/>
      <c r="T199" s="112" t="s">
        <v>723</v>
      </c>
      <c r="U199" s="196">
        <f>U200</f>
        <v>12108495.350000001</v>
      </c>
      <c r="V199" s="114"/>
      <c r="W199" s="114"/>
      <c r="X199" s="112" t="s">
        <v>437</v>
      </c>
    </row>
    <row r="200" spans="1:24" ht="111.75" customHeight="1" thickBot="1" x14ac:dyDescent="0.35">
      <c r="A200" s="112" t="s">
        <v>438</v>
      </c>
      <c r="B200" s="113" t="s">
        <v>129</v>
      </c>
      <c r="C200" s="113" t="s">
        <v>113</v>
      </c>
      <c r="D200" s="214" t="s">
        <v>724</v>
      </c>
      <c r="E200" s="113"/>
      <c r="F200" s="113"/>
      <c r="G200" s="113"/>
      <c r="H200" s="113"/>
      <c r="I200" s="113"/>
      <c r="J200" s="113"/>
      <c r="K200" s="113"/>
      <c r="L200" s="113"/>
      <c r="M200" s="113"/>
      <c r="N200" s="113"/>
      <c r="O200" s="113"/>
      <c r="P200" s="113"/>
      <c r="Q200" s="113"/>
      <c r="R200" s="113"/>
      <c r="S200" s="113" t="s">
        <v>300</v>
      </c>
      <c r="T200" s="146" t="s">
        <v>438</v>
      </c>
      <c r="U200" s="197">
        <f>П5ВЕД!AA373</f>
        <v>12108495.350000001</v>
      </c>
      <c r="V200" s="114"/>
      <c r="W200" s="114"/>
      <c r="X200" s="112" t="s">
        <v>438</v>
      </c>
    </row>
    <row r="201" spans="1:24" ht="111.75" customHeight="1" thickBot="1" x14ac:dyDescent="0.35">
      <c r="A201" s="112"/>
      <c r="B201" s="113" t="s">
        <v>129</v>
      </c>
      <c r="C201" s="164" t="s">
        <v>113</v>
      </c>
      <c r="D201" s="221" t="s">
        <v>725</v>
      </c>
      <c r="E201" s="164"/>
      <c r="F201" s="164"/>
      <c r="G201" s="164"/>
      <c r="H201" s="164"/>
      <c r="I201" s="164"/>
      <c r="J201" s="164"/>
      <c r="K201" s="164"/>
      <c r="L201" s="164"/>
      <c r="M201" s="164"/>
      <c r="N201" s="164"/>
      <c r="O201" s="164"/>
      <c r="P201" s="164"/>
      <c r="Q201" s="164"/>
      <c r="R201" s="164"/>
      <c r="S201" s="164"/>
      <c r="T201" s="143" t="s">
        <v>537</v>
      </c>
      <c r="U201" s="196">
        <f>U202</f>
        <v>0</v>
      </c>
      <c r="V201" s="114"/>
      <c r="W201" s="114"/>
      <c r="X201" s="112"/>
    </row>
    <row r="202" spans="1:24" ht="111.75" customHeight="1" x14ac:dyDescent="0.3">
      <c r="A202" s="112"/>
      <c r="B202" s="167" t="s">
        <v>129</v>
      </c>
      <c r="C202" s="166" t="s">
        <v>113</v>
      </c>
      <c r="D202" s="218" t="s">
        <v>725</v>
      </c>
      <c r="E202" s="166"/>
      <c r="F202" s="166"/>
      <c r="G202" s="166"/>
      <c r="H202" s="166"/>
      <c r="I202" s="166"/>
      <c r="J202" s="166"/>
      <c r="K202" s="166"/>
      <c r="L202" s="166"/>
      <c r="M202" s="166"/>
      <c r="N202" s="166"/>
      <c r="O202" s="166"/>
      <c r="P202" s="166"/>
      <c r="Q202" s="166"/>
      <c r="R202" s="166"/>
      <c r="S202" s="166" t="s">
        <v>300</v>
      </c>
      <c r="T202" s="226" t="s">
        <v>537</v>
      </c>
      <c r="U202" s="197">
        <f>П5ВЕД!AA375</f>
        <v>0</v>
      </c>
      <c r="V202" s="114"/>
      <c r="W202" s="114"/>
      <c r="X202" s="112"/>
    </row>
    <row r="203" spans="1:24" ht="189.75" customHeight="1" x14ac:dyDescent="0.3">
      <c r="A203" s="119" t="s">
        <v>227</v>
      </c>
      <c r="B203" s="113" t="s">
        <v>129</v>
      </c>
      <c r="C203" s="165" t="s">
        <v>113</v>
      </c>
      <c r="D203" s="217" t="s">
        <v>726</v>
      </c>
      <c r="E203" s="165"/>
      <c r="F203" s="165"/>
      <c r="G203" s="165"/>
      <c r="H203" s="165"/>
      <c r="I203" s="165"/>
      <c r="J203" s="165"/>
      <c r="K203" s="165"/>
      <c r="L203" s="165"/>
      <c r="M203" s="165"/>
      <c r="N203" s="165"/>
      <c r="O203" s="165"/>
      <c r="P203" s="165"/>
      <c r="Q203" s="165"/>
      <c r="R203" s="165"/>
      <c r="S203" s="165"/>
      <c r="T203" s="136" t="s">
        <v>227</v>
      </c>
      <c r="U203" s="196">
        <f>U204</f>
        <v>41578579.039999999</v>
      </c>
      <c r="V203" s="114"/>
      <c r="W203" s="114"/>
      <c r="X203" s="119" t="s">
        <v>227</v>
      </c>
    </row>
    <row r="204" spans="1:24" ht="245.25" customHeight="1" x14ac:dyDescent="0.3">
      <c r="A204" s="119" t="s">
        <v>439</v>
      </c>
      <c r="B204" s="227" t="s">
        <v>129</v>
      </c>
      <c r="C204" s="227" t="s">
        <v>113</v>
      </c>
      <c r="D204" s="228" t="s">
        <v>726</v>
      </c>
      <c r="E204" s="227"/>
      <c r="F204" s="227"/>
      <c r="G204" s="227"/>
      <c r="H204" s="227"/>
      <c r="I204" s="227"/>
      <c r="J204" s="227"/>
      <c r="K204" s="227"/>
      <c r="L204" s="227"/>
      <c r="M204" s="227"/>
      <c r="N204" s="227"/>
      <c r="O204" s="227"/>
      <c r="P204" s="227"/>
      <c r="Q204" s="227"/>
      <c r="R204" s="227"/>
      <c r="S204" s="227" t="s">
        <v>300</v>
      </c>
      <c r="T204" s="229" t="s">
        <v>439</v>
      </c>
      <c r="U204" s="230">
        <f>П5ВЕД!AA377</f>
        <v>41578579.039999999</v>
      </c>
      <c r="V204" s="114"/>
      <c r="W204" s="114"/>
      <c r="X204" s="119" t="s">
        <v>439</v>
      </c>
    </row>
    <row r="205" spans="1:24" ht="46.5" customHeight="1" x14ac:dyDescent="0.3">
      <c r="A205" s="259"/>
      <c r="B205" s="166" t="s">
        <v>129</v>
      </c>
      <c r="C205" s="166" t="s">
        <v>113</v>
      </c>
      <c r="D205" s="216" t="s">
        <v>880</v>
      </c>
      <c r="E205" s="166"/>
      <c r="F205" s="166"/>
      <c r="G205" s="166"/>
      <c r="H205" s="166"/>
      <c r="I205" s="166"/>
      <c r="J205" s="166"/>
      <c r="K205" s="166"/>
      <c r="L205" s="166"/>
      <c r="M205" s="166"/>
      <c r="N205" s="166"/>
      <c r="O205" s="166"/>
      <c r="P205" s="166"/>
      <c r="Q205" s="166"/>
      <c r="R205" s="166"/>
      <c r="S205" s="166"/>
      <c r="T205" s="115" t="s">
        <v>878</v>
      </c>
      <c r="U205" s="262">
        <f>U206</f>
        <v>2009268.45</v>
      </c>
      <c r="V205" s="238"/>
      <c r="W205" s="114"/>
      <c r="X205" s="119"/>
    </row>
    <row r="206" spans="1:24" ht="154.5" customHeight="1" x14ac:dyDescent="0.3">
      <c r="A206" s="259"/>
      <c r="B206" s="166" t="s">
        <v>129</v>
      </c>
      <c r="C206" s="166" t="s">
        <v>113</v>
      </c>
      <c r="D206" s="356" t="s">
        <v>880</v>
      </c>
      <c r="E206" s="166"/>
      <c r="F206" s="166"/>
      <c r="G206" s="166"/>
      <c r="H206" s="166"/>
      <c r="I206" s="166"/>
      <c r="J206" s="166"/>
      <c r="K206" s="166"/>
      <c r="L206" s="166"/>
      <c r="M206" s="166"/>
      <c r="N206" s="166"/>
      <c r="O206" s="166"/>
      <c r="P206" s="166"/>
      <c r="Q206" s="166"/>
      <c r="R206" s="166"/>
      <c r="S206" s="166" t="s">
        <v>355</v>
      </c>
      <c r="T206" s="150" t="s">
        <v>879</v>
      </c>
      <c r="U206" s="262">
        <f>П5ВЕД!AA379</f>
        <v>2009268.45</v>
      </c>
      <c r="V206" s="238"/>
      <c r="W206" s="114"/>
      <c r="X206" s="119"/>
    </row>
    <row r="207" spans="1:24" ht="39.75" customHeight="1" x14ac:dyDescent="0.3">
      <c r="A207" s="259"/>
      <c r="B207" s="166" t="s">
        <v>129</v>
      </c>
      <c r="C207" s="166" t="s">
        <v>113</v>
      </c>
      <c r="D207" s="216" t="s">
        <v>1154</v>
      </c>
      <c r="E207" s="166"/>
      <c r="F207" s="166"/>
      <c r="G207" s="166"/>
      <c r="H207" s="166"/>
      <c r="I207" s="166"/>
      <c r="J207" s="166"/>
      <c r="K207" s="166"/>
      <c r="L207" s="166"/>
      <c r="M207" s="166"/>
      <c r="N207" s="166"/>
      <c r="O207" s="166"/>
      <c r="P207" s="166"/>
      <c r="Q207" s="166"/>
      <c r="R207" s="166"/>
      <c r="S207" s="166"/>
      <c r="T207" s="115" t="s">
        <v>878</v>
      </c>
      <c r="U207" s="262">
        <f>U208</f>
        <v>2957120.27</v>
      </c>
      <c r="V207" s="238"/>
      <c r="W207" s="114"/>
      <c r="X207" s="119"/>
    </row>
    <row r="208" spans="1:24" ht="154.5" customHeight="1" x14ac:dyDescent="0.3">
      <c r="A208" s="259"/>
      <c r="B208" s="166" t="s">
        <v>129</v>
      </c>
      <c r="C208" s="166" t="s">
        <v>113</v>
      </c>
      <c r="D208" s="216" t="s">
        <v>1154</v>
      </c>
      <c r="E208" s="166"/>
      <c r="F208" s="166"/>
      <c r="G208" s="166"/>
      <c r="H208" s="166"/>
      <c r="I208" s="166"/>
      <c r="J208" s="166"/>
      <c r="K208" s="166"/>
      <c r="L208" s="166"/>
      <c r="M208" s="166"/>
      <c r="N208" s="166"/>
      <c r="O208" s="166"/>
      <c r="P208" s="166"/>
      <c r="Q208" s="166"/>
      <c r="R208" s="166"/>
      <c r="S208" s="166" t="s">
        <v>355</v>
      </c>
      <c r="T208" s="150" t="s">
        <v>879</v>
      </c>
      <c r="U208" s="262">
        <f>П5ВЕД!AA380</f>
        <v>2957120.27</v>
      </c>
      <c r="V208" s="238"/>
      <c r="W208" s="114"/>
      <c r="X208" s="119"/>
    </row>
    <row r="209" spans="1:24" ht="18.600000000000001" customHeight="1" x14ac:dyDescent="0.3">
      <c r="A209" s="237" t="s">
        <v>147</v>
      </c>
      <c r="B209" s="244" t="s">
        <v>129</v>
      </c>
      <c r="C209" s="244" t="s">
        <v>123</v>
      </c>
      <c r="D209" s="244"/>
      <c r="E209" s="244"/>
      <c r="F209" s="244"/>
      <c r="G209" s="244"/>
      <c r="H209" s="244"/>
      <c r="I209" s="244"/>
      <c r="J209" s="244"/>
      <c r="K209" s="244"/>
      <c r="L209" s="244"/>
      <c r="M209" s="244"/>
      <c r="N209" s="244"/>
      <c r="O209" s="244"/>
      <c r="P209" s="244"/>
      <c r="Q209" s="244"/>
      <c r="R209" s="244"/>
      <c r="S209" s="244"/>
      <c r="T209" s="172" t="s">
        <v>147</v>
      </c>
      <c r="U209" s="215">
        <f>U210+U212+U214+U216+U218+U220+U222+U225+U227+U229+U236+U238+U240+U244+U242+U232+U234</f>
        <v>275992149.12</v>
      </c>
      <c r="V209" s="238"/>
      <c r="W209" s="114"/>
      <c r="X209" s="112" t="s">
        <v>147</v>
      </c>
    </row>
    <row r="210" spans="1:24" ht="173.25" customHeight="1" x14ac:dyDescent="0.3">
      <c r="A210" s="237" t="s">
        <v>440</v>
      </c>
      <c r="B210" s="244" t="s">
        <v>129</v>
      </c>
      <c r="C210" s="244" t="s">
        <v>123</v>
      </c>
      <c r="D210" s="222" t="s">
        <v>728</v>
      </c>
      <c r="E210" s="244"/>
      <c r="F210" s="244"/>
      <c r="G210" s="244"/>
      <c r="H210" s="244"/>
      <c r="I210" s="244"/>
      <c r="J210" s="244"/>
      <c r="K210" s="244"/>
      <c r="L210" s="244"/>
      <c r="M210" s="244"/>
      <c r="N210" s="244"/>
      <c r="O210" s="244"/>
      <c r="P210" s="244"/>
      <c r="Q210" s="244"/>
      <c r="R210" s="244"/>
      <c r="S210" s="244"/>
      <c r="T210" s="172" t="s">
        <v>727</v>
      </c>
      <c r="U210" s="215">
        <f>U211</f>
        <v>1918991.48</v>
      </c>
      <c r="V210" s="238"/>
      <c r="W210" s="114"/>
      <c r="X210" s="112" t="s">
        <v>440</v>
      </c>
    </row>
    <row r="211" spans="1:24" ht="75.75" customHeight="1" x14ac:dyDescent="0.3">
      <c r="A211" s="112" t="s">
        <v>441</v>
      </c>
      <c r="B211" s="165" t="s">
        <v>129</v>
      </c>
      <c r="C211" s="165" t="s">
        <v>123</v>
      </c>
      <c r="D211" s="217" t="s">
        <v>728</v>
      </c>
      <c r="E211" s="165"/>
      <c r="F211" s="165"/>
      <c r="G211" s="165"/>
      <c r="H211" s="165"/>
      <c r="I211" s="165"/>
      <c r="J211" s="165"/>
      <c r="K211" s="165"/>
      <c r="L211" s="165"/>
      <c r="M211" s="165"/>
      <c r="N211" s="165"/>
      <c r="O211" s="165"/>
      <c r="P211" s="165"/>
      <c r="Q211" s="165"/>
      <c r="R211" s="165"/>
      <c r="S211" s="165" t="s">
        <v>300</v>
      </c>
      <c r="T211" s="260" t="s">
        <v>441</v>
      </c>
      <c r="U211" s="261">
        <f>П5ВЕД!AA384</f>
        <v>1918991.48</v>
      </c>
      <c r="V211" s="114"/>
      <c r="W211" s="114"/>
      <c r="X211" s="112" t="s">
        <v>441</v>
      </c>
    </row>
    <row r="212" spans="1:24" ht="183.75" customHeight="1" x14ac:dyDescent="0.3">
      <c r="A212" s="112" t="s">
        <v>442</v>
      </c>
      <c r="B212" s="113" t="s">
        <v>129</v>
      </c>
      <c r="C212" s="113" t="s">
        <v>123</v>
      </c>
      <c r="D212" s="214" t="s">
        <v>730</v>
      </c>
      <c r="E212" s="113"/>
      <c r="F212" s="113"/>
      <c r="G212" s="113"/>
      <c r="H212" s="113"/>
      <c r="I212" s="113"/>
      <c r="J212" s="113"/>
      <c r="K212" s="113"/>
      <c r="L212" s="113"/>
      <c r="M212" s="113"/>
      <c r="N212" s="113"/>
      <c r="O212" s="113"/>
      <c r="P212" s="113"/>
      <c r="Q212" s="113"/>
      <c r="R212" s="113"/>
      <c r="S212" s="113"/>
      <c r="T212" s="112" t="s">
        <v>729</v>
      </c>
      <c r="U212" s="196">
        <f>U213</f>
        <v>0</v>
      </c>
      <c r="V212" s="114"/>
      <c r="W212" s="114"/>
      <c r="X212" s="112" t="s">
        <v>442</v>
      </c>
    </row>
    <row r="213" spans="1:24" ht="130.35" customHeight="1" x14ac:dyDescent="0.3">
      <c r="A213" s="112" t="s">
        <v>443</v>
      </c>
      <c r="B213" s="113" t="s">
        <v>129</v>
      </c>
      <c r="C213" s="113" t="s">
        <v>123</v>
      </c>
      <c r="D213" s="214" t="s">
        <v>730</v>
      </c>
      <c r="E213" s="113"/>
      <c r="F213" s="113"/>
      <c r="G213" s="113"/>
      <c r="H213" s="113"/>
      <c r="I213" s="113"/>
      <c r="J213" s="113"/>
      <c r="K213" s="113"/>
      <c r="L213" s="113"/>
      <c r="M213" s="113"/>
      <c r="N213" s="113"/>
      <c r="O213" s="113"/>
      <c r="P213" s="113"/>
      <c r="Q213" s="113"/>
      <c r="R213" s="113"/>
      <c r="S213" s="113" t="s">
        <v>300</v>
      </c>
      <c r="T213" s="118" t="s">
        <v>443</v>
      </c>
      <c r="U213" s="197">
        <f>П5ВЕД!AA386</f>
        <v>0</v>
      </c>
      <c r="V213" s="114"/>
      <c r="W213" s="114"/>
      <c r="X213" s="112" t="s">
        <v>443</v>
      </c>
    </row>
    <row r="214" spans="1:24" ht="189.75" customHeight="1" x14ac:dyDescent="0.3">
      <c r="A214" s="112" t="s">
        <v>444</v>
      </c>
      <c r="B214" s="113" t="s">
        <v>129</v>
      </c>
      <c r="C214" s="113" t="s">
        <v>123</v>
      </c>
      <c r="D214" s="214" t="s">
        <v>732</v>
      </c>
      <c r="E214" s="113"/>
      <c r="F214" s="113"/>
      <c r="G214" s="113"/>
      <c r="H214" s="113"/>
      <c r="I214" s="113"/>
      <c r="J214" s="113"/>
      <c r="K214" s="113"/>
      <c r="L214" s="113"/>
      <c r="M214" s="113"/>
      <c r="N214" s="113"/>
      <c r="O214" s="113"/>
      <c r="P214" s="113"/>
      <c r="Q214" s="113"/>
      <c r="R214" s="113"/>
      <c r="S214" s="113"/>
      <c r="T214" s="112" t="s">
        <v>731</v>
      </c>
      <c r="U214" s="196">
        <f>U215</f>
        <v>1050000</v>
      </c>
      <c r="V214" s="114"/>
      <c r="W214" s="114"/>
      <c r="X214" s="112" t="s">
        <v>444</v>
      </c>
    </row>
    <row r="215" spans="1:24" ht="130.35" customHeight="1" x14ac:dyDescent="0.3">
      <c r="A215" s="112" t="s">
        <v>445</v>
      </c>
      <c r="B215" s="113" t="s">
        <v>129</v>
      </c>
      <c r="C215" s="113" t="s">
        <v>123</v>
      </c>
      <c r="D215" s="214" t="s">
        <v>732</v>
      </c>
      <c r="E215" s="113"/>
      <c r="F215" s="113"/>
      <c r="G215" s="113"/>
      <c r="H215" s="113"/>
      <c r="I215" s="113"/>
      <c r="J215" s="113"/>
      <c r="K215" s="113"/>
      <c r="L215" s="113"/>
      <c r="M215" s="113"/>
      <c r="N215" s="113"/>
      <c r="O215" s="113"/>
      <c r="P215" s="113"/>
      <c r="Q215" s="113"/>
      <c r="R215" s="113"/>
      <c r="S215" s="113" t="s">
        <v>300</v>
      </c>
      <c r="T215" s="118" t="s">
        <v>445</v>
      </c>
      <c r="U215" s="197">
        <f>П5ВЕД!AA388</f>
        <v>1050000</v>
      </c>
      <c r="V215" s="114"/>
      <c r="W215" s="114"/>
      <c r="X215" s="112" t="s">
        <v>445</v>
      </c>
    </row>
    <row r="216" spans="1:24" ht="165" customHeight="1" x14ac:dyDescent="0.3">
      <c r="A216" s="112" t="s">
        <v>446</v>
      </c>
      <c r="B216" s="113" t="s">
        <v>129</v>
      </c>
      <c r="C216" s="113" t="s">
        <v>123</v>
      </c>
      <c r="D216" s="214" t="s">
        <v>734</v>
      </c>
      <c r="E216" s="113"/>
      <c r="F216" s="113"/>
      <c r="G216" s="113"/>
      <c r="H216" s="113"/>
      <c r="I216" s="113"/>
      <c r="J216" s="113"/>
      <c r="K216" s="113"/>
      <c r="L216" s="113"/>
      <c r="M216" s="113"/>
      <c r="N216" s="113"/>
      <c r="O216" s="113"/>
      <c r="P216" s="113"/>
      <c r="Q216" s="113"/>
      <c r="R216" s="113"/>
      <c r="S216" s="113"/>
      <c r="T216" s="112" t="s">
        <v>733</v>
      </c>
      <c r="U216" s="196">
        <f>U217</f>
        <v>83857600.170000002</v>
      </c>
      <c r="V216" s="114"/>
      <c r="W216" s="114"/>
      <c r="X216" s="112" t="s">
        <v>446</v>
      </c>
    </row>
    <row r="217" spans="1:24" ht="130.5" customHeight="1" x14ac:dyDescent="0.3">
      <c r="A217" s="112" t="s">
        <v>447</v>
      </c>
      <c r="B217" s="113" t="s">
        <v>129</v>
      </c>
      <c r="C217" s="113" t="s">
        <v>123</v>
      </c>
      <c r="D217" s="214" t="s">
        <v>734</v>
      </c>
      <c r="E217" s="113"/>
      <c r="F217" s="113"/>
      <c r="G217" s="113"/>
      <c r="H217" s="113"/>
      <c r="I217" s="113"/>
      <c r="J217" s="113"/>
      <c r="K217" s="113"/>
      <c r="L217" s="113"/>
      <c r="M217" s="113"/>
      <c r="N217" s="113"/>
      <c r="O217" s="113"/>
      <c r="P217" s="113"/>
      <c r="Q217" s="113"/>
      <c r="R217" s="113"/>
      <c r="S217" s="113" t="s">
        <v>300</v>
      </c>
      <c r="T217" s="146" t="s">
        <v>447</v>
      </c>
      <c r="U217" s="197">
        <f>П5ВЕД!AA390</f>
        <v>83857600.170000002</v>
      </c>
      <c r="V217" s="114"/>
      <c r="W217" s="114"/>
      <c r="X217" s="112" t="s">
        <v>447</v>
      </c>
    </row>
    <row r="218" spans="1:24" ht="172.5" customHeight="1" x14ac:dyDescent="0.3">
      <c r="A218" s="112" t="s">
        <v>501</v>
      </c>
      <c r="B218" s="113" t="s">
        <v>129</v>
      </c>
      <c r="C218" s="113" t="s">
        <v>123</v>
      </c>
      <c r="D218" s="214" t="s">
        <v>770</v>
      </c>
      <c r="E218" s="113"/>
      <c r="F218" s="113"/>
      <c r="G218" s="113"/>
      <c r="H218" s="113"/>
      <c r="I218" s="113"/>
      <c r="J218" s="113"/>
      <c r="K218" s="113"/>
      <c r="L218" s="113"/>
      <c r="M218" s="113"/>
      <c r="N218" s="113"/>
      <c r="O218" s="113"/>
      <c r="P218" s="113"/>
      <c r="Q218" s="113"/>
      <c r="R218" s="113"/>
      <c r="S218" s="113"/>
      <c r="T218" s="112" t="s">
        <v>769</v>
      </c>
      <c r="U218" s="196">
        <f>U219</f>
        <v>5036834.5599999996</v>
      </c>
      <c r="V218" s="114"/>
      <c r="W218" s="114"/>
      <c r="X218" s="112" t="s">
        <v>501</v>
      </c>
    </row>
    <row r="219" spans="1:24" ht="148.9" customHeight="1" x14ac:dyDescent="0.3">
      <c r="A219" s="112" t="s">
        <v>502</v>
      </c>
      <c r="B219" s="113" t="s">
        <v>129</v>
      </c>
      <c r="C219" s="113" t="s">
        <v>123</v>
      </c>
      <c r="D219" s="214" t="s">
        <v>770</v>
      </c>
      <c r="E219" s="113"/>
      <c r="F219" s="113"/>
      <c r="G219" s="113"/>
      <c r="H219" s="113"/>
      <c r="I219" s="113"/>
      <c r="J219" s="113"/>
      <c r="K219" s="113"/>
      <c r="L219" s="113"/>
      <c r="M219" s="113"/>
      <c r="N219" s="113"/>
      <c r="O219" s="113"/>
      <c r="P219" s="113"/>
      <c r="Q219" s="113"/>
      <c r="R219" s="113"/>
      <c r="S219" s="113" t="s">
        <v>300</v>
      </c>
      <c r="T219" s="118" t="s">
        <v>502</v>
      </c>
      <c r="U219" s="197">
        <f>П5ВЕД!AA475</f>
        <v>5036834.5599999996</v>
      </c>
      <c r="V219" s="114"/>
      <c r="W219" s="114"/>
      <c r="X219" s="112" t="s">
        <v>502</v>
      </c>
    </row>
    <row r="220" spans="1:24" ht="147" customHeight="1" x14ac:dyDescent="0.3">
      <c r="A220" s="112" t="s">
        <v>448</v>
      </c>
      <c r="B220" s="113" t="s">
        <v>129</v>
      </c>
      <c r="C220" s="113" t="s">
        <v>123</v>
      </c>
      <c r="D220" s="214" t="s">
        <v>736</v>
      </c>
      <c r="E220" s="113"/>
      <c r="F220" s="113"/>
      <c r="G220" s="113"/>
      <c r="H220" s="113"/>
      <c r="I220" s="113"/>
      <c r="J220" s="113"/>
      <c r="K220" s="113"/>
      <c r="L220" s="113"/>
      <c r="M220" s="113"/>
      <c r="N220" s="113"/>
      <c r="O220" s="113"/>
      <c r="P220" s="113"/>
      <c r="Q220" s="113"/>
      <c r="R220" s="113"/>
      <c r="S220" s="113"/>
      <c r="T220" s="112" t="s">
        <v>735</v>
      </c>
      <c r="U220" s="196">
        <f>U221</f>
        <v>5378814.6899999995</v>
      </c>
      <c r="V220" s="114"/>
      <c r="W220" s="114"/>
      <c r="X220" s="112" t="s">
        <v>448</v>
      </c>
    </row>
    <row r="221" spans="1:24" ht="148.9" customHeight="1" x14ac:dyDescent="0.3">
      <c r="A221" s="112" t="s">
        <v>449</v>
      </c>
      <c r="B221" s="113" t="s">
        <v>129</v>
      </c>
      <c r="C221" s="113" t="s">
        <v>123</v>
      </c>
      <c r="D221" s="214" t="s">
        <v>736</v>
      </c>
      <c r="E221" s="113"/>
      <c r="F221" s="113"/>
      <c r="G221" s="113"/>
      <c r="H221" s="113"/>
      <c r="I221" s="113"/>
      <c r="J221" s="113"/>
      <c r="K221" s="113"/>
      <c r="L221" s="113"/>
      <c r="M221" s="113"/>
      <c r="N221" s="113"/>
      <c r="O221" s="113"/>
      <c r="P221" s="113"/>
      <c r="Q221" s="113"/>
      <c r="R221" s="113"/>
      <c r="S221" s="113" t="s">
        <v>300</v>
      </c>
      <c r="T221" s="118" t="s">
        <v>449</v>
      </c>
      <c r="U221" s="197">
        <f>П5ВЕД!AA392</f>
        <v>5378814.6899999995</v>
      </c>
      <c r="V221" s="114"/>
      <c r="W221" s="114"/>
      <c r="X221" s="112" t="s">
        <v>449</v>
      </c>
    </row>
    <row r="222" spans="1:24" ht="113.25" customHeight="1" x14ac:dyDescent="0.3">
      <c r="A222" s="112" t="s">
        <v>370</v>
      </c>
      <c r="B222" s="113" t="s">
        <v>129</v>
      </c>
      <c r="C222" s="113" t="s">
        <v>123</v>
      </c>
      <c r="D222" s="214" t="s">
        <v>672</v>
      </c>
      <c r="E222" s="113"/>
      <c r="F222" s="113"/>
      <c r="G222" s="113"/>
      <c r="H222" s="113"/>
      <c r="I222" s="113"/>
      <c r="J222" s="113"/>
      <c r="K222" s="113"/>
      <c r="L222" s="113"/>
      <c r="M222" s="113"/>
      <c r="N222" s="113"/>
      <c r="O222" s="113"/>
      <c r="P222" s="113"/>
      <c r="Q222" s="113"/>
      <c r="R222" s="113"/>
      <c r="S222" s="113"/>
      <c r="T222" s="112" t="s">
        <v>671</v>
      </c>
      <c r="U222" s="196">
        <f>U223+U224</f>
        <v>20342714.649999999</v>
      </c>
      <c r="V222" s="114"/>
      <c r="W222" s="114"/>
      <c r="X222" s="112" t="s">
        <v>370</v>
      </c>
    </row>
    <row r="223" spans="1:24" ht="66.75" customHeight="1" x14ac:dyDescent="0.3">
      <c r="A223" s="112" t="s">
        <v>371</v>
      </c>
      <c r="B223" s="113" t="s">
        <v>129</v>
      </c>
      <c r="C223" s="113" t="s">
        <v>123</v>
      </c>
      <c r="D223" s="214" t="s">
        <v>672</v>
      </c>
      <c r="E223" s="113"/>
      <c r="F223" s="113"/>
      <c r="G223" s="113"/>
      <c r="H223" s="113"/>
      <c r="I223" s="113"/>
      <c r="J223" s="113"/>
      <c r="K223" s="113"/>
      <c r="L223" s="113"/>
      <c r="M223" s="113"/>
      <c r="N223" s="113"/>
      <c r="O223" s="113"/>
      <c r="P223" s="113"/>
      <c r="Q223" s="113"/>
      <c r="R223" s="113"/>
      <c r="S223" s="113" t="s">
        <v>281</v>
      </c>
      <c r="T223" s="146" t="s">
        <v>371</v>
      </c>
      <c r="U223" s="197">
        <f>П5ВЕД!AA171</f>
        <v>8000000</v>
      </c>
      <c r="V223" s="114"/>
      <c r="W223" s="114"/>
      <c r="X223" s="112" t="s">
        <v>371</v>
      </c>
    </row>
    <row r="224" spans="1:24" ht="111.75" customHeight="1" x14ac:dyDescent="0.3">
      <c r="A224" s="112" t="s">
        <v>450</v>
      </c>
      <c r="B224" s="113" t="s">
        <v>129</v>
      </c>
      <c r="C224" s="113" t="s">
        <v>123</v>
      </c>
      <c r="D224" s="214" t="s">
        <v>672</v>
      </c>
      <c r="E224" s="113"/>
      <c r="F224" s="113"/>
      <c r="G224" s="113"/>
      <c r="H224" s="113"/>
      <c r="I224" s="113"/>
      <c r="J224" s="113"/>
      <c r="K224" s="113"/>
      <c r="L224" s="113"/>
      <c r="M224" s="113"/>
      <c r="N224" s="113"/>
      <c r="O224" s="113"/>
      <c r="P224" s="113"/>
      <c r="Q224" s="113"/>
      <c r="R224" s="113"/>
      <c r="S224" s="113" t="s">
        <v>300</v>
      </c>
      <c r="T224" s="112" t="s">
        <v>450</v>
      </c>
      <c r="U224" s="197">
        <f>П5ВЕД!AA394</f>
        <v>12342714.649999999</v>
      </c>
      <c r="V224" s="114"/>
      <c r="W224" s="114"/>
      <c r="X224" s="112" t="s">
        <v>450</v>
      </c>
    </row>
    <row r="225" spans="1:24" ht="120" customHeight="1" x14ac:dyDescent="0.3">
      <c r="A225" s="112" t="s">
        <v>451</v>
      </c>
      <c r="B225" s="113" t="s">
        <v>129</v>
      </c>
      <c r="C225" s="113" t="s">
        <v>123</v>
      </c>
      <c r="D225" s="214" t="s">
        <v>738</v>
      </c>
      <c r="E225" s="113"/>
      <c r="F225" s="113"/>
      <c r="G225" s="113"/>
      <c r="H225" s="113"/>
      <c r="I225" s="113"/>
      <c r="J225" s="113"/>
      <c r="K225" s="113"/>
      <c r="L225" s="113"/>
      <c r="M225" s="113"/>
      <c r="N225" s="113"/>
      <c r="O225" s="113"/>
      <c r="P225" s="113"/>
      <c r="Q225" s="113"/>
      <c r="R225" s="113"/>
      <c r="S225" s="113"/>
      <c r="T225" s="112" t="s">
        <v>737</v>
      </c>
      <c r="U225" s="196">
        <f>U226</f>
        <v>467984</v>
      </c>
      <c r="V225" s="114"/>
      <c r="W225" s="114"/>
      <c r="X225" s="112" t="s">
        <v>451</v>
      </c>
    </row>
    <row r="226" spans="1:24" ht="93" customHeight="1" x14ac:dyDescent="0.3">
      <c r="A226" s="112" t="s">
        <v>452</v>
      </c>
      <c r="B226" s="113" t="s">
        <v>129</v>
      </c>
      <c r="C226" s="113" t="s">
        <v>123</v>
      </c>
      <c r="D226" s="214" t="s">
        <v>738</v>
      </c>
      <c r="E226" s="113"/>
      <c r="F226" s="113"/>
      <c r="G226" s="113"/>
      <c r="H226" s="113"/>
      <c r="I226" s="113"/>
      <c r="J226" s="113"/>
      <c r="K226" s="113"/>
      <c r="L226" s="113"/>
      <c r="M226" s="113"/>
      <c r="N226" s="113"/>
      <c r="O226" s="113"/>
      <c r="P226" s="113"/>
      <c r="Q226" s="113"/>
      <c r="R226" s="113"/>
      <c r="S226" s="113" t="s">
        <v>300</v>
      </c>
      <c r="T226" s="118" t="s">
        <v>452</v>
      </c>
      <c r="U226" s="197">
        <f>П5ВЕД!AA396</f>
        <v>467984</v>
      </c>
      <c r="V226" s="114"/>
      <c r="W226" s="114"/>
      <c r="X226" s="112" t="s">
        <v>452</v>
      </c>
    </row>
    <row r="227" spans="1:24" ht="167.25" customHeight="1" x14ac:dyDescent="0.3">
      <c r="A227" s="112" t="s">
        <v>453</v>
      </c>
      <c r="B227" s="113" t="s">
        <v>129</v>
      </c>
      <c r="C227" s="113" t="s">
        <v>123</v>
      </c>
      <c r="D227" s="214" t="s">
        <v>740</v>
      </c>
      <c r="E227" s="113"/>
      <c r="F227" s="113"/>
      <c r="G227" s="113"/>
      <c r="H227" s="113"/>
      <c r="I227" s="113"/>
      <c r="J227" s="113"/>
      <c r="K227" s="113"/>
      <c r="L227" s="113"/>
      <c r="M227" s="113"/>
      <c r="N227" s="113"/>
      <c r="O227" s="113"/>
      <c r="P227" s="113"/>
      <c r="Q227" s="113"/>
      <c r="R227" s="113"/>
      <c r="S227" s="113"/>
      <c r="T227" s="112" t="s">
        <v>739</v>
      </c>
      <c r="U227" s="196">
        <f>U228</f>
        <v>50000</v>
      </c>
      <c r="V227" s="114"/>
      <c r="W227" s="114"/>
      <c r="X227" s="112" t="s">
        <v>453</v>
      </c>
    </row>
    <row r="228" spans="1:24" ht="150" customHeight="1" x14ac:dyDescent="0.3">
      <c r="A228" s="112" t="s">
        <v>454</v>
      </c>
      <c r="B228" s="113" t="s">
        <v>129</v>
      </c>
      <c r="C228" s="113" t="s">
        <v>123</v>
      </c>
      <c r="D228" s="214" t="s">
        <v>740</v>
      </c>
      <c r="E228" s="113"/>
      <c r="F228" s="113"/>
      <c r="G228" s="113"/>
      <c r="H228" s="113"/>
      <c r="I228" s="113"/>
      <c r="J228" s="113"/>
      <c r="K228" s="113"/>
      <c r="L228" s="113"/>
      <c r="M228" s="113"/>
      <c r="N228" s="113"/>
      <c r="O228" s="113"/>
      <c r="P228" s="113"/>
      <c r="Q228" s="113"/>
      <c r="R228" s="113"/>
      <c r="S228" s="113" t="s">
        <v>300</v>
      </c>
      <c r="T228" s="118" t="s">
        <v>454</v>
      </c>
      <c r="U228" s="197">
        <f>П5ВЕД!AA398</f>
        <v>50000</v>
      </c>
      <c r="V228" s="114"/>
      <c r="W228" s="114"/>
      <c r="X228" s="112" t="s">
        <v>454</v>
      </c>
    </row>
    <row r="229" spans="1:24" ht="267.75" customHeight="1" x14ac:dyDescent="0.3">
      <c r="A229" s="119" t="s">
        <v>226</v>
      </c>
      <c r="B229" s="113" t="s">
        <v>129</v>
      </c>
      <c r="C229" s="113" t="s">
        <v>123</v>
      </c>
      <c r="D229" s="214" t="s">
        <v>741</v>
      </c>
      <c r="E229" s="113"/>
      <c r="F229" s="113"/>
      <c r="G229" s="113"/>
      <c r="H229" s="113"/>
      <c r="I229" s="113"/>
      <c r="J229" s="113"/>
      <c r="K229" s="113"/>
      <c r="L229" s="113"/>
      <c r="M229" s="113"/>
      <c r="N229" s="113"/>
      <c r="O229" s="113"/>
      <c r="P229" s="113"/>
      <c r="Q229" s="113"/>
      <c r="R229" s="113"/>
      <c r="S229" s="113"/>
      <c r="T229" s="119" t="s">
        <v>226</v>
      </c>
      <c r="U229" s="196">
        <f>U230+U231</f>
        <v>155831249.56999999</v>
      </c>
      <c r="V229" s="114"/>
      <c r="W229" s="114"/>
      <c r="X229" s="119" t="s">
        <v>226</v>
      </c>
    </row>
    <row r="230" spans="1:24" ht="91.5" customHeight="1" x14ac:dyDescent="0.3">
      <c r="A230" s="119"/>
      <c r="B230" s="113" t="s">
        <v>129</v>
      </c>
      <c r="C230" s="113" t="s">
        <v>123</v>
      </c>
      <c r="D230" s="214" t="s">
        <v>741</v>
      </c>
      <c r="E230" s="113"/>
      <c r="F230" s="113"/>
      <c r="G230" s="113"/>
      <c r="H230" s="113"/>
      <c r="I230" s="113"/>
      <c r="J230" s="113"/>
      <c r="K230" s="113"/>
      <c r="L230" s="113"/>
      <c r="M230" s="113"/>
      <c r="N230" s="113"/>
      <c r="O230" s="113"/>
      <c r="P230" s="113"/>
      <c r="Q230" s="113"/>
      <c r="R230" s="113"/>
      <c r="S230" s="113" t="s">
        <v>281</v>
      </c>
      <c r="T230" s="147" t="s">
        <v>422</v>
      </c>
      <c r="U230" s="196">
        <f>П5ВЕД!AA400</f>
        <v>0</v>
      </c>
      <c r="V230" s="114"/>
      <c r="W230" s="114"/>
      <c r="X230" s="119"/>
    </row>
    <row r="231" spans="1:24" ht="318.75" customHeight="1" x14ac:dyDescent="0.3">
      <c r="A231" s="119" t="s">
        <v>455</v>
      </c>
      <c r="B231" s="113" t="s">
        <v>129</v>
      </c>
      <c r="C231" s="113" t="s">
        <v>123</v>
      </c>
      <c r="D231" s="214" t="s">
        <v>741</v>
      </c>
      <c r="E231" s="113"/>
      <c r="F231" s="113"/>
      <c r="G231" s="113"/>
      <c r="H231" s="113"/>
      <c r="I231" s="113"/>
      <c r="J231" s="113"/>
      <c r="K231" s="113"/>
      <c r="L231" s="113"/>
      <c r="M231" s="113"/>
      <c r="N231" s="113"/>
      <c r="O231" s="113"/>
      <c r="P231" s="113"/>
      <c r="Q231" s="113"/>
      <c r="R231" s="113"/>
      <c r="S231" s="113" t="s">
        <v>300</v>
      </c>
      <c r="T231" s="119" t="s">
        <v>455</v>
      </c>
      <c r="U231" s="197">
        <f>П5ВЕД!AA401</f>
        <v>155831249.56999999</v>
      </c>
      <c r="V231" s="114"/>
      <c r="W231" s="114"/>
      <c r="X231" s="119" t="s">
        <v>455</v>
      </c>
    </row>
    <row r="232" spans="1:24" s="291" customFormat="1" ht="78.75" x14ac:dyDescent="0.3">
      <c r="A232" s="144"/>
      <c r="B232" s="148" t="s">
        <v>129</v>
      </c>
      <c r="C232" s="148" t="s">
        <v>123</v>
      </c>
      <c r="D232" s="216" t="s">
        <v>980</v>
      </c>
      <c r="E232" s="148"/>
      <c r="F232" s="148"/>
      <c r="G232" s="148"/>
      <c r="H232" s="148"/>
      <c r="I232" s="148"/>
      <c r="J232" s="148"/>
      <c r="K232" s="148"/>
      <c r="L232" s="148"/>
      <c r="M232" s="148"/>
      <c r="N232" s="148"/>
      <c r="O232" s="148"/>
      <c r="P232" s="148"/>
      <c r="Q232" s="148"/>
      <c r="R232" s="148"/>
      <c r="S232" s="148"/>
      <c r="T232" s="152" t="s">
        <v>982</v>
      </c>
      <c r="U232" s="225">
        <f>U233</f>
        <v>1064000</v>
      </c>
      <c r="V232" s="145"/>
      <c r="W232" s="145"/>
      <c r="X232" s="144"/>
    </row>
    <row r="233" spans="1:24" s="291" customFormat="1" ht="283.5" x14ac:dyDescent="0.3">
      <c r="A233" s="144"/>
      <c r="B233" s="148" t="s">
        <v>129</v>
      </c>
      <c r="C233" s="148" t="s">
        <v>123</v>
      </c>
      <c r="D233" s="216" t="s">
        <v>980</v>
      </c>
      <c r="E233" s="148"/>
      <c r="F233" s="148"/>
      <c r="G233" s="148"/>
      <c r="H233" s="148"/>
      <c r="I233" s="148"/>
      <c r="J233" s="148"/>
      <c r="K233" s="148"/>
      <c r="L233" s="148"/>
      <c r="M233" s="148"/>
      <c r="N233" s="148"/>
      <c r="O233" s="148"/>
      <c r="P233" s="148"/>
      <c r="Q233" s="148"/>
      <c r="R233" s="148"/>
      <c r="S233" s="148" t="s">
        <v>300</v>
      </c>
      <c r="T233" s="152" t="s">
        <v>455</v>
      </c>
      <c r="U233" s="225">
        <v>1064000</v>
      </c>
      <c r="V233" s="145"/>
      <c r="W233" s="145"/>
      <c r="X233" s="144"/>
    </row>
    <row r="234" spans="1:24" s="291" customFormat="1" ht="78.75" x14ac:dyDescent="0.3">
      <c r="A234" s="144"/>
      <c r="B234" s="148" t="s">
        <v>129</v>
      </c>
      <c r="C234" s="148" t="s">
        <v>123</v>
      </c>
      <c r="D234" s="216" t="s">
        <v>981</v>
      </c>
      <c r="E234" s="148"/>
      <c r="F234" s="148"/>
      <c r="G234" s="148"/>
      <c r="H234" s="148"/>
      <c r="I234" s="148"/>
      <c r="J234" s="148"/>
      <c r="K234" s="148"/>
      <c r="L234" s="148"/>
      <c r="M234" s="148"/>
      <c r="N234" s="148"/>
      <c r="O234" s="148"/>
      <c r="P234" s="148"/>
      <c r="Q234" s="148"/>
      <c r="R234" s="148"/>
      <c r="S234" s="148"/>
      <c r="T234" s="152" t="s">
        <v>982</v>
      </c>
      <c r="U234" s="225">
        <f>U235</f>
        <v>456000</v>
      </c>
      <c r="V234" s="145"/>
      <c r="W234" s="145"/>
      <c r="X234" s="144"/>
    </row>
    <row r="235" spans="1:24" s="291" customFormat="1" ht="283.5" x14ac:dyDescent="0.3">
      <c r="A235" s="144"/>
      <c r="B235" s="148" t="s">
        <v>129</v>
      </c>
      <c r="C235" s="148" t="s">
        <v>123</v>
      </c>
      <c r="D235" s="216" t="s">
        <v>981</v>
      </c>
      <c r="E235" s="148"/>
      <c r="F235" s="148"/>
      <c r="G235" s="148"/>
      <c r="H235" s="148"/>
      <c r="I235" s="148"/>
      <c r="J235" s="148"/>
      <c r="K235" s="148"/>
      <c r="L235" s="148"/>
      <c r="M235" s="148"/>
      <c r="N235" s="148"/>
      <c r="O235" s="148"/>
      <c r="P235" s="148"/>
      <c r="Q235" s="148"/>
      <c r="R235" s="148"/>
      <c r="S235" s="148" t="s">
        <v>300</v>
      </c>
      <c r="T235" s="152" t="s">
        <v>455</v>
      </c>
      <c r="U235" s="225">
        <v>456000</v>
      </c>
      <c r="V235" s="145"/>
      <c r="W235" s="145"/>
      <c r="X235" s="144"/>
    </row>
    <row r="236" spans="1:24" ht="125.25" customHeight="1" x14ac:dyDescent="0.3">
      <c r="A236" s="112" t="s">
        <v>456</v>
      </c>
      <c r="B236" s="113" t="s">
        <v>129</v>
      </c>
      <c r="C236" s="113" t="s">
        <v>123</v>
      </c>
      <c r="D236" s="214" t="s">
        <v>743</v>
      </c>
      <c r="E236" s="113"/>
      <c r="F236" s="113"/>
      <c r="G236" s="113"/>
      <c r="H236" s="113"/>
      <c r="I236" s="113"/>
      <c r="J236" s="113"/>
      <c r="K236" s="113"/>
      <c r="L236" s="113"/>
      <c r="M236" s="113"/>
      <c r="N236" s="113"/>
      <c r="O236" s="113"/>
      <c r="P236" s="113"/>
      <c r="Q236" s="113"/>
      <c r="R236" s="113"/>
      <c r="S236" s="113"/>
      <c r="T236" s="112" t="s">
        <v>742</v>
      </c>
      <c r="U236" s="196">
        <f>U237</f>
        <v>79746.58</v>
      </c>
      <c r="V236" s="114"/>
      <c r="W236" s="114"/>
      <c r="X236" s="112" t="s">
        <v>456</v>
      </c>
    </row>
    <row r="237" spans="1:24" ht="93" customHeight="1" x14ac:dyDescent="0.3">
      <c r="A237" s="112" t="s">
        <v>457</v>
      </c>
      <c r="B237" s="113" t="s">
        <v>129</v>
      </c>
      <c r="C237" s="113" t="s">
        <v>123</v>
      </c>
      <c r="D237" s="214" t="s">
        <v>743</v>
      </c>
      <c r="E237" s="113"/>
      <c r="F237" s="113"/>
      <c r="G237" s="113"/>
      <c r="H237" s="113"/>
      <c r="I237" s="113"/>
      <c r="J237" s="113"/>
      <c r="K237" s="113"/>
      <c r="L237" s="113"/>
      <c r="M237" s="113"/>
      <c r="N237" s="113"/>
      <c r="O237" s="113"/>
      <c r="P237" s="113"/>
      <c r="Q237" s="113"/>
      <c r="R237" s="113"/>
      <c r="S237" s="113" t="s">
        <v>300</v>
      </c>
      <c r="T237" s="118" t="s">
        <v>457</v>
      </c>
      <c r="U237" s="197">
        <f>П5ВЕД!AA407</f>
        <v>79746.58</v>
      </c>
      <c r="V237" s="114"/>
      <c r="W237" s="114"/>
      <c r="X237" s="112" t="s">
        <v>457</v>
      </c>
    </row>
    <row r="238" spans="1:24" ht="118.5" customHeight="1" x14ac:dyDescent="0.3">
      <c r="A238" s="112" t="s">
        <v>458</v>
      </c>
      <c r="B238" s="113" t="s">
        <v>129</v>
      </c>
      <c r="C238" s="113" t="s">
        <v>123</v>
      </c>
      <c r="D238" s="214" t="s">
        <v>745</v>
      </c>
      <c r="E238" s="113"/>
      <c r="F238" s="113"/>
      <c r="G238" s="113"/>
      <c r="H238" s="113"/>
      <c r="I238" s="113"/>
      <c r="J238" s="113"/>
      <c r="K238" s="113"/>
      <c r="L238" s="113"/>
      <c r="M238" s="113"/>
      <c r="N238" s="113"/>
      <c r="O238" s="113"/>
      <c r="P238" s="113"/>
      <c r="Q238" s="113"/>
      <c r="R238" s="113"/>
      <c r="S238" s="113"/>
      <c r="T238" s="112" t="s">
        <v>744</v>
      </c>
      <c r="U238" s="196">
        <f>U239</f>
        <v>49853.42</v>
      </c>
      <c r="V238" s="114"/>
      <c r="W238" s="114"/>
      <c r="X238" s="112" t="s">
        <v>458</v>
      </c>
    </row>
    <row r="239" spans="1:24" ht="90.75" customHeight="1" x14ac:dyDescent="0.3">
      <c r="A239" s="112" t="s">
        <v>459</v>
      </c>
      <c r="B239" s="113" t="s">
        <v>129</v>
      </c>
      <c r="C239" s="113" t="s">
        <v>123</v>
      </c>
      <c r="D239" s="214" t="s">
        <v>745</v>
      </c>
      <c r="E239" s="113"/>
      <c r="F239" s="113"/>
      <c r="G239" s="113"/>
      <c r="H239" s="113"/>
      <c r="I239" s="113"/>
      <c r="J239" s="113"/>
      <c r="K239" s="113"/>
      <c r="L239" s="113"/>
      <c r="M239" s="113"/>
      <c r="N239" s="113"/>
      <c r="O239" s="113"/>
      <c r="P239" s="113"/>
      <c r="Q239" s="113"/>
      <c r="R239" s="113"/>
      <c r="S239" s="113" t="s">
        <v>300</v>
      </c>
      <c r="T239" s="118" t="s">
        <v>459</v>
      </c>
      <c r="U239" s="197">
        <f>П5ВЕД!AA409</f>
        <v>49853.42</v>
      </c>
      <c r="V239" s="114"/>
      <c r="W239" s="114"/>
      <c r="X239" s="112" t="s">
        <v>459</v>
      </c>
    </row>
    <row r="240" spans="1:24" ht="135.75" customHeight="1" x14ac:dyDescent="0.3">
      <c r="A240" s="112" t="s">
        <v>460</v>
      </c>
      <c r="B240" s="113" t="s">
        <v>129</v>
      </c>
      <c r="C240" s="113" t="s">
        <v>123</v>
      </c>
      <c r="D240" s="214" t="s">
        <v>747</v>
      </c>
      <c r="E240" s="113"/>
      <c r="F240" s="113"/>
      <c r="G240" s="113"/>
      <c r="H240" s="113"/>
      <c r="I240" s="113"/>
      <c r="J240" s="113"/>
      <c r="K240" s="113"/>
      <c r="L240" s="113"/>
      <c r="M240" s="113"/>
      <c r="N240" s="113"/>
      <c r="O240" s="113"/>
      <c r="P240" s="113"/>
      <c r="Q240" s="113"/>
      <c r="R240" s="113"/>
      <c r="S240" s="113"/>
      <c r="T240" s="112" t="s">
        <v>746</v>
      </c>
      <c r="U240" s="196">
        <f>U241</f>
        <v>20000</v>
      </c>
      <c r="V240" s="114"/>
      <c r="W240" s="114"/>
      <c r="X240" s="112" t="s">
        <v>460</v>
      </c>
    </row>
    <row r="241" spans="1:24" ht="111.75" customHeight="1" thickBot="1" x14ac:dyDescent="0.35">
      <c r="A241" s="112" t="s">
        <v>461</v>
      </c>
      <c r="B241" s="113" t="s">
        <v>129</v>
      </c>
      <c r="C241" s="113" t="s">
        <v>123</v>
      </c>
      <c r="D241" s="214" t="s">
        <v>747</v>
      </c>
      <c r="E241" s="113"/>
      <c r="F241" s="113"/>
      <c r="G241" s="113"/>
      <c r="H241" s="113"/>
      <c r="I241" s="113"/>
      <c r="J241" s="113"/>
      <c r="K241" s="113"/>
      <c r="L241" s="113"/>
      <c r="M241" s="113"/>
      <c r="N241" s="113"/>
      <c r="O241" s="113"/>
      <c r="P241" s="113"/>
      <c r="Q241" s="113"/>
      <c r="R241" s="113"/>
      <c r="S241" s="113" t="s">
        <v>300</v>
      </c>
      <c r="T241" s="118" t="s">
        <v>461</v>
      </c>
      <c r="U241" s="197">
        <f>П5ВЕД!AA411</f>
        <v>20000</v>
      </c>
      <c r="V241" s="114"/>
      <c r="W241" s="114"/>
      <c r="X241" s="112" t="s">
        <v>461</v>
      </c>
    </row>
    <row r="242" spans="1:24" ht="109.5" customHeight="1" thickBot="1" x14ac:dyDescent="0.35">
      <c r="A242" s="112"/>
      <c r="B242" s="113" t="s">
        <v>129</v>
      </c>
      <c r="C242" s="113" t="s">
        <v>123</v>
      </c>
      <c r="D242" s="223" t="s">
        <v>725</v>
      </c>
      <c r="E242" s="113"/>
      <c r="F242" s="113"/>
      <c r="G242" s="113"/>
      <c r="H242" s="113"/>
      <c r="I242" s="113"/>
      <c r="J242" s="113"/>
      <c r="K242" s="113"/>
      <c r="L242" s="113"/>
      <c r="M242" s="113"/>
      <c r="N242" s="113"/>
      <c r="O242" s="113"/>
      <c r="P242" s="113"/>
      <c r="Q242" s="113"/>
      <c r="R242" s="113"/>
      <c r="S242" s="113"/>
      <c r="T242" s="143" t="s">
        <v>537</v>
      </c>
      <c r="U242" s="196">
        <f>U243</f>
        <v>234360</v>
      </c>
      <c r="V242" s="114"/>
      <c r="W242" s="114"/>
      <c r="X242" s="112"/>
    </row>
    <row r="243" spans="1:24" ht="108.75" customHeight="1" x14ac:dyDescent="0.3">
      <c r="A243" s="112"/>
      <c r="B243" s="113" t="s">
        <v>129</v>
      </c>
      <c r="C243" s="113" t="s">
        <v>123</v>
      </c>
      <c r="D243" s="223" t="s">
        <v>725</v>
      </c>
      <c r="E243" s="113"/>
      <c r="F243" s="113"/>
      <c r="G243" s="113"/>
      <c r="H243" s="113"/>
      <c r="I243" s="113"/>
      <c r="J243" s="113"/>
      <c r="K243" s="113"/>
      <c r="L243" s="113"/>
      <c r="M243" s="113"/>
      <c r="N243" s="113"/>
      <c r="O243" s="113"/>
      <c r="P243" s="113"/>
      <c r="Q243" s="113"/>
      <c r="R243" s="113"/>
      <c r="S243" s="113" t="s">
        <v>300</v>
      </c>
      <c r="T243" s="168" t="s">
        <v>537</v>
      </c>
      <c r="U243" s="197">
        <f>П5ВЕД!AA413</f>
        <v>234360</v>
      </c>
      <c r="V243" s="114"/>
      <c r="W243" s="114"/>
      <c r="X243" s="112"/>
    </row>
    <row r="244" spans="1:24" ht="89.25" customHeight="1" x14ac:dyDescent="0.3">
      <c r="A244" s="112" t="s">
        <v>462</v>
      </c>
      <c r="B244" s="113" t="s">
        <v>129</v>
      </c>
      <c r="C244" s="113" t="s">
        <v>123</v>
      </c>
      <c r="D244" s="214" t="s">
        <v>748</v>
      </c>
      <c r="E244" s="113"/>
      <c r="F244" s="113"/>
      <c r="G244" s="113"/>
      <c r="H244" s="113"/>
      <c r="I244" s="113"/>
      <c r="J244" s="113"/>
      <c r="K244" s="113"/>
      <c r="L244" s="113"/>
      <c r="M244" s="113"/>
      <c r="N244" s="113"/>
      <c r="O244" s="113"/>
      <c r="P244" s="113"/>
      <c r="Q244" s="113"/>
      <c r="R244" s="113"/>
      <c r="S244" s="113"/>
      <c r="T244" s="112" t="s">
        <v>462</v>
      </c>
      <c r="U244" s="196">
        <f>U245</f>
        <v>154000</v>
      </c>
      <c r="V244" s="114"/>
      <c r="W244" s="114"/>
      <c r="X244" s="112" t="s">
        <v>462</v>
      </c>
    </row>
    <row r="245" spans="1:24" ht="138.75" customHeight="1" x14ac:dyDescent="0.3">
      <c r="A245" s="112" t="s">
        <v>463</v>
      </c>
      <c r="B245" s="113" t="s">
        <v>129</v>
      </c>
      <c r="C245" s="113" t="s">
        <v>123</v>
      </c>
      <c r="D245" s="214" t="s">
        <v>748</v>
      </c>
      <c r="E245" s="113"/>
      <c r="F245" s="113"/>
      <c r="G245" s="113"/>
      <c r="H245" s="113"/>
      <c r="I245" s="113"/>
      <c r="J245" s="113"/>
      <c r="K245" s="113"/>
      <c r="L245" s="113"/>
      <c r="M245" s="113"/>
      <c r="N245" s="113"/>
      <c r="O245" s="113"/>
      <c r="P245" s="113"/>
      <c r="Q245" s="113"/>
      <c r="R245" s="113"/>
      <c r="S245" s="113" t="s">
        <v>300</v>
      </c>
      <c r="T245" s="112" t="s">
        <v>463</v>
      </c>
      <c r="U245" s="197">
        <f>П5ВЕД!AA415</f>
        <v>154000</v>
      </c>
      <c r="V245" s="114"/>
      <c r="W245" s="114"/>
      <c r="X245" s="112" t="s">
        <v>463</v>
      </c>
    </row>
    <row r="246" spans="1:24" ht="37.15" customHeight="1" x14ac:dyDescent="0.3">
      <c r="A246" s="112" t="s">
        <v>148</v>
      </c>
      <c r="B246" s="113" t="s">
        <v>129</v>
      </c>
      <c r="C246" s="113" t="s">
        <v>129</v>
      </c>
      <c r="D246" s="113"/>
      <c r="E246" s="113"/>
      <c r="F246" s="113"/>
      <c r="G246" s="113"/>
      <c r="H246" s="113"/>
      <c r="I246" s="113"/>
      <c r="J246" s="113"/>
      <c r="K246" s="113"/>
      <c r="L246" s="113"/>
      <c r="M246" s="113"/>
      <c r="N246" s="113"/>
      <c r="O246" s="113"/>
      <c r="P246" s="113"/>
      <c r="Q246" s="113"/>
      <c r="R246" s="113"/>
      <c r="S246" s="113"/>
      <c r="T246" s="112" t="s">
        <v>148</v>
      </c>
      <c r="U246" s="196">
        <f>U247+U249+U251+U255+U258+U260+U262+U253</f>
        <v>4511074.4000000004</v>
      </c>
      <c r="V246" s="114"/>
      <c r="W246" s="114"/>
      <c r="X246" s="112" t="s">
        <v>148</v>
      </c>
    </row>
    <row r="247" spans="1:24" ht="130.5" customHeight="1" x14ac:dyDescent="0.3">
      <c r="A247" s="112" t="s">
        <v>372</v>
      </c>
      <c r="B247" s="113" t="s">
        <v>129</v>
      </c>
      <c r="C247" s="113" t="s">
        <v>129</v>
      </c>
      <c r="D247" s="214" t="s">
        <v>673</v>
      </c>
      <c r="E247" s="113"/>
      <c r="F247" s="113"/>
      <c r="G247" s="113"/>
      <c r="H247" s="113"/>
      <c r="I247" s="113"/>
      <c r="J247" s="113"/>
      <c r="K247" s="113"/>
      <c r="L247" s="113"/>
      <c r="M247" s="113"/>
      <c r="N247" s="113"/>
      <c r="O247" s="113"/>
      <c r="P247" s="113"/>
      <c r="Q247" s="113"/>
      <c r="R247" s="113"/>
      <c r="S247" s="113"/>
      <c r="T247" s="112" t="s">
        <v>674</v>
      </c>
      <c r="U247" s="196">
        <f>U248</f>
        <v>50000</v>
      </c>
      <c r="V247" s="114"/>
      <c r="W247" s="114"/>
      <c r="X247" s="112" t="s">
        <v>372</v>
      </c>
    </row>
    <row r="248" spans="1:24" ht="111.75" customHeight="1" x14ac:dyDescent="0.3">
      <c r="A248" s="112" t="s">
        <v>373</v>
      </c>
      <c r="B248" s="113" t="s">
        <v>129</v>
      </c>
      <c r="C248" s="113" t="s">
        <v>129</v>
      </c>
      <c r="D248" s="214" t="s">
        <v>673</v>
      </c>
      <c r="E248" s="113"/>
      <c r="F248" s="113"/>
      <c r="G248" s="113"/>
      <c r="H248" s="113"/>
      <c r="I248" s="113"/>
      <c r="J248" s="113"/>
      <c r="K248" s="113"/>
      <c r="L248" s="113"/>
      <c r="M248" s="113"/>
      <c r="N248" s="113"/>
      <c r="O248" s="113"/>
      <c r="P248" s="113"/>
      <c r="Q248" s="113"/>
      <c r="R248" s="113"/>
      <c r="S248" s="113" t="s">
        <v>281</v>
      </c>
      <c r="T248" s="118" t="s">
        <v>373</v>
      </c>
      <c r="U248" s="197">
        <f>П5ВЕД!AA174</f>
        <v>50000</v>
      </c>
      <c r="V248" s="114"/>
      <c r="W248" s="114"/>
      <c r="X248" s="112" t="s">
        <v>373</v>
      </c>
    </row>
    <row r="249" spans="1:24" ht="207" customHeight="1" x14ac:dyDescent="0.3">
      <c r="A249" s="112" t="s">
        <v>374</v>
      </c>
      <c r="B249" s="113" t="s">
        <v>129</v>
      </c>
      <c r="C249" s="113" t="s">
        <v>129</v>
      </c>
      <c r="D249" s="214" t="s">
        <v>676</v>
      </c>
      <c r="E249" s="113"/>
      <c r="F249" s="113"/>
      <c r="G249" s="113"/>
      <c r="H249" s="113"/>
      <c r="I249" s="113"/>
      <c r="J249" s="113"/>
      <c r="K249" s="113"/>
      <c r="L249" s="113"/>
      <c r="M249" s="113"/>
      <c r="N249" s="113"/>
      <c r="O249" s="113"/>
      <c r="P249" s="113"/>
      <c r="Q249" s="113"/>
      <c r="R249" s="113"/>
      <c r="S249" s="113"/>
      <c r="T249" s="112" t="s">
        <v>675</v>
      </c>
      <c r="U249" s="196">
        <f>U250</f>
        <v>0</v>
      </c>
      <c r="V249" s="114"/>
      <c r="W249" s="114"/>
      <c r="X249" s="112" t="s">
        <v>374</v>
      </c>
    </row>
    <row r="250" spans="1:24" ht="111.75" customHeight="1" x14ac:dyDescent="0.3">
      <c r="A250" s="112" t="s">
        <v>375</v>
      </c>
      <c r="B250" s="113" t="s">
        <v>129</v>
      </c>
      <c r="C250" s="113" t="s">
        <v>129</v>
      </c>
      <c r="D250" s="214" t="s">
        <v>676</v>
      </c>
      <c r="E250" s="113"/>
      <c r="F250" s="113"/>
      <c r="G250" s="113"/>
      <c r="H250" s="113"/>
      <c r="I250" s="113"/>
      <c r="J250" s="113"/>
      <c r="K250" s="113"/>
      <c r="L250" s="113"/>
      <c r="M250" s="113"/>
      <c r="N250" s="113"/>
      <c r="O250" s="113"/>
      <c r="P250" s="113"/>
      <c r="Q250" s="113"/>
      <c r="R250" s="113"/>
      <c r="S250" s="113" t="s">
        <v>281</v>
      </c>
      <c r="T250" s="118" t="s">
        <v>375</v>
      </c>
      <c r="U250" s="197">
        <f>П5ВЕД!AA176</f>
        <v>0</v>
      </c>
      <c r="V250" s="114"/>
      <c r="W250" s="114"/>
      <c r="X250" s="112" t="s">
        <v>375</v>
      </c>
    </row>
    <row r="251" spans="1:24" ht="180" customHeight="1" x14ac:dyDescent="0.3">
      <c r="A251" s="112" t="s">
        <v>376</v>
      </c>
      <c r="B251" s="113" t="s">
        <v>129</v>
      </c>
      <c r="C251" s="113" t="s">
        <v>129</v>
      </c>
      <c r="D251" s="214" t="s">
        <v>678</v>
      </c>
      <c r="E251" s="113"/>
      <c r="F251" s="113"/>
      <c r="G251" s="113"/>
      <c r="H251" s="113"/>
      <c r="I251" s="113"/>
      <c r="J251" s="113"/>
      <c r="K251" s="113"/>
      <c r="L251" s="113"/>
      <c r="M251" s="113"/>
      <c r="N251" s="113"/>
      <c r="O251" s="113"/>
      <c r="P251" s="113"/>
      <c r="Q251" s="113"/>
      <c r="R251" s="113"/>
      <c r="S251" s="113"/>
      <c r="T251" s="112" t="s">
        <v>677</v>
      </c>
      <c r="U251" s="196">
        <f>U252</f>
        <v>0</v>
      </c>
      <c r="V251" s="114"/>
      <c r="W251" s="114"/>
      <c r="X251" s="112" t="s">
        <v>376</v>
      </c>
    </row>
    <row r="252" spans="1:24" ht="93" customHeight="1" x14ac:dyDescent="0.3">
      <c r="A252" s="112" t="s">
        <v>377</v>
      </c>
      <c r="B252" s="113" t="s">
        <v>129</v>
      </c>
      <c r="C252" s="113" t="s">
        <v>129</v>
      </c>
      <c r="D252" s="214" t="s">
        <v>678</v>
      </c>
      <c r="E252" s="113"/>
      <c r="F252" s="113"/>
      <c r="G252" s="113"/>
      <c r="H252" s="113"/>
      <c r="I252" s="113"/>
      <c r="J252" s="113"/>
      <c r="K252" s="113"/>
      <c r="L252" s="113"/>
      <c r="M252" s="113"/>
      <c r="N252" s="113"/>
      <c r="O252" s="113"/>
      <c r="P252" s="113"/>
      <c r="Q252" s="113"/>
      <c r="R252" s="113"/>
      <c r="S252" s="113" t="s">
        <v>281</v>
      </c>
      <c r="T252" s="118" t="s">
        <v>377</v>
      </c>
      <c r="U252" s="197">
        <f>П5ВЕД!AA178</f>
        <v>0</v>
      </c>
      <c r="V252" s="114"/>
      <c r="W252" s="114"/>
      <c r="X252" s="112" t="s">
        <v>377</v>
      </c>
    </row>
    <row r="253" spans="1:24" ht="196.5" customHeight="1" x14ac:dyDescent="0.3">
      <c r="A253" s="112"/>
      <c r="B253" s="113" t="s">
        <v>129</v>
      </c>
      <c r="C253" s="113" t="s">
        <v>129</v>
      </c>
      <c r="D253" s="214" t="s">
        <v>680</v>
      </c>
      <c r="E253" s="113"/>
      <c r="F253" s="113"/>
      <c r="G253" s="113"/>
      <c r="H253" s="113"/>
      <c r="I253" s="113"/>
      <c r="J253" s="113"/>
      <c r="K253" s="113"/>
      <c r="L253" s="113"/>
      <c r="M253" s="113"/>
      <c r="N253" s="113"/>
      <c r="O253" s="113"/>
      <c r="P253" s="113"/>
      <c r="Q253" s="113"/>
      <c r="R253" s="113"/>
      <c r="S253" s="113"/>
      <c r="T253" s="112" t="s">
        <v>679</v>
      </c>
      <c r="U253" s="197">
        <f>U254</f>
        <v>30000</v>
      </c>
      <c r="V253" s="114"/>
      <c r="W253" s="114"/>
      <c r="X253" s="112"/>
    </row>
    <row r="254" spans="1:24" ht="261.75" customHeight="1" x14ac:dyDescent="0.3">
      <c r="A254" s="112"/>
      <c r="B254" s="113" t="s">
        <v>129</v>
      </c>
      <c r="C254" s="113" t="s">
        <v>129</v>
      </c>
      <c r="D254" s="214" t="s">
        <v>680</v>
      </c>
      <c r="E254" s="113"/>
      <c r="F254" s="113"/>
      <c r="G254" s="113"/>
      <c r="H254" s="113"/>
      <c r="I254" s="113"/>
      <c r="J254" s="113"/>
      <c r="K254" s="113"/>
      <c r="L254" s="113"/>
      <c r="M254" s="113"/>
      <c r="N254" s="113"/>
      <c r="O254" s="113"/>
      <c r="P254" s="113"/>
      <c r="Q254" s="113"/>
      <c r="R254" s="113"/>
      <c r="S254" s="113" t="s">
        <v>281</v>
      </c>
      <c r="T254" s="147" t="s">
        <v>583</v>
      </c>
      <c r="U254" s="197">
        <f>П5ВЕД!AA180</f>
        <v>30000</v>
      </c>
      <c r="V254" s="114"/>
      <c r="W254" s="114"/>
      <c r="X254" s="112"/>
    </row>
    <row r="255" spans="1:24" ht="129" customHeight="1" x14ac:dyDescent="0.3">
      <c r="A255" s="112" t="s">
        <v>464</v>
      </c>
      <c r="B255" s="113" t="s">
        <v>129</v>
      </c>
      <c r="C255" s="113" t="s">
        <v>129</v>
      </c>
      <c r="D255" s="214" t="s">
        <v>750</v>
      </c>
      <c r="E255" s="113"/>
      <c r="F255" s="113"/>
      <c r="G255" s="113"/>
      <c r="H255" s="113"/>
      <c r="I255" s="113"/>
      <c r="J255" s="113"/>
      <c r="K255" s="113"/>
      <c r="L255" s="113"/>
      <c r="M255" s="113"/>
      <c r="N255" s="113"/>
      <c r="O255" s="113"/>
      <c r="P255" s="113"/>
      <c r="Q255" s="113"/>
      <c r="R255" s="113"/>
      <c r="S255" s="113"/>
      <c r="T255" s="112" t="s">
        <v>749</v>
      </c>
      <c r="U255" s="196">
        <f>U257+U256</f>
        <v>2500000</v>
      </c>
      <c r="V255" s="114"/>
      <c r="W255" s="114"/>
      <c r="X255" s="112" t="s">
        <v>464</v>
      </c>
    </row>
    <row r="256" spans="1:24" ht="129" customHeight="1" x14ac:dyDescent="0.3">
      <c r="A256" s="112"/>
      <c r="B256" s="113" t="s">
        <v>129</v>
      </c>
      <c r="C256" s="113" t="s">
        <v>129</v>
      </c>
      <c r="D256" s="214" t="s">
        <v>750</v>
      </c>
      <c r="E256" s="113"/>
      <c r="F256" s="113"/>
      <c r="G256" s="113"/>
      <c r="H256" s="113"/>
      <c r="I256" s="113"/>
      <c r="J256" s="113"/>
      <c r="K256" s="113"/>
      <c r="L256" s="113"/>
      <c r="M256" s="113"/>
      <c r="N256" s="113"/>
      <c r="O256" s="113"/>
      <c r="P256" s="113"/>
      <c r="Q256" s="113"/>
      <c r="R256" s="113"/>
      <c r="S256" s="113" t="s">
        <v>281</v>
      </c>
      <c r="T256" s="146" t="s">
        <v>960</v>
      </c>
      <c r="U256" s="196">
        <f>П5ВЕД!AA418</f>
        <v>105000</v>
      </c>
      <c r="V256" s="114"/>
      <c r="W256" s="114"/>
      <c r="X256" s="112"/>
    </row>
    <row r="257" spans="1:25" ht="148.9" customHeight="1" x14ac:dyDescent="0.3">
      <c r="A257" s="112" t="s">
        <v>465</v>
      </c>
      <c r="B257" s="113" t="s">
        <v>129</v>
      </c>
      <c r="C257" s="113" t="s">
        <v>129</v>
      </c>
      <c r="D257" s="214" t="s">
        <v>750</v>
      </c>
      <c r="E257" s="113"/>
      <c r="F257" s="113"/>
      <c r="G257" s="113"/>
      <c r="H257" s="113"/>
      <c r="I257" s="113"/>
      <c r="J257" s="113"/>
      <c r="K257" s="113"/>
      <c r="L257" s="113"/>
      <c r="M257" s="113"/>
      <c r="N257" s="113"/>
      <c r="O257" s="113"/>
      <c r="P257" s="113"/>
      <c r="Q257" s="113"/>
      <c r="R257" s="113"/>
      <c r="S257" s="113" t="s">
        <v>300</v>
      </c>
      <c r="T257" s="118" t="s">
        <v>465</v>
      </c>
      <c r="U257" s="197">
        <f>П5ВЕД!AA419</f>
        <v>2395000</v>
      </c>
      <c r="V257" s="114"/>
      <c r="W257" s="114"/>
      <c r="X257" s="112" t="s">
        <v>465</v>
      </c>
    </row>
    <row r="258" spans="1:25" ht="126" customHeight="1" x14ac:dyDescent="0.3">
      <c r="A258" s="112" t="s">
        <v>466</v>
      </c>
      <c r="B258" s="113" t="s">
        <v>129</v>
      </c>
      <c r="C258" s="113" t="s">
        <v>129</v>
      </c>
      <c r="D258" s="214" t="s">
        <v>752</v>
      </c>
      <c r="E258" s="113"/>
      <c r="F258" s="113"/>
      <c r="G258" s="113"/>
      <c r="H258" s="113"/>
      <c r="I258" s="113"/>
      <c r="J258" s="113"/>
      <c r="K258" s="113"/>
      <c r="L258" s="113"/>
      <c r="M258" s="113"/>
      <c r="N258" s="113"/>
      <c r="O258" s="113"/>
      <c r="P258" s="113"/>
      <c r="Q258" s="113"/>
      <c r="R258" s="113"/>
      <c r="S258" s="113"/>
      <c r="T258" s="112" t="s">
        <v>751</v>
      </c>
      <c r="U258" s="196">
        <f>U259</f>
        <v>0</v>
      </c>
      <c r="V258" s="114"/>
      <c r="W258" s="114"/>
      <c r="X258" s="112" t="s">
        <v>466</v>
      </c>
    </row>
    <row r="259" spans="1:25" ht="130.35" customHeight="1" x14ac:dyDescent="0.3">
      <c r="A259" s="112" t="s">
        <v>467</v>
      </c>
      <c r="B259" s="113" t="s">
        <v>129</v>
      </c>
      <c r="C259" s="113" t="s">
        <v>129</v>
      </c>
      <c r="D259" s="214" t="s">
        <v>752</v>
      </c>
      <c r="E259" s="113"/>
      <c r="F259" s="113"/>
      <c r="G259" s="113"/>
      <c r="H259" s="113"/>
      <c r="I259" s="113"/>
      <c r="J259" s="113"/>
      <c r="K259" s="113"/>
      <c r="L259" s="113"/>
      <c r="M259" s="113"/>
      <c r="N259" s="113"/>
      <c r="O259" s="113"/>
      <c r="P259" s="113"/>
      <c r="Q259" s="113"/>
      <c r="R259" s="113"/>
      <c r="S259" s="113" t="s">
        <v>300</v>
      </c>
      <c r="T259" s="146" t="s">
        <v>467</v>
      </c>
      <c r="U259" s="197">
        <f>П5ВЕД!AA421</f>
        <v>0</v>
      </c>
      <c r="V259" s="114"/>
      <c r="W259" s="114"/>
      <c r="X259" s="112" t="s">
        <v>467</v>
      </c>
    </row>
    <row r="260" spans="1:25" ht="122.25" customHeight="1" x14ac:dyDescent="0.3">
      <c r="A260" s="112" t="s">
        <v>378</v>
      </c>
      <c r="B260" s="113" t="s">
        <v>129</v>
      </c>
      <c r="C260" s="113" t="s">
        <v>129</v>
      </c>
      <c r="D260" s="214" t="s">
        <v>682</v>
      </c>
      <c r="E260" s="113"/>
      <c r="F260" s="113"/>
      <c r="G260" s="113"/>
      <c r="H260" s="113"/>
      <c r="I260" s="113"/>
      <c r="J260" s="113"/>
      <c r="K260" s="113"/>
      <c r="L260" s="113"/>
      <c r="M260" s="113"/>
      <c r="N260" s="113"/>
      <c r="O260" s="113"/>
      <c r="P260" s="113"/>
      <c r="Q260" s="113"/>
      <c r="R260" s="113"/>
      <c r="S260" s="113"/>
      <c r="T260" s="112" t="s">
        <v>681</v>
      </c>
      <c r="U260" s="196">
        <f>U261</f>
        <v>364734.4</v>
      </c>
      <c r="V260" s="114"/>
      <c r="W260" s="114"/>
      <c r="X260" s="112" t="s">
        <v>378</v>
      </c>
    </row>
    <row r="261" spans="1:25" ht="111.75" customHeight="1" x14ac:dyDescent="0.3">
      <c r="A261" s="112" t="s">
        <v>379</v>
      </c>
      <c r="B261" s="113" t="s">
        <v>129</v>
      </c>
      <c r="C261" s="113" t="s">
        <v>129</v>
      </c>
      <c r="D261" s="214" t="s">
        <v>682</v>
      </c>
      <c r="E261" s="113"/>
      <c r="F261" s="113"/>
      <c r="G261" s="113"/>
      <c r="H261" s="113"/>
      <c r="I261" s="113"/>
      <c r="J261" s="113"/>
      <c r="K261" s="113"/>
      <c r="L261" s="113"/>
      <c r="M261" s="113"/>
      <c r="N261" s="113"/>
      <c r="O261" s="113"/>
      <c r="P261" s="113"/>
      <c r="Q261" s="113"/>
      <c r="R261" s="113"/>
      <c r="S261" s="113" t="s">
        <v>281</v>
      </c>
      <c r="T261" s="118" t="s">
        <v>379</v>
      </c>
      <c r="U261" s="197">
        <f>П5ВЕД!AA182</f>
        <v>364734.4</v>
      </c>
      <c r="V261" s="114"/>
      <c r="W261" s="114"/>
      <c r="X261" s="112" t="s">
        <v>379</v>
      </c>
    </row>
    <row r="262" spans="1:25" ht="174" customHeight="1" x14ac:dyDescent="0.3">
      <c r="A262" s="112"/>
      <c r="B262" s="113" t="s">
        <v>129</v>
      </c>
      <c r="C262" s="113" t="s">
        <v>129</v>
      </c>
      <c r="D262" s="216" t="s">
        <v>753</v>
      </c>
      <c r="E262" s="113"/>
      <c r="F262" s="113"/>
      <c r="G262" s="113"/>
      <c r="H262" s="113"/>
      <c r="I262" s="113"/>
      <c r="J262" s="113"/>
      <c r="K262" s="113"/>
      <c r="L262" s="113"/>
      <c r="M262" s="113"/>
      <c r="N262" s="113"/>
      <c r="O262" s="113"/>
      <c r="P262" s="113"/>
      <c r="Q262" s="113"/>
      <c r="R262" s="113"/>
      <c r="S262" s="113"/>
      <c r="T262" s="147" t="s">
        <v>545</v>
      </c>
      <c r="U262" s="196">
        <f>U263+U264</f>
        <v>1566340</v>
      </c>
      <c r="V262" s="114"/>
      <c r="W262" s="114"/>
      <c r="X262" s="112"/>
    </row>
    <row r="263" spans="1:25" ht="57.75" customHeight="1" x14ac:dyDescent="0.3">
      <c r="A263" s="112"/>
      <c r="B263" s="113" t="s">
        <v>129</v>
      </c>
      <c r="C263" s="113" t="s">
        <v>129</v>
      </c>
      <c r="D263" s="216" t="s">
        <v>753</v>
      </c>
      <c r="E263" s="113"/>
      <c r="F263" s="113"/>
      <c r="G263" s="113"/>
      <c r="H263" s="113"/>
      <c r="I263" s="113"/>
      <c r="J263" s="113"/>
      <c r="K263" s="113"/>
      <c r="L263" s="113"/>
      <c r="M263" s="113"/>
      <c r="N263" s="113"/>
      <c r="O263" s="113"/>
      <c r="P263" s="113"/>
      <c r="Q263" s="113"/>
      <c r="R263" s="113"/>
      <c r="S263" s="113" t="s">
        <v>281</v>
      </c>
      <c r="T263" s="147" t="s">
        <v>1164</v>
      </c>
      <c r="U263" s="197">
        <f>П5ВЕД!AA423</f>
        <v>239030.39999999999</v>
      </c>
      <c r="V263" s="114"/>
      <c r="W263" s="114"/>
      <c r="X263" s="112"/>
    </row>
    <row r="264" spans="1:25" ht="71.25" customHeight="1" x14ac:dyDescent="0.3">
      <c r="A264" s="112"/>
      <c r="B264" s="113" t="s">
        <v>129</v>
      </c>
      <c r="C264" s="113" t="s">
        <v>129</v>
      </c>
      <c r="D264" s="216" t="s">
        <v>753</v>
      </c>
      <c r="E264" s="113"/>
      <c r="F264" s="113"/>
      <c r="G264" s="113"/>
      <c r="H264" s="113"/>
      <c r="I264" s="113"/>
      <c r="J264" s="113"/>
      <c r="K264" s="113"/>
      <c r="L264" s="113"/>
      <c r="M264" s="113"/>
      <c r="N264" s="113"/>
      <c r="O264" s="113"/>
      <c r="P264" s="113"/>
      <c r="Q264" s="113"/>
      <c r="R264" s="113"/>
      <c r="S264" s="113" t="s">
        <v>300</v>
      </c>
      <c r="T264" s="147" t="s">
        <v>529</v>
      </c>
      <c r="U264" s="197">
        <f>П5ВЕД!AA424</f>
        <v>1327309.6000000001</v>
      </c>
      <c r="V264" s="114"/>
      <c r="W264" s="114"/>
      <c r="X264" s="112"/>
    </row>
    <row r="265" spans="1:25" ht="37.15" customHeight="1" x14ac:dyDescent="0.3">
      <c r="A265" s="112" t="s">
        <v>149</v>
      </c>
      <c r="B265" s="113" t="s">
        <v>129</v>
      </c>
      <c r="C265" s="113" t="s">
        <v>118</v>
      </c>
      <c r="D265" s="113"/>
      <c r="E265" s="113"/>
      <c r="F265" s="113"/>
      <c r="G265" s="113"/>
      <c r="H265" s="113"/>
      <c r="I265" s="113"/>
      <c r="J265" s="113"/>
      <c r="K265" s="113"/>
      <c r="L265" s="113"/>
      <c r="M265" s="113"/>
      <c r="N265" s="113"/>
      <c r="O265" s="113"/>
      <c r="P265" s="113"/>
      <c r="Q265" s="113"/>
      <c r="R265" s="113"/>
      <c r="S265" s="113"/>
      <c r="T265" s="112" t="s">
        <v>149</v>
      </c>
      <c r="U265" s="196">
        <f>U266+U269+U273+U277</f>
        <v>24669534.759999998</v>
      </c>
      <c r="V265" s="114"/>
      <c r="W265" s="114"/>
      <c r="X265" s="112" t="s">
        <v>149</v>
      </c>
    </row>
    <row r="266" spans="1:25" ht="148.9" customHeight="1" x14ac:dyDescent="0.3">
      <c r="A266" s="112" t="s">
        <v>228</v>
      </c>
      <c r="B266" s="113" t="s">
        <v>129</v>
      </c>
      <c r="C266" s="113" t="s">
        <v>118</v>
      </c>
      <c r="D266" s="214" t="s">
        <v>683</v>
      </c>
      <c r="E266" s="113"/>
      <c r="F266" s="113"/>
      <c r="G266" s="113"/>
      <c r="H266" s="113"/>
      <c r="I266" s="113"/>
      <c r="J266" s="113"/>
      <c r="K266" s="113"/>
      <c r="L266" s="113"/>
      <c r="M266" s="113"/>
      <c r="N266" s="113"/>
      <c r="O266" s="113"/>
      <c r="P266" s="113"/>
      <c r="Q266" s="113"/>
      <c r="R266" s="113"/>
      <c r="S266" s="113"/>
      <c r="T266" s="112" t="s">
        <v>228</v>
      </c>
      <c r="U266" s="197">
        <f>U267+U268</f>
        <v>573397.1</v>
      </c>
      <c r="V266" s="114"/>
      <c r="W266" s="114"/>
      <c r="X266" s="112" t="s">
        <v>228</v>
      </c>
    </row>
    <row r="267" spans="1:25" ht="216.75" customHeight="1" x14ac:dyDescent="0.3">
      <c r="A267" s="119" t="s">
        <v>380</v>
      </c>
      <c r="B267" s="113" t="s">
        <v>129</v>
      </c>
      <c r="C267" s="113" t="s">
        <v>118</v>
      </c>
      <c r="D267" s="214" t="s">
        <v>683</v>
      </c>
      <c r="E267" s="113"/>
      <c r="F267" s="113"/>
      <c r="G267" s="113"/>
      <c r="H267" s="113"/>
      <c r="I267" s="113"/>
      <c r="J267" s="113"/>
      <c r="K267" s="113"/>
      <c r="L267" s="113"/>
      <c r="M267" s="113"/>
      <c r="N267" s="113"/>
      <c r="O267" s="113"/>
      <c r="P267" s="113"/>
      <c r="Q267" s="113"/>
      <c r="R267" s="113"/>
      <c r="S267" s="113" t="s">
        <v>29</v>
      </c>
      <c r="T267" s="119" t="s">
        <v>380</v>
      </c>
      <c r="U267" s="196">
        <f>П5ВЕД!AA185</f>
        <v>539684</v>
      </c>
      <c r="V267" s="114"/>
      <c r="W267" s="114"/>
      <c r="X267" s="119" t="s">
        <v>380</v>
      </c>
    </row>
    <row r="268" spans="1:25" ht="176.25" customHeight="1" x14ac:dyDescent="0.3">
      <c r="A268" s="119" t="s">
        <v>381</v>
      </c>
      <c r="B268" s="113" t="s">
        <v>129</v>
      </c>
      <c r="C268" s="113" t="s">
        <v>118</v>
      </c>
      <c r="D268" s="214" t="s">
        <v>683</v>
      </c>
      <c r="E268" s="113"/>
      <c r="F268" s="113"/>
      <c r="G268" s="113"/>
      <c r="H268" s="113"/>
      <c r="I268" s="113"/>
      <c r="J268" s="113"/>
      <c r="K268" s="113"/>
      <c r="L268" s="113"/>
      <c r="M268" s="113"/>
      <c r="N268" s="113"/>
      <c r="O268" s="113"/>
      <c r="P268" s="113"/>
      <c r="Q268" s="113"/>
      <c r="R268" s="113"/>
      <c r="S268" s="113" t="s">
        <v>281</v>
      </c>
      <c r="T268" s="119" t="s">
        <v>381</v>
      </c>
      <c r="U268" s="196">
        <f>П5ВЕД!AA186</f>
        <v>33713.1</v>
      </c>
      <c r="V268" s="114"/>
      <c r="W268" s="114"/>
      <c r="X268" s="119" t="s">
        <v>381</v>
      </c>
    </row>
    <row r="269" spans="1:25" ht="165.75" customHeight="1" x14ac:dyDescent="0.3">
      <c r="A269" s="112" t="s">
        <v>471</v>
      </c>
      <c r="B269" s="113" t="s">
        <v>129</v>
      </c>
      <c r="C269" s="113" t="s">
        <v>118</v>
      </c>
      <c r="D269" s="214" t="s">
        <v>755</v>
      </c>
      <c r="E269" s="113"/>
      <c r="F269" s="113"/>
      <c r="G269" s="113"/>
      <c r="H269" s="113"/>
      <c r="I269" s="113"/>
      <c r="J269" s="113"/>
      <c r="K269" s="113"/>
      <c r="L269" s="113"/>
      <c r="M269" s="113"/>
      <c r="N269" s="113"/>
      <c r="O269" s="113"/>
      <c r="P269" s="113"/>
      <c r="Q269" s="113"/>
      <c r="R269" s="113"/>
      <c r="S269" s="113"/>
      <c r="T269" s="112" t="s">
        <v>754</v>
      </c>
      <c r="U269" s="197">
        <f>U270+U271+U272</f>
        <v>5523184.1100000003</v>
      </c>
      <c r="V269" s="114"/>
      <c r="W269" s="114"/>
      <c r="X269" s="112" t="s">
        <v>471</v>
      </c>
    </row>
    <row r="270" spans="1:25" ht="171" customHeight="1" x14ac:dyDescent="0.3">
      <c r="A270" s="119" t="s">
        <v>472</v>
      </c>
      <c r="B270" s="113" t="s">
        <v>129</v>
      </c>
      <c r="C270" s="113" t="s">
        <v>118</v>
      </c>
      <c r="D270" s="214" t="s">
        <v>755</v>
      </c>
      <c r="E270" s="113"/>
      <c r="F270" s="113"/>
      <c r="G270" s="113"/>
      <c r="H270" s="113"/>
      <c r="I270" s="113"/>
      <c r="J270" s="113"/>
      <c r="K270" s="113"/>
      <c r="L270" s="113"/>
      <c r="M270" s="113"/>
      <c r="N270" s="113"/>
      <c r="O270" s="113"/>
      <c r="P270" s="113"/>
      <c r="Q270" s="113"/>
      <c r="R270" s="113"/>
      <c r="S270" s="113" t="s">
        <v>29</v>
      </c>
      <c r="T270" s="150" t="s">
        <v>472</v>
      </c>
      <c r="U270" s="196">
        <f>П5ВЕД!AA427</f>
        <v>5429984.1100000003</v>
      </c>
      <c r="V270" s="114"/>
      <c r="W270" s="114"/>
      <c r="X270" s="119" t="s">
        <v>472</v>
      </c>
      <c r="Y270" s="179"/>
    </row>
    <row r="271" spans="1:25" ht="111.75" customHeight="1" x14ac:dyDescent="0.3">
      <c r="A271" s="112" t="s">
        <v>473</v>
      </c>
      <c r="B271" s="113" t="s">
        <v>129</v>
      </c>
      <c r="C271" s="113" t="s">
        <v>118</v>
      </c>
      <c r="D271" s="214" t="s">
        <v>755</v>
      </c>
      <c r="E271" s="113"/>
      <c r="F271" s="113"/>
      <c r="G271" s="113"/>
      <c r="H271" s="113"/>
      <c r="I271" s="113"/>
      <c r="J271" s="113"/>
      <c r="K271" s="113"/>
      <c r="L271" s="113"/>
      <c r="M271" s="113"/>
      <c r="N271" s="113"/>
      <c r="O271" s="113"/>
      <c r="P271" s="113"/>
      <c r="Q271" s="113"/>
      <c r="R271" s="113"/>
      <c r="S271" s="113" t="s">
        <v>281</v>
      </c>
      <c r="T271" s="118" t="s">
        <v>473</v>
      </c>
      <c r="U271" s="196">
        <f>П5ВЕД!AA428</f>
        <v>93167</v>
      </c>
      <c r="V271" s="114"/>
      <c r="W271" s="114"/>
      <c r="X271" s="112" t="s">
        <v>473</v>
      </c>
    </row>
    <row r="272" spans="1:25" ht="93" customHeight="1" x14ac:dyDescent="0.3">
      <c r="A272" s="112" t="s">
        <v>474</v>
      </c>
      <c r="B272" s="113" t="s">
        <v>129</v>
      </c>
      <c r="C272" s="113" t="s">
        <v>118</v>
      </c>
      <c r="D272" s="214" t="s">
        <v>755</v>
      </c>
      <c r="E272" s="113"/>
      <c r="F272" s="113"/>
      <c r="G272" s="113"/>
      <c r="H272" s="113"/>
      <c r="I272" s="113"/>
      <c r="J272" s="113"/>
      <c r="K272" s="113"/>
      <c r="L272" s="113"/>
      <c r="M272" s="113"/>
      <c r="N272" s="113"/>
      <c r="O272" s="113"/>
      <c r="P272" s="113"/>
      <c r="Q272" s="113"/>
      <c r="R272" s="113"/>
      <c r="S272" s="113" t="s">
        <v>235</v>
      </c>
      <c r="T272" s="118" t="s">
        <v>474</v>
      </c>
      <c r="U272" s="196">
        <f>П5ВЕД!AA429</f>
        <v>33</v>
      </c>
      <c r="V272" s="114"/>
      <c r="W272" s="114"/>
      <c r="X272" s="112" t="s">
        <v>474</v>
      </c>
    </row>
    <row r="273" spans="1:24" ht="195.75" customHeight="1" x14ac:dyDescent="0.3">
      <c r="A273" s="112" t="s">
        <v>475</v>
      </c>
      <c r="B273" s="113" t="s">
        <v>129</v>
      </c>
      <c r="C273" s="113" t="s">
        <v>118</v>
      </c>
      <c r="D273" s="214" t="s">
        <v>757</v>
      </c>
      <c r="E273" s="113"/>
      <c r="F273" s="113"/>
      <c r="G273" s="113"/>
      <c r="H273" s="113"/>
      <c r="I273" s="113"/>
      <c r="J273" s="113"/>
      <c r="K273" s="113"/>
      <c r="L273" s="113"/>
      <c r="M273" s="113"/>
      <c r="N273" s="113"/>
      <c r="O273" s="113"/>
      <c r="P273" s="113"/>
      <c r="Q273" s="113"/>
      <c r="R273" s="113"/>
      <c r="S273" s="113"/>
      <c r="T273" s="112" t="s">
        <v>756</v>
      </c>
      <c r="U273" s="197">
        <f>U274+U275+U276</f>
        <v>16187799.880000001</v>
      </c>
      <c r="V273" s="114"/>
      <c r="W273" s="114"/>
      <c r="X273" s="112" t="s">
        <v>475</v>
      </c>
    </row>
    <row r="274" spans="1:24" ht="194.25" customHeight="1" x14ac:dyDescent="0.3">
      <c r="A274" s="119" t="s">
        <v>476</v>
      </c>
      <c r="B274" s="113" t="s">
        <v>129</v>
      </c>
      <c r="C274" s="113" t="s">
        <v>118</v>
      </c>
      <c r="D274" s="214" t="s">
        <v>757</v>
      </c>
      <c r="E274" s="113"/>
      <c r="F274" s="113"/>
      <c r="G274" s="113"/>
      <c r="H274" s="113"/>
      <c r="I274" s="113"/>
      <c r="J274" s="113"/>
      <c r="K274" s="113"/>
      <c r="L274" s="113"/>
      <c r="M274" s="113"/>
      <c r="N274" s="113"/>
      <c r="O274" s="113"/>
      <c r="P274" s="113"/>
      <c r="Q274" s="113"/>
      <c r="R274" s="113"/>
      <c r="S274" s="113" t="s">
        <v>29</v>
      </c>
      <c r="T274" s="115" t="s">
        <v>476</v>
      </c>
      <c r="U274" s="196">
        <f>П5ВЕД!AA431</f>
        <v>13359272.48</v>
      </c>
      <c r="V274" s="114"/>
      <c r="W274" s="114"/>
      <c r="X274" s="119" t="s">
        <v>476</v>
      </c>
    </row>
    <row r="275" spans="1:24" ht="125.25" customHeight="1" x14ac:dyDescent="0.3">
      <c r="A275" s="112" t="s">
        <v>477</v>
      </c>
      <c r="B275" s="113" t="s">
        <v>129</v>
      </c>
      <c r="C275" s="113" t="s">
        <v>118</v>
      </c>
      <c r="D275" s="214" t="s">
        <v>757</v>
      </c>
      <c r="E275" s="113"/>
      <c r="F275" s="113"/>
      <c r="G275" s="113"/>
      <c r="H275" s="113"/>
      <c r="I275" s="113"/>
      <c r="J275" s="113"/>
      <c r="K275" s="113"/>
      <c r="L275" s="113"/>
      <c r="M275" s="113"/>
      <c r="N275" s="113"/>
      <c r="O275" s="113"/>
      <c r="P275" s="113"/>
      <c r="Q275" s="113"/>
      <c r="R275" s="113"/>
      <c r="S275" s="113" t="s">
        <v>281</v>
      </c>
      <c r="T275" s="118" t="s">
        <v>477</v>
      </c>
      <c r="U275" s="196">
        <f>П5ВЕД!AA432</f>
        <v>2810140.4000000004</v>
      </c>
      <c r="V275" s="114"/>
      <c r="W275" s="114"/>
      <c r="X275" s="112" t="s">
        <v>477</v>
      </c>
    </row>
    <row r="276" spans="1:24" ht="111.75" customHeight="1" x14ac:dyDescent="0.3">
      <c r="A276" s="112" t="s">
        <v>478</v>
      </c>
      <c r="B276" s="113" t="s">
        <v>129</v>
      </c>
      <c r="C276" s="113" t="s">
        <v>118</v>
      </c>
      <c r="D276" s="214" t="s">
        <v>757</v>
      </c>
      <c r="E276" s="113"/>
      <c r="F276" s="113"/>
      <c r="G276" s="113"/>
      <c r="H276" s="113"/>
      <c r="I276" s="113"/>
      <c r="J276" s="113"/>
      <c r="K276" s="113"/>
      <c r="L276" s="113"/>
      <c r="M276" s="113"/>
      <c r="N276" s="113"/>
      <c r="O276" s="113"/>
      <c r="P276" s="113"/>
      <c r="Q276" s="113"/>
      <c r="R276" s="113"/>
      <c r="S276" s="113" t="s">
        <v>235</v>
      </c>
      <c r="T276" s="118" t="s">
        <v>478</v>
      </c>
      <c r="U276" s="196">
        <f>П5ВЕД!AA433</f>
        <v>18387</v>
      </c>
      <c r="V276" s="114"/>
      <c r="W276" s="114"/>
      <c r="X276" s="112" t="s">
        <v>478</v>
      </c>
    </row>
    <row r="277" spans="1:24" ht="180.75" customHeight="1" x14ac:dyDescent="0.3">
      <c r="A277" s="112" t="s">
        <v>479</v>
      </c>
      <c r="B277" s="113" t="s">
        <v>129</v>
      </c>
      <c r="C277" s="113" t="s">
        <v>118</v>
      </c>
      <c r="D277" s="214" t="s">
        <v>759</v>
      </c>
      <c r="E277" s="113"/>
      <c r="F277" s="113"/>
      <c r="G277" s="113"/>
      <c r="H277" s="113"/>
      <c r="I277" s="113"/>
      <c r="J277" s="113"/>
      <c r="K277" s="113"/>
      <c r="L277" s="113"/>
      <c r="M277" s="113"/>
      <c r="N277" s="113"/>
      <c r="O277" s="113"/>
      <c r="P277" s="113"/>
      <c r="Q277" s="113"/>
      <c r="R277" s="113"/>
      <c r="S277" s="113"/>
      <c r="T277" s="112" t="s">
        <v>758</v>
      </c>
      <c r="U277" s="196">
        <f>U278</f>
        <v>2385153.67</v>
      </c>
      <c r="V277" s="114"/>
      <c r="W277" s="114"/>
      <c r="X277" s="112" t="s">
        <v>479</v>
      </c>
    </row>
    <row r="278" spans="1:24" ht="135" customHeight="1" x14ac:dyDescent="0.3">
      <c r="A278" s="112" t="s">
        <v>480</v>
      </c>
      <c r="B278" s="113" t="s">
        <v>129</v>
      </c>
      <c r="C278" s="113" t="s">
        <v>118</v>
      </c>
      <c r="D278" s="214" t="s">
        <v>759</v>
      </c>
      <c r="E278" s="113"/>
      <c r="F278" s="113"/>
      <c r="G278" s="113"/>
      <c r="H278" s="113"/>
      <c r="I278" s="113"/>
      <c r="J278" s="113"/>
      <c r="K278" s="113"/>
      <c r="L278" s="113"/>
      <c r="M278" s="113"/>
      <c r="N278" s="113"/>
      <c r="O278" s="113"/>
      <c r="P278" s="113"/>
      <c r="Q278" s="113"/>
      <c r="R278" s="113"/>
      <c r="S278" s="113" t="s">
        <v>300</v>
      </c>
      <c r="T278" s="118" t="s">
        <v>480</v>
      </c>
      <c r="U278" s="197">
        <f>П5ВЕД!AA435</f>
        <v>2385153.67</v>
      </c>
      <c r="V278" s="114"/>
      <c r="W278" s="114"/>
      <c r="X278" s="112" t="s">
        <v>480</v>
      </c>
    </row>
    <row r="279" spans="1:24" ht="18.600000000000001" customHeight="1" x14ac:dyDescent="0.3">
      <c r="A279" s="110" t="s">
        <v>382</v>
      </c>
      <c r="B279" s="122" t="s">
        <v>117</v>
      </c>
      <c r="C279" s="122" t="s">
        <v>124</v>
      </c>
      <c r="D279" s="122"/>
      <c r="E279" s="122"/>
      <c r="F279" s="122"/>
      <c r="G279" s="122"/>
      <c r="H279" s="122"/>
      <c r="I279" s="122"/>
      <c r="J279" s="122"/>
      <c r="K279" s="122"/>
      <c r="L279" s="122"/>
      <c r="M279" s="122"/>
      <c r="N279" s="122"/>
      <c r="O279" s="122"/>
      <c r="P279" s="122"/>
      <c r="Q279" s="122"/>
      <c r="R279" s="122"/>
      <c r="S279" s="122"/>
      <c r="T279" s="110" t="s">
        <v>382</v>
      </c>
      <c r="U279" s="200">
        <f>U281+U283+U285+U287+U289+U291+U293+U297+U295</f>
        <v>13680292.65</v>
      </c>
      <c r="V279" s="111"/>
      <c r="W279" s="111"/>
      <c r="X279" s="110" t="s">
        <v>382</v>
      </c>
    </row>
    <row r="280" spans="1:24" ht="18.600000000000001" customHeight="1" x14ac:dyDescent="0.3">
      <c r="A280" s="112" t="s">
        <v>150</v>
      </c>
      <c r="B280" s="113" t="s">
        <v>117</v>
      </c>
      <c r="C280" s="113" t="s">
        <v>113</v>
      </c>
      <c r="D280" s="113"/>
      <c r="E280" s="113"/>
      <c r="F280" s="113"/>
      <c r="G280" s="113"/>
      <c r="H280" s="113"/>
      <c r="I280" s="113"/>
      <c r="J280" s="113"/>
      <c r="K280" s="113"/>
      <c r="L280" s="113"/>
      <c r="M280" s="113"/>
      <c r="N280" s="113"/>
      <c r="O280" s="113"/>
      <c r="P280" s="113"/>
      <c r="Q280" s="113"/>
      <c r="R280" s="113"/>
      <c r="S280" s="113"/>
      <c r="T280" s="112" t="s">
        <v>150</v>
      </c>
      <c r="U280" s="196">
        <f>U282+U284+U286+U288+U290+U292+U294+U298+U295</f>
        <v>13680292.65</v>
      </c>
      <c r="V280" s="114"/>
      <c r="W280" s="114"/>
      <c r="X280" s="112" t="s">
        <v>150</v>
      </c>
    </row>
    <row r="281" spans="1:24" ht="141.75" customHeight="1" x14ac:dyDescent="0.3">
      <c r="A281" s="112" t="s">
        <v>503</v>
      </c>
      <c r="B281" s="113" t="s">
        <v>117</v>
      </c>
      <c r="C281" s="113" t="s">
        <v>113</v>
      </c>
      <c r="D281" s="214" t="s">
        <v>772</v>
      </c>
      <c r="E281" s="113"/>
      <c r="F281" s="113"/>
      <c r="G281" s="113"/>
      <c r="H281" s="113"/>
      <c r="I281" s="113"/>
      <c r="J281" s="113"/>
      <c r="K281" s="113"/>
      <c r="L281" s="113"/>
      <c r="M281" s="113"/>
      <c r="N281" s="113"/>
      <c r="O281" s="113"/>
      <c r="P281" s="113"/>
      <c r="Q281" s="113"/>
      <c r="R281" s="113"/>
      <c r="S281" s="113"/>
      <c r="T281" s="112" t="s">
        <v>771</v>
      </c>
      <c r="U281" s="196">
        <f>U282</f>
        <v>4819591.7</v>
      </c>
      <c r="V281" s="114"/>
      <c r="W281" s="114"/>
      <c r="X281" s="112" t="s">
        <v>503</v>
      </c>
    </row>
    <row r="282" spans="1:24" ht="111.75" customHeight="1" x14ac:dyDescent="0.3">
      <c r="A282" s="112" t="s">
        <v>504</v>
      </c>
      <c r="B282" s="113" t="s">
        <v>117</v>
      </c>
      <c r="C282" s="113" t="s">
        <v>113</v>
      </c>
      <c r="D282" s="214" t="s">
        <v>772</v>
      </c>
      <c r="E282" s="113"/>
      <c r="F282" s="113"/>
      <c r="G282" s="113"/>
      <c r="H282" s="113"/>
      <c r="I282" s="113"/>
      <c r="J282" s="113"/>
      <c r="K282" s="113"/>
      <c r="L282" s="113"/>
      <c r="M282" s="113"/>
      <c r="N282" s="113"/>
      <c r="O282" s="113"/>
      <c r="P282" s="113"/>
      <c r="Q282" s="113"/>
      <c r="R282" s="113"/>
      <c r="S282" s="113" t="s">
        <v>300</v>
      </c>
      <c r="T282" s="118" t="s">
        <v>504</v>
      </c>
      <c r="U282" s="197">
        <f>П5ВЕД!AA479</f>
        <v>4819591.7</v>
      </c>
      <c r="V282" s="114"/>
      <c r="W282" s="114"/>
      <c r="X282" s="112" t="s">
        <v>504</v>
      </c>
    </row>
    <row r="283" spans="1:24" ht="116.25" customHeight="1" x14ac:dyDescent="0.3">
      <c r="A283" s="112" t="s">
        <v>505</v>
      </c>
      <c r="B283" s="113" t="s">
        <v>117</v>
      </c>
      <c r="C283" s="113" t="s">
        <v>113</v>
      </c>
      <c r="D283" s="214" t="s">
        <v>774</v>
      </c>
      <c r="E283" s="113"/>
      <c r="F283" s="113"/>
      <c r="G283" s="113"/>
      <c r="H283" s="113"/>
      <c r="I283" s="113"/>
      <c r="J283" s="113"/>
      <c r="K283" s="113"/>
      <c r="L283" s="113"/>
      <c r="M283" s="113"/>
      <c r="N283" s="113"/>
      <c r="O283" s="113"/>
      <c r="P283" s="113"/>
      <c r="Q283" s="113"/>
      <c r="R283" s="113"/>
      <c r="S283" s="113"/>
      <c r="T283" s="112" t="s">
        <v>773</v>
      </c>
      <c r="U283" s="196">
        <f>U284</f>
        <v>2373340.6700000004</v>
      </c>
      <c r="V283" s="114"/>
      <c r="W283" s="114"/>
      <c r="X283" s="112" t="s">
        <v>505</v>
      </c>
    </row>
    <row r="284" spans="1:24" ht="111.75" customHeight="1" x14ac:dyDescent="0.3">
      <c r="A284" s="112" t="s">
        <v>506</v>
      </c>
      <c r="B284" s="113" t="s">
        <v>117</v>
      </c>
      <c r="C284" s="113" t="s">
        <v>113</v>
      </c>
      <c r="D284" s="214" t="s">
        <v>774</v>
      </c>
      <c r="E284" s="113"/>
      <c r="F284" s="113"/>
      <c r="G284" s="113"/>
      <c r="H284" s="113"/>
      <c r="I284" s="113"/>
      <c r="J284" s="113"/>
      <c r="K284" s="113"/>
      <c r="L284" s="113"/>
      <c r="M284" s="113"/>
      <c r="N284" s="113"/>
      <c r="O284" s="113"/>
      <c r="P284" s="113"/>
      <c r="Q284" s="113"/>
      <c r="R284" s="113"/>
      <c r="S284" s="113" t="s">
        <v>300</v>
      </c>
      <c r="T284" s="118" t="s">
        <v>506</v>
      </c>
      <c r="U284" s="197">
        <f>П5ВЕД!AA481</f>
        <v>2373340.6700000004</v>
      </c>
      <c r="V284" s="114"/>
      <c r="W284" s="114"/>
      <c r="X284" s="112" t="s">
        <v>506</v>
      </c>
    </row>
    <row r="285" spans="1:24" ht="130.5" customHeight="1" x14ac:dyDescent="0.3">
      <c r="A285" s="112" t="s">
        <v>383</v>
      </c>
      <c r="B285" s="113" t="s">
        <v>117</v>
      </c>
      <c r="C285" s="113" t="s">
        <v>113</v>
      </c>
      <c r="D285" s="214" t="s">
        <v>685</v>
      </c>
      <c r="E285" s="113"/>
      <c r="F285" s="113"/>
      <c r="G285" s="113"/>
      <c r="H285" s="113"/>
      <c r="I285" s="113"/>
      <c r="J285" s="113"/>
      <c r="K285" s="113"/>
      <c r="L285" s="113"/>
      <c r="M285" s="113"/>
      <c r="N285" s="113"/>
      <c r="O285" s="113"/>
      <c r="P285" s="113"/>
      <c r="Q285" s="113"/>
      <c r="R285" s="113"/>
      <c r="S285" s="113"/>
      <c r="T285" s="112" t="s">
        <v>684</v>
      </c>
      <c r="U285" s="196">
        <f>U286</f>
        <v>0</v>
      </c>
      <c r="V285" s="114"/>
      <c r="W285" s="114"/>
      <c r="X285" s="112" t="s">
        <v>383</v>
      </c>
    </row>
    <row r="286" spans="1:24" ht="111.75" customHeight="1" x14ac:dyDescent="0.3">
      <c r="A286" s="112" t="s">
        <v>384</v>
      </c>
      <c r="B286" s="113" t="s">
        <v>117</v>
      </c>
      <c r="C286" s="113" t="s">
        <v>113</v>
      </c>
      <c r="D286" s="214" t="s">
        <v>685</v>
      </c>
      <c r="E286" s="113"/>
      <c r="F286" s="113"/>
      <c r="G286" s="113"/>
      <c r="H286" s="113"/>
      <c r="I286" s="113"/>
      <c r="J286" s="113"/>
      <c r="K286" s="113"/>
      <c r="L286" s="113"/>
      <c r="M286" s="113"/>
      <c r="N286" s="113"/>
      <c r="O286" s="113"/>
      <c r="P286" s="113"/>
      <c r="Q286" s="113"/>
      <c r="R286" s="113"/>
      <c r="S286" s="113" t="s">
        <v>281</v>
      </c>
      <c r="T286" s="118" t="s">
        <v>384</v>
      </c>
      <c r="U286" s="197">
        <f>П5ВЕД!AA190</f>
        <v>0</v>
      </c>
      <c r="V286" s="114"/>
      <c r="W286" s="114"/>
      <c r="X286" s="112" t="s">
        <v>384</v>
      </c>
    </row>
    <row r="287" spans="1:24" ht="117.75" customHeight="1" x14ac:dyDescent="0.3">
      <c r="A287" s="112" t="s">
        <v>507</v>
      </c>
      <c r="B287" s="113" t="s">
        <v>117</v>
      </c>
      <c r="C287" s="113" t="s">
        <v>113</v>
      </c>
      <c r="D287" s="214" t="s">
        <v>776</v>
      </c>
      <c r="E287" s="113"/>
      <c r="F287" s="113"/>
      <c r="G287" s="113"/>
      <c r="H287" s="113"/>
      <c r="I287" s="113"/>
      <c r="J287" s="113"/>
      <c r="K287" s="113"/>
      <c r="L287" s="113"/>
      <c r="M287" s="113"/>
      <c r="N287" s="113"/>
      <c r="O287" s="113"/>
      <c r="P287" s="113"/>
      <c r="Q287" s="113"/>
      <c r="R287" s="113"/>
      <c r="S287" s="113"/>
      <c r="T287" s="112" t="s">
        <v>775</v>
      </c>
      <c r="U287" s="196">
        <f>U288</f>
        <v>4179004.25</v>
      </c>
      <c r="V287" s="114"/>
      <c r="W287" s="114"/>
      <c r="X287" s="112" t="s">
        <v>507</v>
      </c>
    </row>
    <row r="288" spans="1:24" ht="111.75" customHeight="1" x14ac:dyDescent="0.3">
      <c r="A288" s="112" t="s">
        <v>508</v>
      </c>
      <c r="B288" s="113" t="s">
        <v>117</v>
      </c>
      <c r="C288" s="113" t="s">
        <v>113</v>
      </c>
      <c r="D288" s="214" t="s">
        <v>776</v>
      </c>
      <c r="E288" s="113"/>
      <c r="F288" s="113"/>
      <c r="G288" s="113"/>
      <c r="H288" s="113"/>
      <c r="I288" s="113"/>
      <c r="J288" s="113"/>
      <c r="K288" s="113"/>
      <c r="L288" s="113"/>
      <c r="M288" s="113"/>
      <c r="N288" s="113"/>
      <c r="O288" s="113"/>
      <c r="P288" s="113"/>
      <c r="Q288" s="113"/>
      <c r="R288" s="113"/>
      <c r="S288" s="113" t="s">
        <v>300</v>
      </c>
      <c r="T288" s="118" t="s">
        <v>508</v>
      </c>
      <c r="U288" s="197">
        <f>П5ВЕД!AA483</f>
        <v>4179004.25</v>
      </c>
      <c r="V288" s="114"/>
      <c r="W288" s="114"/>
      <c r="X288" s="112" t="s">
        <v>508</v>
      </c>
    </row>
    <row r="289" spans="1:24" ht="137.25" customHeight="1" x14ac:dyDescent="0.3">
      <c r="A289" s="112" t="s">
        <v>383</v>
      </c>
      <c r="B289" s="113" t="s">
        <v>117</v>
      </c>
      <c r="C289" s="113" t="s">
        <v>113</v>
      </c>
      <c r="D289" s="214" t="s">
        <v>687</v>
      </c>
      <c r="E289" s="113"/>
      <c r="F289" s="113"/>
      <c r="G289" s="113"/>
      <c r="H289" s="113"/>
      <c r="I289" s="113"/>
      <c r="J289" s="113"/>
      <c r="K289" s="113"/>
      <c r="L289" s="113"/>
      <c r="M289" s="113"/>
      <c r="N289" s="113"/>
      <c r="O289" s="113"/>
      <c r="P289" s="113"/>
      <c r="Q289" s="113"/>
      <c r="R289" s="113"/>
      <c r="S289" s="113"/>
      <c r="T289" s="112" t="s">
        <v>686</v>
      </c>
      <c r="U289" s="196">
        <f>U290</f>
        <v>0</v>
      </c>
      <c r="V289" s="114"/>
      <c r="W289" s="114"/>
      <c r="X289" s="112" t="s">
        <v>383</v>
      </c>
    </row>
    <row r="290" spans="1:24" ht="111.75" customHeight="1" x14ac:dyDescent="0.3">
      <c r="A290" s="112" t="s">
        <v>384</v>
      </c>
      <c r="B290" s="113" t="s">
        <v>117</v>
      </c>
      <c r="C290" s="113" t="s">
        <v>113</v>
      </c>
      <c r="D290" s="214" t="s">
        <v>687</v>
      </c>
      <c r="E290" s="113"/>
      <c r="F290" s="113"/>
      <c r="G290" s="113"/>
      <c r="H290" s="113"/>
      <c r="I290" s="113"/>
      <c r="J290" s="113"/>
      <c r="K290" s="113"/>
      <c r="L290" s="113"/>
      <c r="M290" s="113"/>
      <c r="N290" s="113"/>
      <c r="O290" s="113"/>
      <c r="P290" s="113"/>
      <c r="Q290" s="113"/>
      <c r="R290" s="113"/>
      <c r="S290" s="113" t="s">
        <v>281</v>
      </c>
      <c r="T290" s="118" t="s">
        <v>384</v>
      </c>
      <c r="U290" s="197">
        <f>П5ВЕД!AA192</f>
        <v>0</v>
      </c>
      <c r="V290" s="114"/>
      <c r="W290" s="114"/>
      <c r="X290" s="112" t="s">
        <v>384</v>
      </c>
    </row>
    <row r="291" spans="1:24" ht="188.25" customHeight="1" x14ac:dyDescent="0.3">
      <c r="A291" s="112" t="s">
        <v>385</v>
      </c>
      <c r="B291" s="113" t="s">
        <v>117</v>
      </c>
      <c r="C291" s="113" t="s">
        <v>113</v>
      </c>
      <c r="D291" s="214" t="s">
        <v>689</v>
      </c>
      <c r="E291" s="113"/>
      <c r="F291" s="113"/>
      <c r="G291" s="113"/>
      <c r="H291" s="113"/>
      <c r="I291" s="113"/>
      <c r="J291" s="113"/>
      <c r="K291" s="113"/>
      <c r="L291" s="113"/>
      <c r="M291" s="113"/>
      <c r="N291" s="113"/>
      <c r="O291" s="113"/>
      <c r="P291" s="113"/>
      <c r="Q291" s="113"/>
      <c r="R291" s="113"/>
      <c r="S291" s="113"/>
      <c r="T291" s="112" t="s">
        <v>688</v>
      </c>
      <c r="U291" s="196">
        <f>U292</f>
        <v>100000</v>
      </c>
      <c r="V291" s="114"/>
      <c r="W291" s="114"/>
      <c r="X291" s="112" t="s">
        <v>385</v>
      </c>
    </row>
    <row r="292" spans="1:24" ht="111.75" customHeight="1" x14ac:dyDescent="0.3">
      <c r="A292" s="112" t="s">
        <v>386</v>
      </c>
      <c r="B292" s="113" t="s">
        <v>117</v>
      </c>
      <c r="C292" s="113" t="s">
        <v>113</v>
      </c>
      <c r="D292" s="214" t="s">
        <v>689</v>
      </c>
      <c r="E292" s="113"/>
      <c r="F292" s="113"/>
      <c r="G292" s="113"/>
      <c r="H292" s="113"/>
      <c r="I292" s="113"/>
      <c r="J292" s="113"/>
      <c r="K292" s="113"/>
      <c r="L292" s="113"/>
      <c r="M292" s="113"/>
      <c r="N292" s="113"/>
      <c r="O292" s="113"/>
      <c r="P292" s="113"/>
      <c r="Q292" s="113"/>
      <c r="R292" s="113"/>
      <c r="S292" s="113" t="s">
        <v>281</v>
      </c>
      <c r="T292" s="118" t="s">
        <v>386</v>
      </c>
      <c r="U292" s="197">
        <f>П5ВЕД!AA194</f>
        <v>100000</v>
      </c>
      <c r="V292" s="114"/>
      <c r="W292" s="114"/>
      <c r="X292" s="112" t="s">
        <v>386</v>
      </c>
    </row>
    <row r="293" spans="1:24" ht="149.25" customHeight="1" x14ac:dyDescent="0.3">
      <c r="A293" s="112" t="s">
        <v>387</v>
      </c>
      <c r="B293" s="113" t="s">
        <v>117</v>
      </c>
      <c r="C293" s="113" t="s">
        <v>113</v>
      </c>
      <c r="D293" s="214" t="s">
        <v>691</v>
      </c>
      <c r="E293" s="113"/>
      <c r="F293" s="113"/>
      <c r="G293" s="113"/>
      <c r="H293" s="113"/>
      <c r="I293" s="113"/>
      <c r="J293" s="113"/>
      <c r="K293" s="113"/>
      <c r="L293" s="113"/>
      <c r="M293" s="113"/>
      <c r="N293" s="113"/>
      <c r="O293" s="113"/>
      <c r="P293" s="113"/>
      <c r="Q293" s="113"/>
      <c r="R293" s="113"/>
      <c r="S293" s="113"/>
      <c r="T293" s="112" t="s">
        <v>690</v>
      </c>
      <c r="U293" s="196">
        <f>U294</f>
        <v>0</v>
      </c>
      <c r="V293" s="114"/>
      <c r="W293" s="114"/>
      <c r="X293" s="112" t="s">
        <v>387</v>
      </c>
    </row>
    <row r="294" spans="1:24" ht="93" customHeight="1" x14ac:dyDescent="0.3">
      <c r="A294" s="112" t="s">
        <v>388</v>
      </c>
      <c r="B294" s="113" t="s">
        <v>117</v>
      </c>
      <c r="C294" s="113" t="s">
        <v>113</v>
      </c>
      <c r="D294" s="214" t="s">
        <v>691</v>
      </c>
      <c r="E294" s="113"/>
      <c r="F294" s="113"/>
      <c r="G294" s="113"/>
      <c r="H294" s="113"/>
      <c r="I294" s="113"/>
      <c r="J294" s="113"/>
      <c r="K294" s="113"/>
      <c r="L294" s="113"/>
      <c r="M294" s="113"/>
      <c r="N294" s="113"/>
      <c r="O294" s="113"/>
      <c r="P294" s="113"/>
      <c r="Q294" s="113"/>
      <c r="R294" s="113"/>
      <c r="S294" s="113" t="s">
        <v>281</v>
      </c>
      <c r="T294" s="146" t="s">
        <v>388</v>
      </c>
      <c r="U294" s="197">
        <f>П5ВЕД!AA196</f>
        <v>0</v>
      </c>
      <c r="V294" s="114"/>
      <c r="W294" s="114"/>
      <c r="X294" s="112" t="s">
        <v>388</v>
      </c>
    </row>
    <row r="295" spans="1:24" ht="198" customHeight="1" x14ac:dyDescent="0.3">
      <c r="A295" s="112"/>
      <c r="B295" s="113" t="s">
        <v>117</v>
      </c>
      <c r="C295" s="113" t="s">
        <v>113</v>
      </c>
      <c r="D295" s="216" t="s">
        <v>976</v>
      </c>
      <c r="E295" s="113"/>
      <c r="F295" s="113"/>
      <c r="G295" s="113"/>
      <c r="H295" s="113"/>
      <c r="I295" s="113"/>
      <c r="J295" s="113"/>
      <c r="K295" s="113"/>
      <c r="L295" s="113"/>
      <c r="M295" s="113"/>
      <c r="N295" s="113"/>
      <c r="O295" s="113"/>
      <c r="P295" s="113"/>
      <c r="Q295" s="113"/>
      <c r="R295" s="113"/>
      <c r="S295" s="113"/>
      <c r="T295" s="293" t="s">
        <v>975</v>
      </c>
      <c r="U295" s="197">
        <f>U296</f>
        <v>360466.03</v>
      </c>
      <c r="V295" s="114"/>
      <c r="W295" s="114"/>
      <c r="X295" s="112"/>
    </row>
    <row r="296" spans="1:24" ht="67.5" customHeight="1" x14ac:dyDescent="0.3">
      <c r="A296" s="112"/>
      <c r="B296" s="113" t="s">
        <v>117</v>
      </c>
      <c r="C296" s="113" t="s">
        <v>113</v>
      </c>
      <c r="D296" s="216" t="s">
        <v>976</v>
      </c>
      <c r="E296" s="113"/>
      <c r="F296" s="113"/>
      <c r="G296" s="113"/>
      <c r="H296" s="113"/>
      <c r="I296" s="113"/>
      <c r="J296" s="113"/>
      <c r="K296" s="113"/>
      <c r="L296" s="113"/>
      <c r="M296" s="113"/>
      <c r="N296" s="113"/>
      <c r="O296" s="113"/>
      <c r="P296" s="113"/>
      <c r="Q296" s="113"/>
      <c r="R296" s="113"/>
      <c r="S296" s="113" t="s">
        <v>433</v>
      </c>
      <c r="T296" s="147" t="s">
        <v>856</v>
      </c>
      <c r="U296" s="197">
        <f>П5ВЕД!AA322</f>
        <v>360466.03</v>
      </c>
      <c r="V296" s="114"/>
      <c r="W296" s="114"/>
      <c r="X296" s="112"/>
    </row>
    <row r="297" spans="1:24" ht="111.75" customHeight="1" x14ac:dyDescent="0.3">
      <c r="A297" s="112" t="s">
        <v>234</v>
      </c>
      <c r="B297" s="113" t="s">
        <v>117</v>
      </c>
      <c r="C297" s="113" t="s">
        <v>113</v>
      </c>
      <c r="D297" s="214" t="s">
        <v>692</v>
      </c>
      <c r="E297" s="113"/>
      <c r="F297" s="113"/>
      <c r="G297" s="113"/>
      <c r="H297" s="113"/>
      <c r="I297" s="113"/>
      <c r="J297" s="113"/>
      <c r="K297" s="113"/>
      <c r="L297" s="113"/>
      <c r="M297" s="113"/>
      <c r="N297" s="113"/>
      <c r="O297" s="113"/>
      <c r="P297" s="113"/>
      <c r="Q297" s="113"/>
      <c r="R297" s="113"/>
      <c r="S297" s="113"/>
      <c r="T297" s="112" t="s">
        <v>234</v>
      </c>
      <c r="U297" s="196">
        <f>U298</f>
        <v>1847890</v>
      </c>
      <c r="V297" s="114"/>
      <c r="W297" s="114"/>
      <c r="X297" s="112" t="s">
        <v>234</v>
      </c>
    </row>
    <row r="298" spans="1:24" ht="126" customHeight="1" x14ac:dyDescent="0.3">
      <c r="A298" s="112" t="s">
        <v>389</v>
      </c>
      <c r="B298" s="113" t="s">
        <v>117</v>
      </c>
      <c r="C298" s="113" t="s">
        <v>113</v>
      </c>
      <c r="D298" s="214" t="s">
        <v>692</v>
      </c>
      <c r="E298" s="113"/>
      <c r="F298" s="113"/>
      <c r="G298" s="113"/>
      <c r="H298" s="113"/>
      <c r="I298" s="113"/>
      <c r="J298" s="113"/>
      <c r="K298" s="113"/>
      <c r="L298" s="113"/>
      <c r="M298" s="113"/>
      <c r="N298" s="113"/>
      <c r="O298" s="113"/>
      <c r="P298" s="113"/>
      <c r="Q298" s="113"/>
      <c r="R298" s="113"/>
      <c r="S298" s="113" t="s">
        <v>281</v>
      </c>
      <c r="T298" s="112" t="s">
        <v>389</v>
      </c>
      <c r="U298" s="197">
        <f>П5ВЕД!AA198</f>
        <v>1847890</v>
      </c>
      <c r="V298" s="114"/>
      <c r="W298" s="114"/>
      <c r="X298" s="112" t="s">
        <v>389</v>
      </c>
    </row>
    <row r="299" spans="1:24" ht="18.600000000000001" customHeight="1" x14ac:dyDescent="0.3">
      <c r="A299" s="110" t="s">
        <v>390</v>
      </c>
      <c r="B299" s="122" t="s">
        <v>118</v>
      </c>
      <c r="C299" s="122" t="s">
        <v>124</v>
      </c>
      <c r="D299" s="122"/>
      <c r="E299" s="122"/>
      <c r="F299" s="122"/>
      <c r="G299" s="122"/>
      <c r="H299" s="122"/>
      <c r="I299" s="122"/>
      <c r="J299" s="122"/>
      <c r="K299" s="122"/>
      <c r="L299" s="122"/>
      <c r="M299" s="122"/>
      <c r="N299" s="122"/>
      <c r="O299" s="122"/>
      <c r="P299" s="122"/>
      <c r="Q299" s="122"/>
      <c r="R299" s="122"/>
      <c r="S299" s="122"/>
      <c r="T299" s="110" t="s">
        <v>390</v>
      </c>
      <c r="U299" s="200">
        <f>U300</f>
        <v>573397.05000000005</v>
      </c>
      <c r="V299" s="111"/>
      <c r="W299" s="111"/>
      <c r="X299" s="110" t="s">
        <v>390</v>
      </c>
    </row>
    <row r="300" spans="1:24" ht="37.15" customHeight="1" x14ac:dyDescent="0.3">
      <c r="A300" s="112" t="s">
        <v>152</v>
      </c>
      <c r="B300" s="113" t="s">
        <v>118</v>
      </c>
      <c r="C300" s="113" t="s">
        <v>118</v>
      </c>
      <c r="D300" s="113"/>
      <c r="E300" s="113"/>
      <c r="F300" s="113"/>
      <c r="G300" s="113"/>
      <c r="H300" s="113"/>
      <c r="I300" s="113"/>
      <c r="J300" s="113"/>
      <c r="K300" s="113"/>
      <c r="L300" s="113"/>
      <c r="M300" s="113"/>
      <c r="N300" s="113"/>
      <c r="O300" s="113"/>
      <c r="P300" s="113"/>
      <c r="Q300" s="113"/>
      <c r="R300" s="113"/>
      <c r="S300" s="113"/>
      <c r="T300" s="112" t="s">
        <v>152</v>
      </c>
      <c r="U300" s="197">
        <f>U301</f>
        <v>573397.05000000005</v>
      </c>
      <c r="V300" s="114"/>
      <c r="W300" s="114"/>
      <c r="X300" s="112" t="s">
        <v>152</v>
      </c>
    </row>
    <row r="301" spans="1:24" ht="271.5" customHeight="1" x14ac:dyDescent="0.3">
      <c r="A301" s="119" t="s">
        <v>220</v>
      </c>
      <c r="B301" s="113" t="s">
        <v>118</v>
      </c>
      <c r="C301" s="113" t="s">
        <v>118</v>
      </c>
      <c r="D301" s="214" t="s">
        <v>693</v>
      </c>
      <c r="E301" s="113"/>
      <c r="F301" s="113"/>
      <c r="G301" s="113"/>
      <c r="H301" s="113"/>
      <c r="I301" s="113"/>
      <c r="J301" s="113"/>
      <c r="K301" s="113"/>
      <c r="L301" s="113"/>
      <c r="M301" s="113"/>
      <c r="N301" s="113"/>
      <c r="O301" s="113"/>
      <c r="P301" s="113"/>
      <c r="Q301" s="113"/>
      <c r="R301" s="113"/>
      <c r="S301" s="113"/>
      <c r="T301" s="119" t="s">
        <v>220</v>
      </c>
      <c r="U301" s="196">
        <f>U302+U303</f>
        <v>573397.05000000005</v>
      </c>
      <c r="V301" s="114"/>
      <c r="W301" s="114"/>
      <c r="X301" s="119" t="s">
        <v>220</v>
      </c>
    </row>
    <row r="302" spans="1:24" ht="348" customHeight="1" x14ac:dyDescent="0.3">
      <c r="A302" s="119" t="s">
        <v>391</v>
      </c>
      <c r="B302" s="113" t="s">
        <v>118</v>
      </c>
      <c r="C302" s="113" t="s">
        <v>118</v>
      </c>
      <c r="D302" s="214" t="s">
        <v>693</v>
      </c>
      <c r="E302" s="113"/>
      <c r="F302" s="113"/>
      <c r="G302" s="113"/>
      <c r="H302" s="113"/>
      <c r="I302" s="113"/>
      <c r="J302" s="113"/>
      <c r="K302" s="113"/>
      <c r="L302" s="113"/>
      <c r="M302" s="113"/>
      <c r="N302" s="113"/>
      <c r="O302" s="113"/>
      <c r="P302" s="113"/>
      <c r="Q302" s="113"/>
      <c r="R302" s="113"/>
      <c r="S302" s="113" t="s">
        <v>29</v>
      </c>
      <c r="T302" s="119" t="s">
        <v>391</v>
      </c>
      <c r="U302" s="196">
        <f>П5ВЕД!AA202</f>
        <v>541281.05000000005</v>
      </c>
      <c r="V302" s="114"/>
      <c r="W302" s="114"/>
      <c r="X302" s="119" t="s">
        <v>391</v>
      </c>
    </row>
    <row r="303" spans="1:24" ht="298.5" customHeight="1" x14ac:dyDescent="0.3">
      <c r="A303" s="119" t="s">
        <v>392</v>
      </c>
      <c r="B303" s="113" t="s">
        <v>118</v>
      </c>
      <c r="C303" s="113" t="s">
        <v>118</v>
      </c>
      <c r="D303" s="214" t="s">
        <v>693</v>
      </c>
      <c r="E303" s="113"/>
      <c r="F303" s="113"/>
      <c r="G303" s="113"/>
      <c r="H303" s="113"/>
      <c r="I303" s="113"/>
      <c r="J303" s="113"/>
      <c r="K303" s="113"/>
      <c r="L303" s="113"/>
      <c r="M303" s="113"/>
      <c r="N303" s="113"/>
      <c r="O303" s="113"/>
      <c r="P303" s="113"/>
      <c r="Q303" s="113"/>
      <c r="R303" s="113"/>
      <c r="S303" s="113" t="s">
        <v>281</v>
      </c>
      <c r="T303" s="119" t="s">
        <v>392</v>
      </c>
      <c r="U303" s="196">
        <f>П5ВЕД!AA203</f>
        <v>32116</v>
      </c>
      <c r="V303" s="114"/>
      <c r="W303" s="114"/>
      <c r="X303" s="119" t="s">
        <v>392</v>
      </c>
    </row>
    <row r="304" spans="1:24" ht="18.600000000000001" customHeight="1" x14ac:dyDescent="0.3">
      <c r="A304" s="110" t="s">
        <v>393</v>
      </c>
      <c r="B304" s="122" t="s">
        <v>134</v>
      </c>
      <c r="C304" s="122" t="s">
        <v>124</v>
      </c>
      <c r="D304" s="122"/>
      <c r="E304" s="122"/>
      <c r="F304" s="122"/>
      <c r="G304" s="122"/>
      <c r="H304" s="122"/>
      <c r="I304" s="122"/>
      <c r="J304" s="122"/>
      <c r="K304" s="122"/>
      <c r="L304" s="122"/>
      <c r="M304" s="122"/>
      <c r="N304" s="122"/>
      <c r="O304" s="122"/>
      <c r="P304" s="122"/>
      <c r="Q304" s="122"/>
      <c r="R304" s="122"/>
      <c r="S304" s="122"/>
      <c r="T304" s="110" t="s">
        <v>393</v>
      </c>
      <c r="U304" s="200">
        <f>U305+U311+U329</f>
        <v>39714816.119999997</v>
      </c>
      <c r="V304" s="111"/>
      <c r="W304" s="111"/>
      <c r="X304" s="110" t="s">
        <v>393</v>
      </c>
    </row>
    <row r="305" spans="1:24" ht="18.600000000000001" customHeight="1" x14ac:dyDescent="0.3">
      <c r="A305" s="112" t="s">
        <v>153</v>
      </c>
      <c r="B305" s="113" t="s">
        <v>134</v>
      </c>
      <c r="C305" s="113" t="s">
        <v>113</v>
      </c>
      <c r="D305" s="113"/>
      <c r="E305" s="113"/>
      <c r="F305" s="113"/>
      <c r="G305" s="113"/>
      <c r="H305" s="113"/>
      <c r="I305" s="113"/>
      <c r="J305" s="113"/>
      <c r="K305" s="113"/>
      <c r="L305" s="113"/>
      <c r="M305" s="113"/>
      <c r="N305" s="113"/>
      <c r="O305" s="113"/>
      <c r="P305" s="113"/>
      <c r="Q305" s="113"/>
      <c r="R305" s="113"/>
      <c r="S305" s="113"/>
      <c r="T305" s="112" t="s">
        <v>153</v>
      </c>
      <c r="U305" s="197">
        <f>U306+U308</f>
        <v>1884025.98</v>
      </c>
      <c r="V305" s="114"/>
      <c r="W305" s="114"/>
      <c r="X305" s="112" t="s">
        <v>153</v>
      </c>
    </row>
    <row r="306" spans="1:24" ht="111.75" customHeight="1" x14ac:dyDescent="0.3">
      <c r="A306" s="112" t="s">
        <v>394</v>
      </c>
      <c r="B306" s="113" t="s">
        <v>134</v>
      </c>
      <c r="C306" s="113" t="s">
        <v>113</v>
      </c>
      <c r="D306" s="214" t="s">
        <v>694</v>
      </c>
      <c r="E306" s="113"/>
      <c r="F306" s="113"/>
      <c r="G306" s="113"/>
      <c r="H306" s="113"/>
      <c r="I306" s="113"/>
      <c r="J306" s="113"/>
      <c r="K306" s="113"/>
      <c r="L306" s="113"/>
      <c r="M306" s="113"/>
      <c r="N306" s="113"/>
      <c r="O306" s="113"/>
      <c r="P306" s="113"/>
      <c r="Q306" s="113"/>
      <c r="R306" s="113"/>
      <c r="S306" s="113"/>
      <c r="T306" s="112" t="s">
        <v>394</v>
      </c>
      <c r="U306" s="196">
        <f>U307</f>
        <v>1372209.98</v>
      </c>
      <c r="V306" s="114"/>
      <c r="W306" s="114"/>
      <c r="X306" s="112" t="s">
        <v>394</v>
      </c>
    </row>
    <row r="307" spans="1:24" ht="148.9" customHeight="1" x14ac:dyDescent="0.3">
      <c r="A307" s="112" t="s">
        <v>395</v>
      </c>
      <c r="B307" s="113" t="s">
        <v>134</v>
      </c>
      <c r="C307" s="113" t="s">
        <v>113</v>
      </c>
      <c r="D307" s="214" t="s">
        <v>694</v>
      </c>
      <c r="E307" s="113"/>
      <c r="F307" s="113"/>
      <c r="G307" s="113"/>
      <c r="H307" s="113"/>
      <c r="I307" s="113"/>
      <c r="J307" s="113"/>
      <c r="K307" s="113"/>
      <c r="L307" s="113"/>
      <c r="M307" s="113"/>
      <c r="N307" s="113"/>
      <c r="O307" s="113"/>
      <c r="P307" s="113"/>
      <c r="Q307" s="113"/>
      <c r="R307" s="113"/>
      <c r="S307" s="113" t="s">
        <v>396</v>
      </c>
      <c r="T307" s="112" t="s">
        <v>395</v>
      </c>
      <c r="U307" s="197">
        <f>П5ВЕД!AA207</f>
        <v>1372209.98</v>
      </c>
      <c r="V307" s="114"/>
      <c r="W307" s="114"/>
      <c r="X307" s="112" t="s">
        <v>395</v>
      </c>
    </row>
    <row r="308" spans="1:24" ht="199.5" customHeight="1" x14ac:dyDescent="0.3">
      <c r="A308" s="119" t="s">
        <v>481</v>
      </c>
      <c r="B308" s="113" t="s">
        <v>134</v>
      </c>
      <c r="C308" s="113" t="s">
        <v>113</v>
      </c>
      <c r="D308" s="214" t="s">
        <v>695</v>
      </c>
      <c r="E308" s="113"/>
      <c r="F308" s="113"/>
      <c r="G308" s="113"/>
      <c r="H308" s="113"/>
      <c r="I308" s="113"/>
      <c r="J308" s="113"/>
      <c r="K308" s="113"/>
      <c r="L308" s="113"/>
      <c r="M308" s="113"/>
      <c r="N308" s="113"/>
      <c r="O308" s="113"/>
      <c r="P308" s="113"/>
      <c r="Q308" s="113"/>
      <c r="R308" s="113"/>
      <c r="S308" s="113"/>
      <c r="T308" s="119" t="s">
        <v>481</v>
      </c>
      <c r="U308" s="196">
        <f>U310+U309</f>
        <v>511816</v>
      </c>
      <c r="V308" s="114"/>
      <c r="W308" s="114"/>
      <c r="X308" s="119" t="s">
        <v>481</v>
      </c>
    </row>
    <row r="309" spans="1:24" ht="229.5" customHeight="1" x14ac:dyDescent="0.3">
      <c r="A309" s="119"/>
      <c r="B309" s="113" t="s">
        <v>134</v>
      </c>
      <c r="C309" s="113" t="s">
        <v>113</v>
      </c>
      <c r="D309" s="214" t="s">
        <v>695</v>
      </c>
      <c r="E309" s="113"/>
      <c r="F309" s="113"/>
      <c r="G309" s="113"/>
      <c r="H309" s="113"/>
      <c r="I309" s="113"/>
      <c r="J309" s="113"/>
      <c r="K309" s="113"/>
      <c r="L309" s="113"/>
      <c r="M309" s="113"/>
      <c r="N309" s="113"/>
      <c r="O309" s="113"/>
      <c r="P309" s="113"/>
      <c r="Q309" s="113"/>
      <c r="R309" s="113"/>
      <c r="S309" s="113" t="s">
        <v>281</v>
      </c>
      <c r="T309" s="150" t="s">
        <v>950</v>
      </c>
      <c r="U309" s="196">
        <f>П5ВЕД!AA439</f>
        <v>3816</v>
      </c>
      <c r="V309" s="114"/>
      <c r="W309" s="114"/>
      <c r="X309" s="119"/>
    </row>
    <row r="310" spans="1:24" ht="227.25" customHeight="1" x14ac:dyDescent="0.3">
      <c r="A310" s="119" t="s">
        <v>483</v>
      </c>
      <c r="B310" s="113" t="s">
        <v>134</v>
      </c>
      <c r="C310" s="113" t="s">
        <v>113</v>
      </c>
      <c r="D310" s="214" t="s">
        <v>695</v>
      </c>
      <c r="E310" s="113"/>
      <c r="F310" s="113"/>
      <c r="G310" s="113"/>
      <c r="H310" s="113"/>
      <c r="I310" s="113"/>
      <c r="J310" s="113"/>
      <c r="K310" s="113"/>
      <c r="L310" s="113"/>
      <c r="M310" s="113"/>
      <c r="N310" s="113"/>
      <c r="O310" s="113"/>
      <c r="P310" s="113"/>
      <c r="Q310" s="113"/>
      <c r="R310" s="113"/>
      <c r="S310" s="113" t="s">
        <v>396</v>
      </c>
      <c r="T310" s="119" t="s">
        <v>483</v>
      </c>
      <c r="U310" s="197">
        <f>П5ВЕД!AA209+П5ВЕД!AA440</f>
        <v>508000</v>
      </c>
      <c r="V310" s="114"/>
      <c r="W310" s="114"/>
      <c r="X310" s="119" t="s">
        <v>483</v>
      </c>
    </row>
    <row r="311" spans="1:24" ht="18.600000000000001" customHeight="1" x14ac:dyDescent="0.3">
      <c r="A311" s="112" t="s">
        <v>154</v>
      </c>
      <c r="B311" s="113" t="s">
        <v>134</v>
      </c>
      <c r="C311" s="113" t="s">
        <v>114</v>
      </c>
      <c r="D311" s="113"/>
      <c r="E311" s="113"/>
      <c r="F311" s="113"/>
      <c r="G311" s="113"/>
      <c r="H311" s="113"/>
      <c r="I311" s="113"/>
      <c r="J311" s="113"/>
      <c r="K311" s="113"/>
      <c r="L311" s="113"/>
      <c r="M311" s="113"/>
      <c r="N311" s="113"/>
      <c r="O311" s="113"/>
      <c r="P311" s="113"/>
      <c r="Q311" s="113"/>
      <c r="R311" s="113"/>
      <c r="S311" s="113"/>
      <c r="T311" s="112" t="s">
        <v>154</v>
      </c>
      <c r="U311" s="197">
        <f>U312+U314+U322+U324+U327+U316+U320+U318</f>
        <v>3668698.5300000003</v>
      </c>
      <c r="V311" s="114"/>
      <c r="W311" s="114"/>
      <c r="X311" s="112" t="s">
        <v>154</v>
      </c>
    </row>
    <row r="312" spans="1:24" ht="189" customHeight="1" x14ac:dyDescent="0.3">
      <c r="A312" s="112" t="s">
        <v>397</v>
      </c>
      <c r="B312" s="113" t="s">
        <v>134</v>
      </c>
      <c r="C312" s="113" t="s">
        <v>114</v>
      </c>
      <c r="D312" s="214" t="s">
        <v>697</v>
      </c>
      <c r="E312" s="113"/>
      <c r="F312" s="113"/>
      <c r="G312" s="113"/>
      <c r="H312" s="113"/>
      <c r="I312" s="113"/>
      <c r="J312" s="113"/>
      <c r="K312" s="113"/>
      <c r="L312" s="113"/>
      <c r="M312" s="113"/>
      <c r="N312" s="113"/>
      <c r="O312" s="113"/>
      <c r="P312" s="113"/>
      <c r="Q312" s="113"/>
      <c r="R312" s="113"/>
      <c r="S312" s="113"/>
      <c r="T312" s="112" t="s">
        <v>696</v>
      </c>
      <c r="U312" s="196">
        <f>U313</f>
        <v>53000</v>
      </c>
      <c r="V312" s="114"/>
      <c r="W312" s="114"/>
      <c r="X312" s="112" t="s">
        <v>397</v>
      </c>
    </row>
    <row r="313" spans="1:24" ht="111.75" customHeight="1" x14ac:dyDescent="0.3">
      <c r="A313" s="112" t="s">
        <v>398</v>
      </c>
      <c r="B313" s="113" t="s">
        <v>134</v>
      </c>
      <c r="C313" s="113" t="s">
        <v>114</v>
      </c>
      <c r="D313" s="214" t="s">
        <v>697</v>
      </c>
      <c r="E313" s="113"/>
      <c r="F313" s="113"/>
      <c r="G313" s="113"/>
      <c r="H313" s="113"/>
      <c r="I313" s="113"/>
      <c r="J313" s="113"/>
      <c r="K313" s="113"/>
      <c r="L313" s="113"/>
      <c r="M313" s="113"/>
      <c r="N313" s="113"/>
      <c r="O313" s="113"/>
      <c r="P313" s="113"/>
      <c r="Q313" s="113"/>
      <c r="R313" s="113"/>
      <c r="S313" s="113" t="s">
        <v>281</v>
      </c>
      <c r="T313" s="118" t="s">
        <v>398</v>
      </c>
      <c r="U313" s="197">
        <f>П5ВЕД!AA212</f>
        <v>53000</v>
      </c>
      <c r="V313" s="114"/>
      <c r="W313" s="114"/>
      <c r="X313" s="112" t="s">
        <v>398</v>
      </c>
    </row>
    <row r="314" spans="1:24" ht="55.9" customHeight="1" x14ac:dyDescent="0.3">
      <c r="A314" s="112" t="s">
        <v>399</v>
      </c>
      <c r="B314" s="113" t="s">
        <v>134</v>
      </c>
      <c r="C314" s="113" t="s">
        <v>114</v>
      </c>
      <c r="D314" s="214" t="s">
        <v>699</v>
      </c>
      <c r="E314" s="113"/>
      <c r="F314" s="113"/>
      <c r="G314" s="113"/>
      <c r="H314" s="113"/>
      <c r="I314" s="113"/>
      <c r="J314" s="113"/>
      <c r="K314" s="113"/>
      <c r="L314" s="113"/>
      <c r="M314" s="113"/>
      <c r="N314" s="113"/>
      <c r="O314" s="113"/>
      <c r="P314" s="113"/>
      <c r="Q314" s="113"/>
      <c r="R314" s="113"/>
      <c r="S314" s="113"/>
      <c r="T314" s="112" t="s">
        <v>399</v>
      </c>
      <c r="U314" s="196">
        <f>U315</f>
        <v>1000000</v>
      </c>
      <c r="V314" s="114"/>
      <c r="W314" s="114"/>
      <c r="X314" s="112" t="s">
        <v>399</v>
      </c>
    </row>
    <row r="315" spans="1:24" ht="93" customHeight="1" x14ac:dyDescent="0.3">
      <c r="A315" s="112" t="s">
        <v>400</v>
      </c>
      <c r="B315" s="113" t="s">
        <v>134</v>
      </c>
      <c r="C315" s="113" t="s">
        <v>114</v>
      </c>
      <c r="D315" s="214" t="s">
        <v>699</v>
      </c>
      <c r="E315" s="113"/>
      <c r="F315" s="113"/>
      <c r="G315" s="113"/>
      <c r="H315" s="113"/>
      <c r="I315" s="113"/>
      <c r="J315" s="113"/>
      <c r="K315" s="113"/>
      <c r="L315" s="113"/>
      <c r="M315" s="113"/>
      <c r="N315" s="113"/>
      <c r="O315" s="113"/>
      <c r="P315" s="113"/>
      <c r="Q315" s="113"/>
      <c r="R315" s="113"/>
      <c r="S315" s="113" t="s">
        <v>396</v>
      </c>
      <c r="T315" s="112" t="s">
        <v>400</v>
      </c>
      <c r="U315" s="197">
        <f>П5ВЕД!AA214</f>
        <v>1000000</v>
      </c>
      <c r="V315" s="114"/>
      <c r="W315" s="114"/>
      <c r="X315" s="112" t="s">
        <v>400</v>
      </c>
    </row>
    <row r="316" spans="1:24" ht="118.5" customHeight="1" x14ac:dyDescent="0.3">
      <c r="A316" s="112"/>
      <c r="B316" s="113" t="s">
        <v>134</v>
      </c>
      <c r="C316" s="113" t="s">
        <v>114</v>
      </c>
      <c r="D316" s="214" t="s">
        <v>928</v>
      </c>
      <c r="E316" s="113"/>
      <c r="F316" s="113"/>
      <c r="G316" s="113"/>
      <c r="H316" s="113"/>
      <c r="I316" s="113"/>
      <c r="J316" s="113"/>
      <c r="K316" s="113"/>
      <c r="L316" s="113"/>
      <c r="M316" s="113"/>
      <c r="N316" s="113"/>
      <c r="O316" s="113"/>
      <c r="P316" s="113"/>
      <c r="Q316" s="113"/>
      <c r="R316" s="113"/>
      <c r="S316" s="113"/>
      <c r="T316" s="171" t="s">
        <v>925</v>
      </c>
      <c r="U316" s="197">
        <f>U317</f>
        <v>471100</v>
      </c>
      <c r="V316" s="114"/>
      <c r="W316" s="114"/>
      <c r="X316" s="112"/>
    </row>
    <row r="317" spans="1:24" ht="56.25" customHeight="1" x14ac:dyDescent="0.3">
      <c r="A317" s="112"/>
      <c r="B317" s="113" t="s">
        <v>134</v>
      </c>
      <c r="C317" s="113" t="s">
        <v>114</v>
      </c>
      <c r="D317" s="214" t="s">
        <v>928</v>
      </c>
      <c r="E317" s="113"/>
      <c r="F317" s="113"/>
      <c r="G317" s="113"/>
      <c r="H317" s="113"/>
      <c r="I317" s="113"/>
      <c r="J317" s="113"/>
      <c r="K317" s="113"/>
      <c r="L317" s="113"/>
      <c r="M317" s="113"/>
      <c r="N317" s="113"/>
      <c r="O317" s="113"/>
      <c r="P317" s="113"/>
      <c r="Q317" s="113"/>
      <c r="R317" s="113"/>
      <c r="S317" s="113" t="s">
        <v>396</v>
      </c>
      <c r="T317" s="146" t="s">
        <v>926</v>
      </c>
      <c r="U317" s="197">
        <f>П5ВЕД!AA216</f>
        <v>471100</v>
      </c>
      <c r="V317" s="114"/>
      <c r="W317" s="114"/>
      <c r="X317" s="112"/>
    </row>
    <row r="318" spans="1:24" ht="120" customHeight="1" x14ac:dyDescent="0.3">
      <c r="A318" s="112"/>
      <c r="B318" s="113" t="s">
        <v>134</v>
      </c>
      <c r="C318" s="113" t="s">
        <v>114</v>
      </c>
      <c r="D318" s="214" t="s">
        <v>957</v>
      </c>
      <c r="E318" s="113"/>
      <c r="F318" s="113"/>
      <c r="G318" s="113"/>
      <c r="H318" s="113"/>
      <c r="I318" s="113"/>
      <c r="J318" s="113"/>
      <c r="K318" s="113"/>
      <c r="L318" s="113"/>
      <c r="M318" s="113"/>
      <c r="N318" s="113"/>
      <c r="O318" s="113"/>
      <c r="P318" s="113"/>
      <c r="Q318" s="113"/>
      <c r="R318" s="113"/>
      <c r="S318" s="113"/>
      <c r="T318" s="147" t="s">
        <v>927</v>
      </c>
      <c r="U318" s="197">
        <f>U319</f>
        <v>400000</v>
      </c>
      <c r="V318" s="114"/>
      <c r="W318" s="114"/>
      <c r="X318" s="112"/>
    </row>
    <row r="319" spans="1:24" ht="56.25" customHeight="1" x14ac:dyDescent="0.3">
      <c r="A319" s="112"/>
      <c r="B319" s="113" t="s">
        <v>134</v>
      </c>
      <c r="C319" s="113" t="s">
        <v>114</v>
      </c>
      <c r="D319" s="214" t="s">
        <v>957</v>
      </c>
      <c r="E319" s="113"/>
      <c r="F319" s="113"/>
      <c r="G319" s="113"/>
      <c r="H319" s="113"/>
      <c r="I319" s="113"/>
      <c r="J319" s="113"/>
      <c r="K319" s="113"/>
      <c r="L319" s="113"/>
      <c r="M319" s="113"/>
      <c r="N319" s="113"/>
      <c r="O319" s="113"/>
      <c r="P319" s="113"/>
      <c r="Q319" s="113"/>
      <c r="R319" s="113"/>
      <c r="S319" s="113" t="s">
        <v>396</v>
      </c>
      <c r="T319" s="146" t="s">
        <v>926</v>
      </c>
      <c r="U319" s="197">
        <f>П5ВЕД!AA217</f>
        <v>400000</v>
      </c>
      <c r="V319" s="114"/>
      <c r="W319" s="114"/>
      <c r="X319" s="112"/>
    </row>
    <row r="320" spans="1:24" ht="120" customHeight="1" x14ac:dyDescent="0.3">
      <c r="A320" s="112"/>
      <c r="B320" s="113" t="s">
        <v>134</v>
      </c>
      <c r="C320" s="113" t="s">
        <v>114</v>
      </c>
      <c r="D320" s="214" t="s">
        <v>929</v>
      </c>
      <c r="E320" s="113"/>
      <c r="F320" s="113"/>
      <c r="G320" s="113"/>
      <c r="H320" s="113"/>
      <c r="I320" s="113"/>
      <c r="J320" s="113"/>
      <c r="K320" s="113"/>
      <c r="L320" s="113"/>
      <c r="M320" s="113"/>
      <c r="N320" s="113"/>
      <c r="O320" s="113"/>
      <c r="P320" s="113"/>
      <c r="Q320" s="113"/>
      <c r="R320" s="113"/>
      <c r="S320" s="113"/>
      <c r="T320" s="147" t="s">
        <v>927</v>
      </c>
      <c r="U320" s="197">
        <f>U321</f>
        <v>0</v>
      </c>
      <c r="V320" s="114"/>
      <c r="W320" s="114"/>
      <c r="X320" s="112"/>
    </row>
    <row r="321" spans="1:24" ht="41.25" customHeight="1" x14ac:dyDescent="0.3">
      <c r="A321" s="112"/>
      <c r="B321" s="113" t="s">
        <v>134</v>
      </c>
      <c r="C321" s="113" t="s">
        <v>114</v>
      </c>
      <c r="D321" s="214" t="s">
        <v>929</v>
      </c>
      <c r="E321" s="113"/>
      <c r="F321" s="113"/>
      <c r="G321" s="113"/>
      <c r="H321" s="113"/>
      <c r="I321" s="113"/>
      <c r="J321" s="113"/>
      <c r="K321" s="113"/>
      <c r="L321" s="113"/>
      <c r="M321" s="113"/>
      <c r="N321" s="113"/>
      <c r="O321" s="113"/>
      <c r="P321" s="113"/>
      <c r="Q321" s="113"/>
      <c r="R321" s="113"/>
      <c r="S321" s="113" t="s">
        <v>396</v>
      </c>
      <c r="T321" s="146" t="s">
        <v>926</v>
      </c>
      <c r="U321" s="197">
        <f>П5ВЕД!AA220</f>
        <v>0</v>
      </c>
      <c r="V321" s="114"/>
      <c r="W321" s="114"/>
      <c r="X321" s="112"/>
    </row>
    <row r="322" spans="1:24" ht="156.75" customHeight="1" x14ac:dyDescent="0.3">
      <c r="A322" s="112" t="s">
        <v>401</v>
      </c>
      <c r="B322" s="113" t="s">
        <v>134</v>
      </c>
      <c r="C322" s="113" t="s">
        <v>114</v>
      </c>
      <c r="D322" s="214" t="s">
        <v>778</v>
      </c>
      <c r="E322" s="113"/>
      <c r="F322" s="113"/>
      <c r="G322" s="113"/>
      <c r="H322" s="113"/>
      <c r="I322" s="113"/>
      <c r="J322" s="113"/>
      <c r="K322" s="113"/>
      <c r="L322" s="113"/>
      <c r="M322" s="113"/>
      <c r="N322" s="113"/>
      <c r="O322" s="113"/>
      <c r="P322" s="113"/>
      <c r="Q322" s="113"/>
      <c r="R322" s="113"/>
      <c r="S322" s="113"/>
      <c r="T322" s="112" t="s">
        <v>698</v>
      </c>
      <c r="U322" s="196">
        <f>U323</f>
        <v>50000</v>
      </c>
      <c r="V322" s="114"/>
      <c r="W322" s="114"/>
      <c r="X322" s="112" t="s">
        <v>401</v>
      </c>
    </row>
    <row r="323" spans="1:24" ht="130.35" customHeight="1" x14ac:dyDescent="0.3">
      <c r="A323" s="112" t="s">
        <v>402</v>
      </c>
      <c r="B323" s="113" t="s">
        <v>134</v>
      </c>
      <c r="C323" s="113" t="s">
        <v>114</v>
      </c>
      <c r="D323" s="214" t="s">
        <v>778</v>
      </c>
      <c r="E323" s="113"/>
      <c r="F323" s="113"/>
      <c r="G323" s="113"/>
      <c r="H323" s="113"/>
      <c r="I323" s="113"/>
      <c r="J323" s="113"/>
      <c r="K323" s="113"/>
      <c r="L323" s="113"/>
      <c r="M323" s="113"/>
      <c r="N323" s="113"/>
      <c r="O323" s="113"/>
      <c r="P323" s="113"/>
      <c r="Q323" s="113"/>
      <c r="R323" s="113"/>
      <c r="S323" s="113" t="s">
        <v>281</v>
      </c>
      <c r="T323" s="156" t="s">
        <v>400</v>
      </c>
      <c r="U323" s="197">
        <f>П5ВЕД!AA222</f>
        <v>50000</v>
      </c>
      <c r="V323" s="114"/>
      <c r="W323" s="114"/>
      <c r="X323" s="112" t="s">
        <v>402</v>
      </c>
    </row>
    <row r="324" spans="1:24" ht="63.75" customHeight="1" x14ac:dyDescent="0.3">
      <c r="A324" s="112" t="s">
        <v>233</v>
      </c>
      <c r="B324" s="113" t="s">
        <v>134</v>
      </c>
      <c r="C324" s="113" t="s">
        <v>114</v>
      </c>
      <c r="D324" s="214" t="s">
        <v>779</v>
      </c>
      <c r="E324" s="113"/>
      <c r="F324" s="113"/>
      <c r="G324" s="113"/>
      <c r="H324" s="113"/>
      <c r="I324" s="113"/>
      <c r="J324" s="113"/>
      <c r="K324" s="113"/>
      <c r="L324" s="113"/>
      <c r="M324" s="113"/>
      <c r="N324" s="113"/>
      <c r="O324" s="113"/>
      <c r="P324" s="113"/>
      <c r="Q324" s="113"/>
      <c r="R324" s="113"/>
      <c r="S324" s="113"/>
      <c r="T324" s="112" t="s">
        <v>233</v>
      </c>
      <c r="U324" s="196">
        <f>U325+U326</f>
        <v>1334598.53</v>
      </c>
      <c r="V324" s="114"/>
      <c r="W324" s="114"/>
      <c r="X324" s="112" t="s">
        <v>233</v>
      </c>
    </row>
    <row r="325" spans="1:24" ht="63.75" customHeight="1" x14ac:dyDescent="0.3">
      <c r="A325" s="112"/>
      <c r="B325" s="113" t="s">
        <v>134</v>
      </c>
      <c r="C325" s="113" t="s">
        <v>114</v>
      </c>
      <c r="D325" s="214" t="s">
        <v>779</v>
      </c>
      <c r="E325" s="113"/>
      <c r="F325" s="113"/>
      <c r="G325" s="113"/>
      <c r="H325" s="113"/>
      <c r="I325" s="113"/>
      <c r="J325" s="113"/>
      <c r="K325" s="113"/>
      <c r="L325" s="113"/>
      <c r="M325" s="113"/>
      <c r="N325" s="113"/>
      <c r="O325" s="113"/>
      <c r="P325" s="113"/>
      <c r="Q325" s="113"/>
      <c r="R325" s="113"/>
      <c r="S325" s="113" t="s">
        <v>281</v>
      </c>
      <c r="T325" s="112" t="s">
        <v>838</v>
      </c>
      <c r="U325" s="196">
        <f>П5ВЕД!AA224</f>
        <v>321300</v>
      </c>
      <c r="V325" s="114"/>
      <c r="W325" s="114"/>
      <c r="X325" s="112"/>
    </row>
    <row r="326" spans="1:24" ht="81" customHeight="1" x14ac:dyDescent="0.3">
      <c r="A326" s="112" t="s">
        <v>403</v>
      </c>
      <c r="B326" s="113" t="s">
        <v>134</v>
      </c>
      <c r="C326" s="113" t="s">
        <v>114</v>
      </c>
      <c r="D326" s="214" t="s">
        <v>779</v>
      </c>
      <c r="E326" s="113"/>
      <c r="F326" s="113"/>
      <c r="G326" s="113"/>
      <c r="H326" s="113"/>
      <c r="I326" s="113"/>
      <c r="J326" s="113"/>
      <c r="K326" s="113"/>
      <c r="L326" s="113"/>
      <c r="M326" s="113"/>
      <c r="N326" s="113"/>
      <c r="O326" s="113"/>
      <c r="P326" s="113"/>
      <c r="Q326" s="113"/>
      <c r="R326" s="113"/>
      <c r="S326" s="113" t="s">
        <v>396</v>
      </c>
      <c r="T326" s="112" t="s">
        <v>403</v>
      </c>
      <c r="U326" s="197">
        <f>П5ВЕД!AA225</f>
        <v>1013298.53</v>
      </c>
      <c r="V326" s="114"/>
      <c r="W326" s="114"/>
      <c r="X326" s="112" t="s">
        <v>403</v>
      </c>
    </row>
    <row r="327" spans="1:24" ht="103.5" customHeight="1" x14ac:dyDescent="0.3">
      <c r="A327" s="112"/>
      <c r="B327" s="113" t="s">
        <v>134</v>
      </c>
      <c r="C327" s="113" t="s">
        <v>114</v>
      </c>
      <c r="D327" s="216" t="s">
        <v>725</v>
      </c>
      <c r="E327" s="113"/>
      <c r="F327" s="113"/>
      <c r="G327" s="113"/>
      <c r="H327" s="113"/>
      <c r="I327" s="113"/>
      <c r="J327" s="113"/>
      <c r="K327" s="113"/>
      <c r="L327" s="113"/>
      <c r="M327" s="113"/>
      <c r="N327" s="113"/>
      <c r="O327" s="113"/>
      <c r="P327" s="113"/>
      <c r="Q327" s="113"/>
      <c r="R327" s="113"/>
      <c r="S327" s="113"/>
      <c r="T327" s="248" t="s">
        <v>537</v>
      </c>
      <c r="U327" s="197">
        <f>U328</f>
        <v>360000</v>
      </c>
      <c r="V327" s="114"/>
      <c r="W327" s="114"/>
      <c r="X327" s="112"/>
    </row>
    <row r="328" spans="1:24" ht="101.25" customHeight="1" x14ac:dyDescent="0.3">
      <c r="A328" s="112"/>
      <c r="B328" s="113" t="s">
        <v>134</v>
      </c>
      <c r="C328" s="113" t="s">
        <v>114</v>
      </c>
      <c r="D328" s="216" t="s">
        <v>725</v>
      </c>
      <c r="E328" s="113"/>
      <c r="F328" s="113"/>
      <c r="G328" s="113"/>
      <c r="H328" s="113"/>
      <c r="I328" s="113"/>
      <c r="J328" s="113"/>
      <c r="K328" s="113"/>
      <c r="L328" s="113"/>
      <c r="M328" s="113"/>
      <c r="N328" s="113"/>
      <c r="O328" s="113"/>
      <c r="P328" s="113"/>
      <c r="Q328" s="113"/>
      <c r="R328" s="113"/>
      <c r="S328" s="113" t="s">
        <v>396</v>
      </c>
      <c r="T328" s="191" t="s">
        <v>537</v>
      </c>
      <c r="U328" s="197">
        <f>П5ВЕД!AA226</f>
        <v>360000</v>
      </c>
      <c r="V328" s="114"/>
      <c r="W328" s="114"/>
      <c r="X328" s="112"/>
    </row>
    <row r="329" spans="1:24" ht="18.600000000000001" customHeight="1" x14ac:dyDescent="0.3">
      <c r="A329" s="112" t="s">
        <v>155</v>
      </c>
      <c r="B329" s="113" t="s">
        <v>134</v>
      </c>
      <c r="C329" s="113" t="s">
        <v>127</v>
      </c>
      <c r="D329" s="113"/>
      <c r="E329" s="113"/>
      <c r="F329" s="113"/>
      <c r="G329" s="113"/>
      <c r="H329" s="113"/>
      <c r="I329" s="113"/>
      <c r="J329" s="113"/>
      <c r="K329" s="113"/>
      <c r="L329" s="113"/>
      <c r="M329" s="113"/>
      <c r="N329" s="113"/>
      <c r="O329" s="113"/>
      <c r="P329" s="113"/>
      <c r="Q329" s="113"/>
      <c r="R329" s="113"/>
      <c r="S329" s="113"/>
      <c r="T329" s="112" t="s">
        <v>155</v>
      </c>
      <c r="U329" s="197">
        <f>U330+U333+U335+U338+U343+U345+U341</f>
        <v>34162091.609999999</v>
      </c>
      <c r="V329" s="176"/>
      <c r="W329" s="176"/>
      <c r="X329" s="112" t="s">
        <v>155</v>
      </c>
    </row>
    <row r="330" spans="1:24" ht="126.75" customHeight="1" x14ac:dyDescent="0.3">
      <c r="A330" s="112" t="s">
        <v>484</v>
      </c>
      <c r="B330" s="113" t="s">
        <v>134</v>
      </c>
      <c r="C330" s="113" t="s">
        <v>127</v>
      </c>
      <c r="D330" s="214" t="s">
        <v>760</v>
      </c>
      <c r="E330" s="113"/>
      <c r="F330" s="113"/>
      <c r="G330" s="113"/>
      <c r="H330" s="113"/>
      <c r="I330" s="113"/>
      <c r="J330" s="113"/>
      <c r="K330" s="113"/>
      <c r="L330" s="113"/>
      <c r="M330" s="113"/>
      <c r="N330" s="113"/>
      <c r="O330" s="113"/>
      <c r="P330" s="113"/>
      <c r="Q330" s="113"/>
      <c r="R330" s="113"/>
      <c r="S330" s="113"/>
      <c r="T330" s="112" t="s">
        <v>552</v>
      </c>
      <c r="U330" s="196">
        <f>U332+U331</f>
        <v>1241856</v>
      </c>
      <c r="V330" s="114"/>
      <c r="W330" s="114"/>
      <c r="X330" s="112" t="s">
        <v>484</v>
      </c>
    </row>
    <row r="331" spans="1:24" ht="68.25" customHeight="1" x14ac:dyDescent="0.3">
      <c r="A331" s="112"/>
      <c r="B331" s="113" t="s">
        <v>134</v>
      </c>
      <c r="C331" s="113" t="s">
        <v>127</v>
      </c>
      <c r="D331" s="214" t="s">
        <v>760</v>
      </c>
      <c r="E331" s="113"/>
      <c r="F331" s="113"/>
      <c r="G331" s="113"/>
      <c r="H331" s="113"/>
      <c r="I331" s="113"/>
      <c r="J331" s="113"/>
      <c r="K331" s="113"/>
      <c r="L331" s="113"/>
      <c r="M331" s="113"/>
      <c r="N331" s="113"/>
      <c r="O331" s="113"/>
      <c r="P331" s="113"/>
      <c r="Q331" s="113"/>
      <c r="R331" s="113"/>
      <c r="S331" s="113" t="s">
        <v>281</v>
      </c>
      <c r="T331" s="147" t="s">
        <v>958</v>
      </c>
      <c r="U331" s="196">
        <f>П5ВЕД!AA443</f>
        <v>10000</v>
      </c>
      <c r="V331" s="114"/>
      <c r="W331" s="114"/>
      <c r="X331" s="112"/>
    </row>
    <row r="332" spans="1:24" ht="74.25" customHeight="1" x14ac:dyDescent="0.3">
      <c r="A332" s="112" t="s">
        <v>485</v>
      </c>
      <c r="B332" s="113" t="s">
        <v>134</v>
      </c>
      <c r="C332" s="113" t="s">
        <v>127</v>
      </c>
      <c r="D332" s="214" t="s">
        <v>760</v>
      </c>
      <c r="E332" s="113"/>
      <c r="F332" s="113"/>
      <c r="G332" s="113"/>
      <c r="H332" s="113"/>
      <c r="I332" s="113"/>
      <c r="J332" s="113"/>
      <c r="K332" s="113"/>
      <c r="L332" s="113"/>
      <c r="M332" s="113"/>
      <c r="N332" s="113"/>
      <c r="O332" s="113"/>
      <c r="P332" s="113"/>
      <c r="Q332" s="113"/>
      <c r="R332" s="113"/>
      <c r="S332" s="113" t="s">
        <v>396</v>
      </c>
      <c r="T332" s="118" t="s">
        <v>485</v>
      </c>
      <c r="U332" s="197">
        <f>П5ВЕД!AA444</f>
        <v>1231856</v>
      </c>
      <c r="V332" s="114"/>
      <c r="W332" s="114"/>
      <c r="X332" s="112" t="s">
        <v>485</v>
      </c>
    </row>
    <row r="333" spans="1:24" ht="166.5" customHeight="1" x14ac:dyDescent="0.3">
      <c r="A333" s="112" t="s">
        <v>486</v>
      </c>
      <c r="B333" s="113" t="s">
        <v>134</v>
      </c>
      <c r="C333" s="113" t="s">
        <v>127</v>
      </c>
      <c r="D333" s="214" t="s">
        <v>761</v>
      </c>
      <c r="E333" s="113"/>
      <c r="F333" s="113"/>
      <c r="G333" s="113"/>
      <c r="H333" s="113"/>
      <c r="I333" s="113"/>
      <c r="J333" s="113"/>
      <c r="K333" s="113"/>
      <c r="L333" s="113"/>
      <c r="M333" s="113"/>
      <c r="N333" s="113"/>
      <c r="O333" s="113"/>
      <c r="P333" s="113"/>
      <c r="Q333" s="113"/>
      <c r="R333" s="113"/>
      <c r="S333" s="113"/>
      <c r="T333" s="112" t="s">
        <v>553</v>
      </c>
      <c r="U333" s="196">
        <f>U334</f>
        <v>55097.52</v>
      </c>
      <c r="V333" s="114"/>
      <c r="W333" s="114"/>
      <c r="X333" s="112" t="s">
        <v>486</v>
      </c>
    </row>
    <row r="334" spans="1:24" ht="108.75" customHeight="1" x14ac:dyDescent="0.3">
      <c r="A334" s="112" t="s">
        <v>487</v>
      </c>
      <c r="B334" s="113" t="s">
        <v>134</v>
      </c>
      <c r="C334" s="113" t="s">
        <v>127</v>
      </c>
      <c r="D334" s="214" t="s">
        <v>761</v>
      </c>
      <c r="E334" s="113"/>
      <c r="F334" s="113"/>
      <c r="G334" s="113"/>
      <c r="H334" s="113"/>
      <c r="I334" s="113"/>
      <c r="J334" s="113"/>
      <c r="K334" s="113"/>
      <c r="L334" s="113"/>
      <c r="M334" s="113"/>
      <c r="N334" s="113"/>
      <c r="O334" s="113"/>
      <c r="P334" s="113"/>
      <c r="Q334" s="113"/>
      <c r="R334" s="113"/>
      <c r="S334" s="113" t="s">
        <v>396</v>
      </c>
      <c r="T334" s="118" t="s">
        <v>487</v>
      </c>
      <c r="U334" s="197">
        <f>П5ВЕД!AA446</f>
        <v>55097.52</v>
      </c>
      <c r="V334" s="114"/>
      <c r="W334" s="114"/>
      <c r="X334" s="112" t="s">
        <v>487</v>
      </c>
    </row>
    <row r="335" spans="1:24" ht="143.25" customHeight="1" x14ac:dyDescent="0.3">
      <c r="A335" s="112"/>
      <c r="B335" s="113" t="s">
        <v>134</v>
      </c>
      <c r="C335" s="113" t="s">
        <v>127</v>
      </c>
      <c r="D335" s="214" t="s">
        <v>764</v>
      </c>
      <c r="E335" s="113"/>
      <c r="F335" s="113"/>
      <c r="G335" s="113"/>
      <c r="H335" s="113"/>
      <c r="I335" s="113"/>
      <c r="J335" s="113"/>
      <c r="K335" s="113"/>
      <c r="L335" s="113"/>
      <c r="M335" s="113"/>
      <c r="N335" s="113"/>
      <c r="O335" s="113"/>
      <c r="P335" s="113"/>
      <c r="Q335" s="113"/>
      <c r="R335" s="113"/>
      <c r="S335" s="113"/>
      <c r="T335" s="112" t="s">
        <v>555</v>
      </c>
      <c r="U335" s="197">
        <f>U336+U337</f>
        <v>1750191.15</v>
      </c>
      <c r="V335" s="114"/>
      <c r="W335" s="114"/>
      <c r="X335" s="112"/>
    </row>
    <row r="336" spans="1:24" ht="148.9" customHeight="1" x14ac:dyDescent="0.3">
      <c r="A336" s="112"/>
      <c r="B336" s="113" t="s">
        <v>134</v>
      </c>
      <c r="C336" s="113" t="s">
        <v>127</v>
      </c>
      <c r="D336" s="214" t="s">
        <v>764</v>
      </c>
      <c r="E336" s="113"/>
      <c r="F336" s="113"/>
      <c r="G336" s="113"/>
      <c r="H336" s="113"/>
      <c r="I336" s="113"/>
      <c r="J336" s="113"/>
      <c r="K336" s="113"/>
      <c r="L336" s="113"/>
      <c r="M336" s="113"/>
      <c r="N336" s="113"/>
      <c r="O336" s="113"/>
      <c r="P336" s="113"/>
      <c r="Q336" s="113"/>
      <c r="R336" s="113"/>
      <c r="S336" s="113" t="s">
        <v>29</v>
      </c>
      <c r="T336" s="119" t="s">
        <v>469</v>
      </c>
      <c r="U336" s="196">
        <f>П5ВЕД!AA456</f>
        <v>1485055.15</v>
      </c>
      <c r="V336" s="114"/>
      <c r="W336" s="114"/>
      <c r="X336" s="112"/>
    </row>
    <row r="337" spans="1:24" ht="114" customHeight="1" x14ac:dyDescent="0.3">
      <c r="A337" s="112"/>
      <c r="B337" s="113" t="s">
        <v>134</v>
      </c>
      <c r="C337" s="113" t="s">
        <v>127</v>
      </c>
      <c r="D337" s="214" t="s">
        <v>764</v>
      </c>
      <c r="E337" s="113"/>
      <c r="F337" s="113"/>
      <c r="G337" s="113"/>
      <c r="H337" s="113"/>
      <c r="I337" s="113"/>
      <c r="J337" s="113"/>
      <c r="K337" s="113"/>
      <c r="L337" s="113"/>
      <c r="M337" s="113"/>
      <c r="N337" s="113"/>
      <c r="O337" s="113"/>
      <c r="P337" s="113"/>
      <c r="Q337" s="113"/>
      <c r="R337" s="113"/>
      <c r="S337" s="113" t="s">
        <v>281</v>
      </c>
      <c r="T337" s="112" t="s">
        <v>470</v>
      </c>
      <c r="U337" s="196">
        <f>П5ВЕД!AA457</f>
        <v>265136</v>
      </c>
      <c r="V337" s="114"/>
      <c r="W337" s="114"/>
      <c r="X337" s="112"/>
    </row>
    <row r="338" spans="1:24" ht="111.75" customHeight="1" x14ac:dyDescent="0.3">
      <c r="A338" s="112" t="s">
        <v>488</v>
      </c>
      <c r="B338" s="113" t="s">
        <v>134</v>
      </c>
      <c r="C338" s="113" t="s">
        <v>127</v>
      </c>
      <c r="D338" s="214" t="s">
        <v>762</v>
      </c>
      <c r="E338" s="113"/>
      <c r="F338" s="113"/>
      <c r="G338" s="113"/>
      <c r="H338" s="113"/>
      <c r="I338" s="113"/>
      <c r="J338" s="113"/>
      <c r="K338" s="113"/>
      <c r="L338" s="113"/>
      <c r="M338" s="113"/>
      <c r="N338" s="113"/>
      <c r="O338" s="113"/>
      <c r="P338" s="113"/>
      <c r="Q338" s="113"/>
      <c r="R338" s="113"/>
      <c r="S338" s="113"/>
      <c r="T338" s="112" t="s">
        <v>554</v>
      </c>
      <c r="U338" s="196">
        <f>U340+U339</f>
        <v>12766392.48</v>
      </c>
      <c r="V338" s="114"/>
      <c r="W338" s="114"/>
      <c r="X338" s="112" t="s">
        <v>488</v>
      </c>
    </row>
    <row r="339" spans="1:24" ht="111.75" customHeight="1" x14ac:dyDescent="0.3">
      <c r="A339" s="112"/>
      <c r="B339" s="113" t="s">
        <v>134</v>
      </c>
      <c r="C339" s="113" t="s">
        <v>127</v>
      </c>
      <c r="D339" s="214" t="s">
        <v>762</v>
      </c>
      <c r="E339" s="113"/>
      <c r="F339" s="113"/>
      <c r="G339" s="113"/>
      <c r="H339" s="113"/>
      <c r="I339" s="113"/>
      <c r="J339" s="113"/>
      <c r="K339" s="113"/>
      <c r="L339" s="113"/>
      <c r="M339" s="113"/>
      <c r="N339" s="113"/>
      <c r="O339" s="113"/>
      <c r="P339" s="113"/>
      <c r="Q339" s="113"/>
      <c r="R339" s="113"/>
      <c r="S339" s="113" t="s">
        <v>281</v>
      </c>
      <c r="T339" s="147" t="s">
        <v>959</v>
      </c>
      <c r="U339" s="196">
        <f>П5ВЕД!AA448</f>
        <v>100000</v>
      </c>
      <c r="V339" s="114"/>
      <c r="W339" s="114"/>
      <c r="X339" s="112"/>
    </row>
    <row r="340" spans="1:24" ht="148.9" customHeight="1" x14ac:dyDescent="0.3">
      <c r="A340" s="112" t="s">
        <v>489</v>
      </c>
      <c r="B340" s="113" t="s">
        <v>134</v>
      </c>
      <c r="C340" s="113" t="s">
        <v>127</v>
      </c>
      <c r="D340" s="214" t="s">
        <v>762</v>
      </c>
      <c r="E340" s="113"/>
      <c r="F340" s="113"/>
      <c r="G340" s="113"/>
      <c r="H340" s="113"/>
      <c r="I340" s="113"/>
      <c r="J340" s="113"/>
      <c r="K340" s="113"/>
      <c r="L340" s="113"/>
      <c r="M340" s="113"/>
      <c r="N340" s="113"/>
      <c r="O340" s="113"/>
      <c r="P340" s="113"/>
      <c r="Q340" s="113"/>
      <c r="R340" s="113"/>
      <c r="S340" s="113" t="s">
        <v>396</v>
      </c>
      <c r="T340" s="118" t="s">
        <v>489</v>
      </c>
      <c r="U340" s="197">
        <f>П5ВЕД!AA449</f>
        <v>12666392.48</v>
      </c>
      <c r="V340" s="114"/>
      <c r="W340" s="114"/>
      <c r="X340" s="112" t="s">
        <v>489</v>
      </c>
    </row>
    <row r="341" spans="1:24" ht="118.5" customHeight="1" x14ac:dyDescent="0.3">
      <c r="A341" s="112"/>
      <c r="B341" s="113" t="s">
        <v>134</v>
      </c>
      <c r="C341" s="113" t="s">
        <v>127</v>
      </c>
      <c r="D341" s="214" t="s">
        <v>701</v>
      </c>
      <c r="E341" s="113"/>
      <c r="F341" s="113"/>
      <c r="G341" s="113"/>
      <c r="H341" s="113"/>
      <c r="I341" s="113"/>
      <c r="J341" s="113"/>
      <c r="K341" s="113"/>
      <c r="L341" s="113"/>
      <c r="M341" s="113"/>
      <c r="N341" s="113"/>
      <c r="O341" s="113"/>
      <c r="P341" s="113"/>
      <c r="Q341" s="113"/>
      <c r="R341" s="113"/>
      <c r="S341" s="113"/>
      <c r="T341" s="147" t="s">
        <v>405</v>
      </c>
      <c r="U341" s="196">
        <f>U342</f>
        <v>5343616</v>
      </c>
      <c r="V341" s="114"/>
      <c r="W341" s="114"/>
      <c r="X341" s="112"/>
    </row>
    <row r="342" spans="1:24" ht="243" customHeight="1" x14ac:dyDescent="0.3">
      <c r="A342" s="112"/>
      <c r="B342" s="113" t="s">
        <v>134</v>
      </c>
      <c r="C342" s="113" t="s">
        <v>127</v>
      </c>
      <c r="D342" s="214" t="s">
        <v>701</v>
      </c>
      <c r="E342" s="113"/>
      <c r="F342" s="113"/>
      <c r="G342" s="113"/>
      <c r="H342" s="113"/>
      <c r="I342" s="113"/>
      <c r="J342" s="113"/>
      <c r="K342" s="113"/>
      <c r="L342" s="113"/>
      <c r="M342" s="113"/>
      <c r="N342" s="113"/>
      <c r="O342" s="113"/>
      <c r="P342" s="113"/>
      <c r="Q342" s="113"/>
      <c r="R342" s="113"/>
      <c r="S342" s="113" t="s">
        <v>355</v>
      </c>
      <c r="T342" s="112" t="s">
        <v>548</v>
      </c>
      <c r="U342" s="196">
        <f>П5ВЕД!AA231</f>
        <v>5343616</v>
      </c>
      <c r="V342" s="114"/>
      <c r="W342" s="114"/>
      <c r="X342" s="112"/>
    </row>
    <row r="343" spans="1:24" ht="239.25" customHeight="1" x14ac:dyDescent="0.3">
      <c r="A343" s="112" t="s">
        <v>222</v>
      </c>
      <c r="B343" s="113" t="s">
        <v>134</v>
      </c>
      <c r="C343" s="113" t="s">
        <v>127</v>
      </c>
      <c r="D343" s="214" t="s">
        <v>700</v>
      </c>
      <c r="E343" s="113"/>
      <c r="F343" s="113"/>
      <c r="G343" s="113"/>
      <c r="H343" s="113"/>
      <c r="I343" s="113"/>
      <c r="J343" s="113"/>
      <c r="K343" s="113"/>
      <c r="L343" s="113"/>
      <c r="M343" s="113"/>
      <c r="N343" s="113"/>
      <c r="O343" s="113"/>
      <c r="P343" s="113"/>
      <c r="Q343" s="113"/>
      <c r="R343" s="113"/>
      <c r="S343" s="113"/>
      <c r="T343" s="112" t="s">
        <v>549</v>
      </c>
      <c r="U343" s="196">
        <f>U344</f>
        <v>2178000</v>
      </c>
      <c r="V343" s="114"/>
      <c r="W343" s="114"/>
      <c r="X343" s="112" t="s">
        <v>222</v>
      </c>
    </row>
    <row r="344" spans="1:24" ht="144" customHeight="1" x14ac:dyDescent="0.3">
      <c r="A344" s="119" t="s">
        <v>407</v>
      </c>
      <c r="B344" s="113" t="s">
        <v>134</v>
      </c>
      <c r="C344" s="113" t="s">
        <v>127</v>
      </c>
      <c r="D344" s="214" t="s">
        <v>700</v>
      </c>
      <c r="E344" s="113"/>
      <c r="F344" s="113"/>
      <c r="G344" s="113"/>
      <c r="H344" s="113"/>
      <c r="I344" s="113"/>
      <c r="J344" s="113"/>
      <c r="K344" s="113"/>
      <c r="L344" s="113"/>
      <c r="M344" s="113"/>
      <c r="N344" s="113"/>
      <c r="O344" s="113"/>
      <c r="P344" s="113"/>
      <c r="Q344" s="113"/>
      <c r="R344" s="113"/>
      <c r="S344" s="113" t="s">
        <v>355</v>
      </c>
      <c r="T344" s="115" t="s">
        <v>407</v>
      </c>
      <c r="U344" s="197">
        <f>П5ВЕД!AA236</f>
        <v>2178000</v>
      </c>
      <c r="V344" s="114"/>
      <c r="W344" s="114"/>
      <c r="X344" s="119" t="s">
        <v>407</v>
      </c>
    </row>
    <row r="345" spans="1:24" ht="138.75" customHeight="1" x14ac:dyDescent="0.3">
      <c r="A345" s="119" t="s">
        <v>225</v>
      </c>
      <c r="B345" s="113" t="s">
        <v>134</v>
      </c>
      <c r="C345" s="113" t="s">
        <v>127</v>
      </c>
      <c r="D345" s="216" t="s">
        <v>763</v>
      </c>
      <c r="E345" s="113"/>
      <c r="F345" s="113"/>
      <c r="G345" s="113"/>
      <c r="H345" s="113"/>
      <c r="I345" s="113"/>
      <c r="J345" s="113"/>
      <c r="K345" s="113"/>
      <c r="L345" s="113"/>
      <c r="M345" s="113"/>
      <c r="N345" s="113"/>
      <c r="O345" s="113"/>
      <c r="P345" s="113"/>
      <c r="Q345" s="113"/>
      <c r="R345" s="113"/>
      <c r="S345" s="113"/>
      <c r="T345" s="152" t="s">
        <v>225</v>
      </c>
      <c r="U345" s="196">
        <f>U347+U348+U346</f>
        <v>10826938.460000001</v>
      </c>
      <c r="V345" s="114"/>
      <c r="W345" s="114"/>
      <c r="X345" s="119" t="s">
        <v>225</v>
      </c>
    </row>
    <row r="346" spans="1:24" ht="195" customHeight="1" x14ac:dyDescent="0.3">
      <c r="A346" s="119"/>
      <c r="B346" s="113" t="s">
        <v>134</v>
      </c>
      <c r="C346" s="113" t="s">
        <v>127</v>
      </c>
      <c r="D346" s="216" t="s">
        <v>763</v>
      </c>
      <c r="E346" s="113"/>
      <c r="F346" s="113"/>
      <c r="G346" s="113"/>
      <c r="H346" s="113"/>
      <c r="I346" s="113"/>
      <c r="J346" s="113"/>
      <c r="K346" s="113"/>
      <c r="L346" s="113"/>
      <c r="M346" s="113"/>
      <c r="N346" s="113"/>
      <c r="O346" s="113"/>
      <c r="P346" s="113"/>
      <c r="Q346" s="113"/>
      <c r="R346" s="113"/>
      <c r="S346" s="113" t="s">
        <v>281</v>
      </c>
      <c r="T346" s="152" t="s">
        <v>951</v>
      </c>
      <c r="U346" s="196">
        <f>П5ВЕД!AA451</f>
        <v>50400</v>
      </c>
      <c r="V346" s="114"/>
      <c r="W346" s="114"/>
      <c r="X346" s="119"/>
    </row>
    <row r="347" spans="1:24" ht="162.75" customHeight="1" x14ac:dyDescent="0.3">
      <c r="A347" s="119" t="s">
        <v>491</v>
      </c>
      <c r="B347" s="113" t="s">
        <v>134</v>
      </c>
      <c r="C347" s="113" t="s">
        <v>127</v>
      </c>
      <c r="D347" s="216" t="s">
        <v>763</v>
      </c>
      <c r="E347" s="113"/>
      <c r="F347" s="113"/>
      <c r="G347" s="113"/>
      <c r="H347" s="113"/>
      <c r="I347" s="113"/>
      <c r="J347" s="113"/>
      <c r="K347" s="113"/>
      <c r="L347" s="113"/>
      <c r="M347" s="113"/>
      <c r="N347" s="113"/>
      <c r="O347" s="113"/>
      <c r="P347" s="113"/>
      <c r="Q347" s="113"/>
      <c r="R347" s="113"/>
      <c r="S347" s="113" t="s">
        <v>396</v>
      </c>
      <c r="T347" s="150" t="s">
        <v>491</v>
      </c>
      <c r="U347" s="197">
        <f>П5ВЕД!AA452</f>
        <v>3199622.92</v>
      </c>
      <c r="V347" s="114"/>
      <c r="W347" s="114"/>
      <c r="X347" s="119" t="s">
        <v>491</v>
      </c>
    </row>
    <row r="348" spans="1:24" ht="139.5" customHeight="1" x14ac:dyDescent="0.3">
      <c r="A348" s="119"/>
      <c r="B348" s="113" t="s">
        <v>134</v>
      </c>
      <c r="C348" s="113" t="s">
        <v>127</v>
      </c>
      <c r="D348" s="216" t="s">
        <v>763</v>
      </c>
      <c r="E348" s="113"/>
      <c r="F348" s="113"/>
      <c r="G348" s="113"/>
      <c r="H348" s="113"/>
      <c r="I348" s="113"/>
      <c r="J348" s="113"/>
      <c r="K348" s="113"/>
      <c r="L348" s="113"/>
      <c r="M348" s="113"/>
      <c r="N348" s="113"/>
      <c r="O348" s="113"/>
      <c r="P348" s="113"/>
      <c r="Q348" s="113"/>
      <c r="R348" s="113"/>
      <c r="S348" s="113" t="s">
        <v>300</v>
      </c>
      <c r="T348" s="146" t="s">
        <v>480</v>
      </c>
      <c r="U348" s="197">
        <f>П5ВЕД!AA454</f>
        <v>7576915.54</v>
      </c>
      <c r="V348" s="114"/>
      <c r="W348" s="114"/>
      <c r="X348" s="119"/>
    </row>
    <row r="349" spans="1:24" ht="18.600000000000001" customHeight="1" x14ac:dyDescent="0.3">
      <c r="A349" s="110" t="s">
        <v>408</v>
      </c>
      <c r="B349" s="122" t="s">
        <v>119</v>
      </c>
      <c r="C349" s="122" t="s">
        <v>124</v>
      </c>
      <c r="D349" s="122"/>
      <c r="E349" s="122"/>
      <c r="F349" s="122"/>
      <c r="G349" s="122"/>
      <c r="H349" s="122"/>
      <c r="I349" s="122"/>
      <c r="J349" s="122"/>
      <c r="K349" s="122"/>
      <c r="L349" s="122"/>
      <c r="M349" s="122"/>
      <c r="N349" s="122"/>
      <c r="O349" s="122"/>
      <c r="P349" s="122"/>
      <c r="Q349" s="122"/>
      <c r="R349" s="122"/>
      <c r="S349" s="122"/>
      <c r="T349" s="110" t="s">
        <v>408</v>
      </c>
      <c r="U349" s="200">
        <f>U350+U355</f>
        <v>6348058.5099999998</v>
      </c>
      <c r="V349" s="111"/>
      <c r="W349" s="111"/>
      <c r="X349" s="110" t="s">
        <v>408</v>
      </c>
    </row>
    <row r="350" spans="1:24" ht="18.600000000000001" customHeight="1" x14ac:dyDescent="0.3">
      <c r="A350" s="112" t="s">
        <v>110</v>
      </c>
      <c r="B350" s="113" t="s">
        <v>119</v>
      </c>
      <c r="C350" s="113" t="s">
        <v>113</v>
      </c>
      <c r="D350" s="113"/>
      <c r="E350" s="113"/>
      <c r="F350" s="113"/>
      <c r="G350" s="113"/>
      <c r="H350" s="113"/>
      <c r="I350" s="113"/>
      <c r="J350" s="113"/>
      <c r="K350" s="113"/>
      <c r="L350" s="113"/>
      <c r="M350" s="113"/>
      <c r="N350" s="113"/>
      <c r="O350" s="113"/>
      <c r="P350" s="113"/>
      <c r="Q350" s="113"/>
      <c r="R350" s="113"/>
      <c r="S350" s="113"/>
      <c r="T350" s="112" t="s">
        <v>110</v>
      </c>
      <c r="U350" s="196">
        <f>U351+U353</f>
        <v>1428700</v>
      </c>
      <c r="V350" s="114"/>
      <c r="W350" s="114"/>
      <c r="X350" s="112" t="s">
        <v>110</v>
      </c>
    </row>
    <row r="351" spans="1:24" ht="153.75" customHeight="1" x14ac:dyDescent="0.3">
      <c r="A351" s="112" t="s">
        <v>409</v>
      </c>
      <c r="B351" s="113" t="s">
        <v>119</v>
      </c>
      <c r="C351" s="113" t="s">
        <v>113</v>
      </c>
      <c r="D351" s="214" t="s">
        <v>703</v>
      </c>
      <c r="E351" s="113"/>
      <c r="F351" s="113"/>
      <c r="G351" s="113"/>
      <c r="H351" s="113"/>
      <c r="I351" s="113"/>
      <c r="J351" s="113"/>
      <c r="K351" s="113"/>
      <c r="L351" s="113"/>
      <c r="M351" s="113"/>
      <c r="N351" s="113"/>
      <c r="O351" s="113"/>
      <c r="P351" s="113"/>
      <c r="Q351" s="113"/>
      <c r="R351" s="113"/>
      <c r="S351" s="113"/>
      <c r="T351" s="112" t="s">
        <v>702</v>
      </c>
      <c r="U351" s="196">
        <f>U352</f>
        <v>1378700</v>
      </c>
      <c r="V351" s="114"/>
      <c r="W351" s="114"/>
      <c r="X351" s="112" t="s">
        <v>409</v>
      </c>
    </row>
    <row r="352" spans="1:24" ht="93" customHeight="1" x14ac:dyDescent="0.3">
      <c r="A352" s="112" t="s">
        <v>410</v>
      </c>
      <c r="B352" s="113" t="s">
        <v>119</v>
      </c>
      <c r="C352" s="113" t="s">
        <v>113</v>
      </c>
      <c r="D352" s="214" t="s">
        <v>703</v>
      </c>
      <c r="E352" s="113"/>
      <c r="F352" s="113"/>
      <c r="G352" s="113"/>
      <c r="H352" s="113"/>
      <c r="I352" s="113"/>
      <c r="J352" s="113"/>
      <c r="K352" s="113"/>
      <c r="L352" s="113"/>
      <c r="M352" s="113"/>
      <c r="N352" s="113"/>
      <c r="O352" s="113"/>
      <c r="P352" s="113"/>
      <c r="Q352" s="113"/>
      <c r="R352" s="113"/>
      <c r="S352" s="113" t="s">
        <v>281</v>
      </c>
      <c r="T352" s="118" t="s">
        <v>410</v>
      </c>
      <c r="U352" s="197">
        <f>П5ВЕД!AA240</f>
        <v>1378700</v>
      </c>
      <c r="V352" s="114"/>
      <c r="W352" s="114"/>
      <c r="X352" s="112" t="s">
        <v>410</v>
      </c>
    </row>
    <row r="353" spans="1:24" ht="167.25" customHeight="1" x14ac:dyDescent="0.3">
      <c r="A353" s="112" t="s">
        <v>411</v>
      </c>
      <c r="B353" s="113" t="s">
        <v>119</v>
      </c>
      <c r="C353" s="113" t="s">
        <v>113</v>
      </c>
      <c r="D353" s="214" t="s">
        <v>705</v>
      </c>
      <c r="E353" s="113"/>
      <c r="F353" s="113"/>
      <c r="G353" s="113"/>
      <c r="H353" s="113"/>
      <c r="I353" s="113"/>
      <c r="J353" s="113"/>
      <c r="K353" s="113"/>
      <c r="L353" s="113"/>
      <c r="M353" s="113"/>
      <c r="N353" s="113"/>
      <c r="O353" s="113"/>
      <c r="P353" s="113"/>
      <c r="Q353" s="113"/>
      <c r="R353" s="113"/>
      <c r="S353" s="113"/>
      <c r="T353" s="112" t="s">
        <v>704</v>
      </c>
      <c r="U353" s="196">
        <f>U354</f>
        <v>50000</v>
      </c>
      <c r="V353" s="114"/>
      <c r="W353" s="114"/>
      <c r="X353" s="112" t="s">
        <v>411</v>
      </c>
    </row>
    <row r="354" spans="1:24" ht="103.5" customHeight="1" x14ac:dyDescent="0.3">
      <c r="A354" s="112" t="s">
        <v>412</v>
      </c>
      <c r="B354" s="113" t="s">
        <v>119</v>
      </c>
      <c r="C354" s="113" t="s">
        <v>113</v>
      </c>
      <c r="D354" s="214" t="s">
        <v>705</v>
      </c>
      <c r="E354" s="113"/>
      <c r="F354" s="113"/>
      <c r="G354" s="113"/>
      <c r="H354" s="113"/>
      <c r="I354" s="113"/>
      <c r="J354" s="113"/>
      <c r="K354" s="113"/>
      <c r="L354" s="113"/>
      <c r="M354" s="113"/>
      <c r="N354" s="113"/>
      <c r="O354" s="113"/>
      <c r="P354" s="113"/>
      <c r="Q354" s="113"/>
      <c r="R354" s="113"/>
      <c r="S354" s="113" t="s">
        <v>281</v>
      </c>
      <c r="T354" s="118" t="s">
        <v>412</v>
      </c>
      <c r="U354" s="197">
        <f>П5ВЕД!AA242</f>
        <v>50000</v>
      </c>
      <c r="V354" s="114"/>
      <c r="W354" s="114"/>
      <c r="X354" s="112" t="s">
        <v>412</v>
      </c>
    </row>
    <row r="355" spans="1:24" ht="18.600000000000001" customHeight="1" x14ac:dyDescent="0.3">
      <c r="A355" s="112" t="s">
        <v>157</v>
      </c>
      <c r="B355" s="113" t="s">
        <v>119</v>
      </c>
      <c r="C355" s="113" t="s">
        <v>123</v>
      </c>
      <c r="D355" s="113"/>
      <c r="E355" s="113"/>
      <c r="F355" s="113"/>
      <c r="G355" s="113"/>
      <c r="H355" s="113"/>
      <c r="I355" s="113"/>
      <c r="J355" s="113"/>
      <c r="K355" s="113"/>
      <c r="L355" s="113"/>
      <c r="M355" s="113"/>
      <c r="N355" s="113"/>
      <c r="O355" s="113"/>
      <c r="P355" s="113"/>
      <c r="Q355" s="113"/>
      <c r="R355" s="113"/>
      <c r="S355" s="113"/>
      <c r="T355" s="112" t="s">
        <v>157</v>
      </c>
      <c r="U355" s="196">
        <f>U356+U358+U362+U360</f>
        <v>4919358.51</v>
      </c>
      <c r="V355" s="114"/>
      <c r="W355" s="114"/>
      <c r="X355" s="112" t="s">
        <v>157</v>
      </c>
    </row>
    <row r="356" spans="1:24" ht="146.25" customHeight="1" x14ac:dyDescent="0.3">
      <c r="A356" s="112" t="s">
        <v>413</v>
      </c>
      <c r="B356" s="113" t="s">
        <v>119</v>
      </c>
      <c r="C356" s="113" t="s">
        <v>123</v>
      </c>
      <c r="D356" s="214" t="s">
        <v>707</v>
      </c>
      <c r="E356" s="113"/>
      <c r="F356" s="113"/>
      <c r="G356" s="113"/>
      <c r="H356" s="113"/>
      <c r="I356" s="113"/>
      <c r="J356" s="113"/>
      <c r="K356" s="113"/>
      <c r="L356" s="113"/>
      <c r="M356" s="113"/>
      <c r="N356" s="113"/>
      <c r="O356" s="113"/>
      <c r="P356" s="113"/>
      <c r="Q356" s="113"/>
      <c r="R356" s="113"/>
      <c r="S356" s="113"/>
      <c r="T356" s="112" t="s">
        <v>706</v>
      </c>
      <c r="U356" s="196">
        <f>U357</f>
        <v>476999</v>
      </c>
      <c r="V356" s="114"/>
      <c r="W356" s="114"/>
      <c r="X356" s="112" t="s">
        <v>413</v>
      </c>
    </row>
    <row r="357" spans="1:24" ht="74.45" customHeight="1" x14ac:dyDescent="0.3">
      <c r="A357" s="112" t="s">
        <v>414</v>
      </c>
      <c r="B357" s="113" t="s">
        <v>119</v>
      </c>
      <c r="C357" s="113" t="s">
        <v>123</v>
      </c>
      <c r="D357" s="214" t="s">
        <v>707</v>
      </c>
      <c r="E357" s="113"/>
      <c r="F357" s="113"/>
      <c r="G357" s="113"/>
      <c r="H357" s="113"/>
      <c r="I357" s="113"/>
      <c r="J357" s="113"/>
      <c r="K357" s="113"/>
      <c r="L357" s="113"/>
      <c r="M357" s="113"/>
      <c r="N357" s="113"/>
      <c r="O357" s="113"/>
      <c r="P357" s="113"/>
      <c r="Q357" s="113"/>
      <c r="R357" s="113"/>
      <c r="S357" s="113" t="s">
        <v>281</v>
      </c>
      <c r="T357" s="146" t="s">
        <v>414</v>
      </c>
      <c r="U357" s="197">
        <f>П5ВЕД!AA245</f>
        <v>476999</v>
      </c>
      <c r="V357" s="114"/>
      <c r="W357" s="114"/>
      <c r="X357" s="112" t="s">
        <v>414</v>
      </c>
    </row>
    <row r="358" spans="1:24" ht="165" customHeight="1" x14ac:dyDescent="0.3">
      <c r="A358" s="112" t="s">
        <v>415</v>
      </c>
      <c r="B358" s="113" t="s">
        <v>119</v>
      </c>
      <c r="C358" s="113" t="s">
        <v>123</v>
      </c>
      <c r="D358" s="214" t="s">
        <v>709</v>
      </c>
      <c r="E358" s="113"/>
      <c r="F358" s="113"/>
      <c r="G358" s="113"/>
      <c r="H358" s="113"/>
      <c r="I358" s="113"/>
      <c r="J358" s="113"/>
      <c r="K358" s="113"/>
      <c r="L358" s="113"/>
      <c r="M358" s="113"/>
      <c r="N358" s="113"/>
      <c r="O358" s="113"/>
      <c r="P358" s="113"/>
      <c r="Q358" s="113"/>
      <c r="R358" s="113"/>
      <c r="S358" s="113"/>
      <c r="T358" s="112" t="s">
        <v>708</v>
      </c>
      <c r="U358" s="196">
        <f>U359</f>
        <v>529999</v>
      </c>
      <c r="V358" s="114"/>
      <c r="W358" s="114"/>
      <c r="X358" s="112" t="s">
        <v>415</v>
      </c>
    </row>
    <row r="359" spans="1:24" ht="62.25" customHeight="1" x14ac:dyDescent="0.3">
      <c r="A359" s="112"/>
      <c r="B359" s="113" t="s">
        <v>119</v>
      </c>
      <c r="C359" s="113" t="s">
        <v>123</v>
      </c>
      <c r="D359" s="214" t="s">
        <v>709</v>
      </c>
      <c r="E359" s="113"/>
      <c r="F359" s="113"/>
      <c r="G359" s="113"/>
      <c r="H359" s="113"/>
      <c r="I359" s="113"/>
      <c r="J359" s="113"/>
      <c r="K359" s="113"/>
      <c r="L359" s="113"/>
      <c r="M359" s="113"/>
      <c r="N359" s="113"/>
      <c r="O359" s="113"/>
      <c r="P359" s="113"/>
      <c r="Q359" s="113"/>
      <c r="R359" s="113"/>
      <c r="S359" s="113" t="s">
        <v>281</v>
      </c>
      <c r="T359" s="146" t="s">
        <v>416</v>
      </c>
      <c r="U359" s="197">
        <f>П5ВЕД!AA247</f>
        <v>529999</v>
      </c>
      <c r="V359" s="114"/>
      <c r="W359" s="114"/>
      <c r="X359" s="112"/>
    </row>
    <row r="360" spans="1:24" ht="148.5" customHeight="1" x14ac:dyDescent="0.3">
      <c r="A360" s="112"/>
      <c r="B360" s="113" t="s">
        <v>119</v>
      </c>
      <c r="C360" s="113" t="s">
        <v>123</v>
      </c>
      <c r="D360" s="214" t="s">
        <v>710</v>
      </c>
      <c r="E360" s="113"/>
      <c r="F360" s="113"/>
      <c r="G360" s="113"/>
      <c r="H360" s="113"/>
      <c r="I360" s="113"/>
      <c r="J360" s="113"/>
      <c r="K360" s="113"/>
      <c r="L360" s="113"/>
      <c r="M360" s="113"/>
      <c r="N360" s="113"/>
      <c r="O360" s="113"/>
      <c r="P360" s="113"/>
      <c r="Q360" s="113"/>
      <c r="R360" s="113"/>
      <c r="S360" s="113"/>
      <c r="T360" s="112" t="s">
        <v>531</v>
      </c>
      <c r="U360" s="196">
        <f>U361</f>
        <v>3912360.5100000002</v>
      </c>
      <c r="V360" s="114"/>
      <c r="W360" s="114"/>
      <c r="X360" s="112"/>
    </row>
    <row r="361" spans="1:24" ht="57" customHeight="1" x14ac:dyDescent="0.3">
      <c r="A361" s="112"/>
      <c r="B361" s="148" t="s">
        <v>119</v>
      </c>
      <c r="C361" s="148" t="s">
        <v>123</v>
      </c>
      <c r="D361" s="214" t="s">
        <v>710</v>
      </c>
      <c r="E361" s="148"/>
      <c r="F361" s="148"/>
      <c r="G361" s="148"/>
      <c r="H361" s="148"/>
      <c r="I361" s="148"/>
      <c r="J361" s="148"/>
      <c r="K361" s="148"/>
      <c r="L361" s="148"/>
      <c r="M361" s="148"/>
      <c r="N361" s="148"/>
      <c r="O361" s="148"/>
      <c r="P361" s="148"/>
      <c r="Q361" s="148"/>
      <c r="R361" s="148"/>
      <c r="S361" s="148" t="s">
        <v>355</v>
      </c>
      <c r="T361" s="158" t="s">
        <v>530</v>
      </c>
      <c r="U361" s="225">
        <f>П5ВЕД!AA249</f>
        <v>3912360.5100000002</v>
      </c>
      <c r="V361" s="149"/>
      <c r="W361" s="114"/>
      <c r="X361" s="112"/>
    </row>
    <row r="362" spans="1:24" ht="2.25" hidden="1" customHeight="1" x14ac:dyDescent="0.3">
      <c r="A362" s="112" t="s">
        <v>417</v>
      </c>
      <c r="B362" s="113" t="s">
        <v>119</v>
      </c>
      <c r="C362" s="113" t="s">
        <v>123</v>
      </c>
      <c r="D362" s="214" t="s">
        <v>712</v>
      </c>
      <c r="E362" s="113"/>
      <c r="F362" s="113"/>
      <c r="G362" s="113"/>
      <c r="H362" s="113"/>
      <c r="I362" s="113"/>
      <c r="J362" s="113"/>
      <c r="K362" s="113"/>
      <c r="L362" s="113"/>
      <c r="M362" s="113"/>
      <c r="N362" s="113"/>
      <c r="O362" s="113"/>
      <c r="P362" s="113"/>
      <c r="Q362" s="113"/>
      <c r="R362" s="113"/>
      <c r="S362" s="113"/>
      <c r="T362" s="112" t="s">
        <v>417</v>
      </c>
      <c r="U362" s="196">
        <f>U363</f>
        <v>0</v>
      </c>
      <c r="V362" s="114"/>
      <c r="W362" s="114"/>
      <c r="X362" s="112" t="s">
        <v>417</v>
      </c>
    </row>
    <row r="363" spans="1:24" ht="111.75" hidden="1" customHeight="1" x14ac:dyDescent="0.3">
      <c r="A363" s="112" t="s">
        <v>418</v>
      </c>
      <c r="B363" s="113" t="s">
        <v>119</v>
      </c>
      <c r="C363" s="113" t="s">
        <v>123</v>
      </c>
      <c r="D363" s="214" t="s">
        <v>712</v>
      </c>
      <c r="E363" s="113"/>
      <c r="F363" s="113"/>
      <c r="G363" s="113"/>
      <c r="H363" s="113"/>
      <c r="I363" s="113"/>
      <c r="J363" s="113"/>
      <c r="K363" s="113"/>
      <c r="L363" s="113"/>
      <c r="M363" s="113"/>
      <c r="N363" s="113"/>
      <c r="O363" s="113"/>
      <c r="P363" s="113"/>
      <c r="Q363" s="113"/>
      <c r="R363" s="113"/>
      <c r="S363" s="113" t="s">
        <v>281</v>
      </c>
      <c r="T363" s="112" t="s">
        <v>418</v>
      </c>
      <c r="U363" s="196">
        <f>П5ВЕД!AA251</f>
        <v>0</v>
      </c>
      <c r="V363" s="114"/>
      <c r="W363" s="114"/>
      <c r="X363" s="112" t="s">
        <v>418</v>
      </c>
    </row>
    <row r="364" spans="1:24" ht="55.9" customHeight="1" x14ac:dyDescent="0.3">
      <c r="A364" s="110" t="s">
        <v>426</v>
      </c>
      <c r="B364" s="122" t="s">
        <v>121</v>
      </c>
      <c r="C364" s="122" t="s">
        <v>124</v>
      </c>
      <c r="D364" s="122"/>
      <c r="E364" s="122"/>
      <c r="F364" s="122"/>
      <c r="G364" s="122"/>
      <c r="H364" s="122"/>
      <c r="I364" s="122"/>
      <c r="J364" s="122"/>
      <c r="K364" s="122"/>
      <c r="L364" s="122"/>
      <c r="M364" s="122"/>
      <c r="N364" s="122"/>
      <c r="O364" s="122"/>
      <c r="P364" s="122"/>
      <c r="Q364" s="122"/>
      <c r="R364" s="122"/>
      <c r="S364" s="122"/>
      <c r="T364" s="110" t="s">
        <v>426</v>
      </c>
      <c r="U364" s="200">
        <f>U365</f>
        <v>0</v>
      </c>
      <c r="V364" s="111"/>
      <c r="W364" s="111"/>
      <c r="X364" s="110" t="s">
        <v>426</v>
      </c>
    </row>
    <row r="365" spans="1:24" ht="177" customHeight="1" x14ac:dyDescent="0.3">
      <c r="A365" s="112" t="s">
        <v>247</v>
      </c>
      <c r="B365" s="113" t="s">
        <v>121</v>
      </c>
      <c r="C365" s="113" t="s">
        <v>113</v>
      </c>
      <c r="D365" s="113"/>
      <c r="E365" s="113"/>
      <c r="F365" s="113"/>
      <c r="G365" s="113"/>
      <c r="H365" s="113"/>
      <c r="I365" s="113"/>
      <c r="J365" s="113"/>
      <c r="K365" s="113"/>
      <c r="L365" s="113"/>
      <c r="M365" s="113"/>
      <c r="N365" s="113"/>
      <c r="O365" s="113"/>
      <c r="P365" s="113"/>
      <c r="Q365" s="113"/>
      <c r="R365" s="113"/>
      <c r="S365" s="113"/>
      <c r="T365" s="112" t="s">
        <v>717</v>
      </c>
      <c r="U365" s="196">
        <f>U366</f>
        <v>0</v>
      </c>
      <c r="V365" s="114"/>
      <c r="W365" s="114"/>
      <c r="X365" s="112" t="s">
        <v>247</v>
      </c>
    </row>
    <row r="366" spans="1:24" ht="92.25" customHeight="1" x14ac:dyDescent="0.3">
      <c r="A366" s="112" t="s">
        <v>428</v>
      </c>
      <c r="B366" s="113" t="s">
        <v>121</v>
      </c>
      <c r="C366" s="113" t="s">
        <v>113</v>
      </c>
      <c r="D366" s="214" t="s">
        <v>718</v>
      </c>
      <c r="E366" s="113"/>
      <c r="F366" s="113"/>
      <c r="G366" s="113"/>
      <c r="H366" s="113"/>
      <c r="I366" s="113"/>
      <c r="J366" s="113"/>
      <c r="K366" s="113"/>
      <c r="L366" s="113"/>
      <c r="M366" s="113"/>
      <c r="N366" s="113"/>
      <c r="O366" s="113"/>
      <c r="P366" s="113"/>
      <c r="Q366" s="113"/>
      <c r="R366" s="113"/>
      <c r="S366" s="113" t="s">
        <v>429</v>
      </c>
      <c r="T366" s="112" t="s">
        <v>428</v>
      </c>
      <c r="U366" s="197">
        <f>П5ВЕД!AA330</f>
        <v>0</v>
      </c>
      <c r="V366" s="114"/>
      <c r="W366" s="114"/>
      <c r="X366" s="112" t="s">
        <v>428</v>
      </c>
    </row>
    <row r="367" spans="1:24" ht="93" customHeight="1" x14ac:dyDescent="0.3">
      <c r="A367" s="110" t="s">
        <v>430</v>
      </c>
      <c r="B367" s="122" t="s">
        <v>122</v>
      </c>
      <c r="C367" s="122" t="s">
        <v>124</v>
      </c>
      <c r="D367" s="122"/>
      <c r="E367" s="122"/>
      <c r="F367" s="122"/>
      <c r="G367" s="122"/>
      <c r="H367" s="122"/>
      <c r="I367" s="122"/>
      <c r="J367" s="122"/>
      <c r="K367" s="122"/>
      <c r="L367" s="122"/>
      <c r="M367" s="122"/>
      <c r="N367" s="122"/>
      <c r="O367" s="122"/>
      <c r="P367" s="122"/>
      <c r="Q367" s="122"/>
      <c r="R367" s="122"/>
      <c r="S367" s="122"/>
      <c r="T367" s="110" t="s">
        <v>430</v>
      </c>
      <c r="U367" s="200">
        <f>U368+U373+U377+U379+U375+U371</f>
        <v>18000000</v>
      </c>
      <c r="V367" s="111"/>
      <c r="W367" s="111"/>
      <c r="X367" s="110" t="s">
        <v>430</v>
      </c>
    </row>
    <row r="368" spans="1:24" ht="201.75" customHeight="1" x14ac:dyDescent="0.3">
      <c r="A368" s="112" t="s">
        <v>160</v>
      </c>
      <c r="B368" s="113" t="s">
        <v>122</v>
      </c>
      <c r="C368" s="113" t="s">
        <v>113</v>
      </c>
      <c r="D368" s="113"/>
      <c r="E368" s="113"/>
      <c r="F368" s="113"/>
      <c r="G368" s="113"/>
      <c r="H368" s="113"/>
      <c r="I368" s="113"/>
      <c r="J368" s="113"/>
      <c r="K368" s="113"/>
      <c r="L368" s="113"/>
      <c r="M368" s="113"/>
      <c r="N368" s="113"/>
      <c r="O368" s="113"/>
      <c r="P368" s="113"/>
      <c r="Q368" s="113"/>
      <c r="R368" s="113"/>
      <c r="S368" s="113"/>
      <c r="T368" s="119" t="s">
        <v>719</v>
      </c>
      <c r="U368" s="197">
        <v>18000000</v>
      </c>
      <c r="V368" s="114"/>
      <c r="W368" s="114"/>
      <c r="X368" s="112" t="s">
        <v>160</v>
      </c>
    </row>
    <row r="369" spans="1:24" ht="79.5" customHeight="1" x14ac:dyDescent="0.3">
      <c r="A369" s="119" t="s">
        <v>431</v>
      </c>
      <c r="B369" s="113" t="s">
        <v>122</v>
      </c>
      <c r="C369" s="113" t="s">
        <v>113</v>
      </c>
      <c r="D369" s="214" t="s">
        <v>720</v>
      </c>
      <c r="E369" s="113"/>
      <c r="F369" s="113"/>
      <c r="G369" s="113"/>
      <c r="H369" s="113"/>
      <c r="I369" s="113"/>
      <c r="J369" s="113"/>
      <c r="K369" s="113"/>
      <c r="L369" s="113"/>
      <c r="M369" s="113"/>
      <c r="N369" s="113"/>
      <c r="O369" s="113"/>
      <c r="P369" s="113"/>
      <c r="Q369" s="113"/>
      <c r="R369" s="113"/>
      <c r="S369" s="113"/>
      <c r="T369" s="119" t="s">
        <v>551</v>
      </c>
      <c r="U369" s="196">
        <v>18000000</v>
      </c>
      <c r="V369" s="114"/>
      <c r="W369" s="114"/>
      <c r="X369" s="119" t="s">
        <v>431</v>
      </c>
    </row>
    <row r="370" spans="1:24" ht="104.25" customHeight="1" x14ac:dyDescent="0.3">
      <c r="A370" s="119" t="s">
        <v>432</v>
      </c>
      <c r="B370" s="113" t="s">
        <v>122</v>
      </c>
      <c r="C370" s="113" t="s">
        <v>113</v>
      </c>
      <c r="D370" s="214" t="s">
        <v>720</v>
      </c>
      <c r="E370" s="113"/>
      <c r="F370" s="113"/>
      <c r="G370" s="113"/>
      <c r="H370" s="113"/>
      <c r="I370" s="113"/>
      <c r="J370" s="113"/>
      <c r="K370" s="113"/>
      <c r="L370" s="113"/>
      <c r="M370" s="113"/>
      <c r="N370" s="113"/>
      <c r="O370" s="113"/>
      <c r="P370" s="113"/>
      <c r="Q370" s="113"/>
      <c r="R370" s="113"/>
      <c r="S370" s="113" t="s">
        <v>433</v>
      </c>
      <c r="T370" s="119" t="s">
        <v>547</v>
      </c>
      <c r="U370" s="196">
        <f>П5ВЕД!AA334</f>
        <v>18000000</v>
      </c>
      <c r="V370" s="114"/>
      <c r="W370" s="114"/>
      <c r="X370" s="119" t="s">
        <v>432</v>
      </c>
    </row>
    <row r="371" spans="1:24" ht="156.75" hidden="1" customHeight="1" x14ac:dyDescent="0.25">
      <c r="A371" s="119"/>
      <c r="B371" s="113"/>
      <c r="C371" s="113"/>
      <c r="D371" s="113"/>
      <c r="E371" s="113"/>
      <c r="F371" s="113"/>
      <c r="G371" s="113"/>
      <c r="H371" s="113"/>
      <c r="I371" s="113"/>
      <c r="J371" s="113"/>
      <c r="K371" s="113"/>
      <c r="L371" s="113"/>
      <c r="M371" s="113"/>
      <c r="N371" s="113"/>
      <c r="O371" s="113"/>
      <c r="P371" s="113"/>
      <c r="Q371" s="113"/>
      <c r="R371" s="113"/>
      <c r="S371" s="113"/>
      <c r="T371" s="119"/>
      <c r="U371" s="114"/>
      <c r="V371" s="114"/>
      <c r="W371" s="114"/>
      <c r="X371" s="119"/>
    </row>
    <row r="372" spans="1:24" ht="37.5" hidden="1" customHeight="1" x14ac:dyDescent="0.25">
      <c r="A372" s="119"/>
      <c r="B372" s="113"/>
      <c r="C372" s="113"/>
      <c r="D372" s="113"/>
      <c r="E372" s="113"/>
      <c r="F372" s="113"/>
      <c r="G372" s="113"/>
      <c r="H372" s="113"/>
      <c r="I372" s="113"/>
      <c r="J372" s="113"/>
      <c r="K372" s="113"/>
      <c r="L372" s="113"/>
      <c r="M372" s="113"/>
      <c r="N372" s="113"/>
      <c r="O372" s="113"/>
      <c r="P372" s="113"/>
      <c r="Q372" s="113"/>
      <c r="R372" s="113"/>
      <c r="S372" s="113"/>
      <c r="T372" s="33"/>
      <c r="U372" s="114"/>
      <c r="V372" s="114"/>
      <c r="W372" s="114"/>
      <c r="X372" s="119"/>
    </row>
    <row r="373" spans="1:24" ht="159" hidden="1" customHeight="1" x14ac:dyDescent="0.25">
      <c r="A373" s="119"/>
      <c r="B373" s="113"/>
      <c r="C373" s="113"/>
      <c r="D373" s="116"/>
      <c r="E373" s="113"/>
      <c r="F373" s="113"/>
      <c r="G373" s="113"/>
      <c r="H373" s="113"/>
      <c r="I373" s="113"/>
      <c r="J373" s="113"/>
      <c r="K373" s="113"/>
      <c r="L373" s="113"/>
      <c r="M373" s="113"/>
      <c r="N373" s="113"/>
      <c r="O373" s="113"/>
      <c r="P373" s="113"/>
      <c r="Q373" s="113"/>
      <c r="R373" s="113"/>
      <c r="S373" s="113"/>
      <c r="T373" s="119"/>
      <c r="U373" s="114"/>
      <c r="V373" s="114"/>
      <c r="W373" s="114"/>
      <c r="X373" s="119"/>
    </row>
    <row r="374" spans="1:24" ht="153" hidden="1" customHeight="1" x14ac:dyDescent="0.25">
      <c r="A374" s="119"/>
      <c r="B374" s="113"/>
      <c r="C374" s="113"/>
      <c r="D374" s="116"/>
      <c r="E374" s="113"/>
      <c r="F374" s="113"/>
      <c r="G374" s="113"/>
      <c r="H374" s="113"/>
      <c r="I374" s="113"/>
      <c r="J374" s="113"/>
      <c r="K374" s="113"/>
      <c r="L374" s="113"/>
      <c r="M374" s="113"/>
      <c r="N374" s="113"/>
      <c r="O374" s="113"/>
      <c r="P374" s="113"/>
      <c r="Q374" s="113"/>
      <c r="R374" s="113"/>
      <c r="S374" s="113"/>
      <c r="T374" s="119"/>
      <c r="U374" s="114"/>
      <c r="V374" s="114"/>
      <c r="W374" s="114"/>
      <c r="X374" s="119"/>
    </row>
    <row r="375" spans="1:24" ht="195.75" hidden="1" customHeight="1" x14ac:dyDescent="0.25">
      <c r="A375" s="119"/>
      <c r="B375" s="113"/>
      <c r="C375" s="113"/>
      <c r="D375" s="116"/>
      <c r="E375" s="113"/>
      <c r="F375" s="113"/>
      <c r="G375" s="113"/>
      <c r="H375" s="113"/>
      <c r="I375" s="113"/>
      <c r="J375" s="113"/>
      <c r="K375" s="113"/>
      <c r="L375" s="113"/>
      <c r="M375" s="113"/>
      <c r="N375" s="113"/>
      <c r="O375" s="113"/>
      <c r="P375" s="113"/>
      <c r="Q375" s="113"/>
      <c r="R375" s="113"/>
      <c r="S375" s="113"/>
      <c r="T375" s="172"/>
      <c r="U375" s="114"/>
      <c r="V375" s="114"/>
      <c r="W375" s="114"/>
      <c r="X375" s="119"/>
    </row>
    <row r="376" spans="1:24" ht="27" hidden="1" customHeight="1" x14ac:dyDescent="0.25">
      <c r="A376" s="119"/>
      <c r="B376" s="113"/>
      <c r="C376" s="113"/>
      <c r="D376" s="116"/>
      <c r="E376" s="113"/>
      <c r="F376" s="113"/>
      <c r="G376" s="113"/>
      <c r="H376" s="113"/>
      <c r="I376" s="113"/>
      <c r="J376" s="113"/>
      <c r="K376" s="113"/>
      <c r="L376" s="113"/>
      <c r="M376" s="113"/>
      <c r="N376" s="113"/>
      <c r="O376" s="113"/>
      <c r="P376" s="113"/>
      <c r="Q376" s="113"/>
      <c r="R376" s="113"/>
      <c r="S376" s="113"/>
      <c r="T376" s="158"/>
      <c r="U376" s="114"/>
      <c r="V376" s="114"/>
      <c r="W376" s="114"/>
      <c r="X376" s="119"/>
    </row>
    <row r="377" spans="1:24" ht="165.75" hidden="1" customHeight="1" x14ac:dyDescent="0.25">
      <c r="A377" s="119"/>
      <c r="B377" s="113"/>
      <c r="C377" s="113"/>
      <c r="D377" s="157"/>
      <c r="E377" s="113"/>
      <c r="F377" s="113"/>
      <c r="G377" s="113"/>
      <c r="H377" s="113"/>
      <c r="I377" s="113"/>
      <c r="J377" s="113"/>
      <c r="K377" s="113"/>
      <c r="L377" s="113"/>
      <c r="M377" s="113"/>
      <c r="N377" s="113"/>
      <c r="O377" s="113"/>
      <c r="P377" s="113"/>
      <c r="Q377" s="113"/>
      <c r="R377" s="113"/>
      <c r="S377" s="113"/>
      <c r="T377" s="134"/>
      <c r="U377" s="114"/>
      <c r="V377" s="114"/>
      <c r="W377" s="114"/>
      <c r="X377" s="119"/>
    </row>
    <row r="378" spans="1:24" ht="1.5" hidden="1" customHeight="1" x14ac:dyDescent="0.25">
      <c r="A378" s="119"/>
      <c r="B378" s="113"/>
      <c r="C378" s="113"/>
      <c r="D378" s="157"/>
      <c r="E378" s="113"/>
      <c r="F378" s="113"/>
      <c r="G378" s="113"/>
      <c r="H378" s="113"/>
      <c r="I378" s="113"/>
      <c r="J378" s="113"/>
      <c r="K378" s="113"/>
      <c r="L378" s="113"/>
      <c r="M378" s="113"/>
      <c r="N378" s="113"/>
      <c r="O378" s="113"/>
      <c r="P378" s="113"/>
      <c r="Q378" s="113"/>
      <c r="R378" s="113"/>
      <c r="S378" s="113"/>
      <c r="T378" s="161"/>
      <c r="U378" s="114"/>
      <c r="V378" s="114"/>
      <c r="W378" s="114"/>
      <c r="X378" s="119"/>
    </row>
    <row r="379" spans="1:24" ht="95.25" hidden="1" customHeight="1" x14ac:dyDescent="0.25">
      <c r="A379" s="119"/>
      <c r="B379" s="113"/>
      <c r="C379" s="113"/>
      <c r="D379" s="157"/>
      <c r="E379" s="113"/>
      <c r="F379" s="113"/>
      <c r="G379" s="113"/>
      <c r="H379" s="113"/>
      <c r="I379" s="113"/>
      <c r="J379" s="113"/>
      <c r="K379" s="113"/>
      <c r="L379" s="113"/>
      <c r="M379" s="113"/>
      <c r="N379" s="113"/>
      <c r="O379" s="113"/>
      <c r="P379" s="113"/>
      <c r="Q379" s="113"/>
      <c r="R379" s="113"/>
      <c r="S379" s="167"/>
      <c r="T379" s="171"/>
      <c r="U379" s="114"/>
      <c r="V379" s="114"/>
      <c r="W379" s="114"/>
      <c r="X379" s="119"/>
    </row>
    <row r="380" spans="1:24" ht="36.75" hidden="1" customHeight="1" x14ac:dyDescent="0.25">
      <c r="A380" s="119"/>
      <c r="B380" s="113"/>
      <c r="C380" s="113"/>
      <c r="D380" s="157"/>
      <c r="E380" s="113"/>
      <c r="F380" s="113"/>
      <c r="G380" s="113"/>
      <c r="H380" s="113"/>
      <c r="I380" s="113"/>
      <c r="J380" s="113"/>
      <c r="K380" s="113"/>
      <c r="L380" s="113"/>
      <c r="M380" s="113"/>
      <c r="N380" s="113"/>
      <c r="O380" s="113"/>
      <c r="P380" s="113"/>
      <c r="Q380" s="113"/>
      <c r="R380" s="113"/>
      <c r="S380" s="113"/>
      <c r="T380" s="161"/>
      <c r="U380" s="114"/>
      <c r="V380" s="114"/>
      <c r="W380" s="114"/>
      <c r="X380" s="119"/>
    </row>
    <row r="381" spans="1:24" ht="51" hidden="1" customHeight="1" x14ac:dyDescent="0.25">
      <c r="A381" s="119"/>
      <c r="B381" s="125"/>
      <c r="C381" s="125"/>
      <c r="D381" s="125"/>
      <c r="E381" s="125"/>
      <c r="F381" s="125"/>
      <c r="G381" s="125"/>
      <c r="H381" s="125"/>
      <c r="I381" s="125"/>
      <c r="J381" s="125"/>
      <c r="K381" s="125"/>
      <c r="L381" s="125"/>
      <c r="M381" s="125"/>
      <c r="N381" s="125"/>
      <c r="O381" s="125"/>
      <c r="P381" s="125"/>
      <c r="Q381" s="125"/>
      <c r="R381" s="125"/>
      <c r="S381" s="125"/>
      <c r="T381" s="110"/>
      <c r="U381" s="114"/>
      <c r="V381" s="111"/>
      <c r="W381" s="111"/>
      <c r="X381" s="119"/>
    </row>
    <row r="382" spans="1:24" ht="18.600000000000001" customHeight="1" x14ac:dyDescent="0.25">
      <c r="A382" s="110" t="s">
        <v>509</v>
      </c>
      <c r="B382" s="122"/>
      <c r="C382" s="122"/>
      <c r="D382" s="122"/>
      <c r="E382" s="122"/>
      <c r="F382" s="122"/>
      <c r="G382" s="122"/>
      <c r="H382" s="122"/>
      <c r="I382" s="122"/>
      <c r="J382" s="122"/>
      <c r="K382" s="122"/>
      <c r="L382" s="122"/>
      <c r="M382" s="122"/>
      <c r="N382" s="122"/>
      <c r="O382" s="122"/>
      <c r="P382" s="122"/>
      <c r="Q382" s="122"/>
      <c r="R382" s="122"/>
      <c r="S382" s="122"/>
      <c r="T382" s="110" t="s">
        <v>509</v>
      </c>
      <c r="U382" s="153">
        <f>U11+U76+U89+U149+U193+U279+U299+U304+U349+U364+U367</f>
        <v>903084468.30999994</v>
      </c>
      <c r="V382" s="154"/>
      <c r="W382" s="155"/>
      <c r="X382" s="110" t="s">
        <v>509</v>
      </c>
    </row>
    <row r="383" spans="1:24" ht="10.15" customHeight="1" x14ac:dyDescent="0.25"/>
    <row r="384" spans="1:24" ht="27.75" customHeight="1" x14ac:dyDescent="0.25">
      <c r="U384" s="123"/>
    </row>
    <row r="385" ht="10.15" customHeight="1" x14ac:dyDescent="0.25"/>
    <row r="386" ht="10.15" customHeight="1" x14ac:dyDescent="0.25"/>
    <row r="387" ht="10.15" customHeight="1" x14ac:dyDescent="0.25"/>
    <row r="388" ht="10.15" customHeight="1" x14ac:dyDescent="0.25"/>
    <row r="389" ht="10.15" customHeight="1" x14ac:dyDescent="0.25"/>
    <row r="390" ht="10.15" customHeight="1" x14ac:dyDescent="0.25"/>
    <row r="391" ht="10.15" customHeight="1" x14ac:dyDescent="0.25"/>
    <row r="392" ht="10.15" customHeight="1" x14ac:dyDescent="0.25"/>
    <row r="393" ht="10.15" customHeight="1" x14ac:dyDescent="0.25"/>
    <row r="394" ht="10.15" customHeight="1" x14ac:dyDescent="0.25"/>
    <row r="395" ht="10.15" customHeight="1" x14ac:dyDescent="0.25"/>
    <row r="396" ht="10.15" customHeight="1" x14ac:dyDescent="0.25"/>
    <row r="397" ht="10.15" customHeight="1" x14ac:dyDescent="0.25"/>
    <row r="398" ht="10.15" customHeight="1" x14ac:dyDescent="0.25"/>
    <row r="399" ht="10.15" customHeight="1" x14ac:dyDescent="0.25"/>
    <row r="400" ht="10.15" customHeight="1" x14ac:dyDescent="0.25"/>
    <row r="401" ht="10.15" customHeight="1" x14ac:dyDescent="0.25"/>
    <row r="402" ht="10.15" customHeight="1" x14ac:dyDescent="0.25"/>
    <row r="403" ht="10.15" customHeight="1" x14ac:dyDescent="0.25"/>
    <row r="404" ht="10.15" customHeight="1" x14ac:dyDescent="0.25"/>
    <row r="405" ht="10.15" customHeight="1" x14ac:dyDescent="0.25"/>
    <row r="406" ht="10.15" customHeight="1" x14ac:dyDescent="0.25"/>
    <row r="407" ht="10.15" customHeight="1" x14ac:dyDescent="0.25"/>
    <row r="408" ht="10.15" customHeight="1" x14ac:dyDescent="0.25"/>
    <row r="409" ht="10.15" customHeight="1" x14ac:dyDescent="0.25"/>
    <row r="410" ht="10.15" customHeight="1" x14ac:dyDescent="0.25"/>
    <row r="411" ht="10.15" customHeight="1" x14ac:dyDescent="0.25"/>
    <row r="412" ht="10.15" customHeight="1" x14ac:dyDescent="0.25"/>
    <row r="413" ht="10.15" customHeight="1" x14ac:dyDescent="0.25"/>
    <row r="414" ht="10.15" customHeight="1" x14ac:dyDescent="0.25"/>
    <row r="415" ht="10.15" customHeight="1" x14ac:dyDescent="0.25"/>
    <row r="416" ht="10.15" customHeight="1" x14ac:dyDescent="0.25"/>
    <row r="417" ht="10.15" customHeight="1" x14ac:dyDescent="0.25"/>
    <row r="418" ht="10.15" customHeight="1" x14ac:dyDescent="0.25"/>
    <row r="419" ht="10.15" customHeight="1" x14ac:dyDescent="0.25"/>
    <row r="420" ht="10.15" customHeight="1" x14ac:dyDescent="0.25"/>
    <row r="421" ht="10.15" customHeight="1" x14ac:dyDescent="0.25"/>
    <row r="422" ht="10.15" customHeight="1" x14ac:dyDescent="0.25"/>
    <row r="423" ht="10.15" customHeight="1" x14ac:dyDescent="0.25"/>
    <row r="424" ht="10.15" customHeight="1" x14ac:dyDescent="0.25"/>
    <row r="425" ht="10.15" customHeight="1" x14ac:dyDescent="0.25"/>
    <row r="426" ht="10.15" customHeight="1" x14ac:dyDescent="0.25"/>
    <row r="427" ht="10.15" customHeight="1" x14ac:dyDescent="0.25"/>
    <row r="428" ht="10.15" customHeight="1" x14ac:dyDescent="0.25"/>
    <row r="429"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0"/>
  <sheetViews>
    <sheetView zoomScale="70" zoomScaleNormal="70" workbookViewId="0">
      <selection activeCell="A5" sqref="A5:AA5"/>
    </sheetView>
  </sheetViews>
  <sheetFormatPr defaultRowHeight="15" x14ac:dyDescent="0.25"/>
  <cols>
    <col min="1" max="1" width="53.7109375" style="265" customWidth="1"/>
    <col min="2" max="2" width="16.7109375" style="265" customWidth="1"/>
    <col min="3" max="3" width="10.7109375" style="265" customWidth="1"/>
    <col min="4" max="4" width="15.140625" style="265" customWidth="1"/>
    <col min="5" max="5" width="18.140625" style="265" customWidth="1"/>
    <col min="6" max="18" width="8.85546875" style="265" hidden="1" customWidth="1"/>
    <col min="19" max="19" width="0.140625" style="265" hidden="1" customWidth="1"/>
    <col min="20" max="20" width="17.7109375" style="265" customWidth="1"/>
    <col min="21" max="25" width="8.85546875" style="265" hidden="1" customWidth="1"/>
    <col min="26" max="26" width="17.7109375" style="265" hidden="1" customWidth="1"/>
    <col min="27" max="27" width="49.42578125" style="265" customWidth="1"/>
    <col min="28" max="29" width="26" style="265" hidden="1" customWidth="1"/>
    <col min="30" max="30" width="8.85546875" style="265" hidden="1" customWidth="1"/>
    <col min="31" max="31" width="0" style="265" hidden="1" customWidth="1"/>
    <col min="32" max="32" width="20.5703125" style="265" hidden="1" customWidth="1"/>
    <col min="33" max="40" width="0" style="265" hidden="1" customWidth="1"/>
    <col min="41" max="257" width="9.140625" style="265"/>
    <col min="258" max="258" width="43.140625" style="265" customWidth="1"/>
    <col min="259" max="259" width="16.7109375" style="265" customWidth="1"/>
    <col min="260" max="261" width="10.7109375" style="265" customWidth="1"/>
    <col min="262" max="262" width="16.28515625" style="265" customWidth="1"/>
    <col min="263" max="276" width="0" style="265" hidden="1" customWidth="1"/>
    <col min="277" max="277" width="10.7109375" style="265" customWidth="1"/>
    <col min="278" max="282" width="0" style="265" hidden="1" customWidth="1"/>
    <col min="283" max="285" width="26" style="265" customWidth="1"/>
    <col min="286" max="286" width="0" style="265" hidden="1" customWidth="1"/>
    <col min="287" max="513" width="9.140625" style="265"/>
    <col min="514" max="514" width="43.140625" style="265" customWidth="1"/>
    <col min="515" max="515" width="16.7109375" style="265" customWidth="1"/>
    <col min="516" max="517" width="10.7109375" style="265" customWidth="1"/>
    <col min="518" max="518" width="16.28515625" style="265" customWidth="1"/>
    <col min="519" max="532" width="0" style="265" hidden="1" customWidth="1"/>
    <col min="533" max="533" width="10.7109375" style="265" customWidth="1"/>
    <col min="534" max="538" width="0" style="265" hidden="1" customWidth="1"/>
    <col min="539" max="541" width="26" style="265" customWidth="1"/>
    <col min="542" max="542" width="0" style="265" hidden="1" customWidth="1"/>
    <col min="543" max="769" width="9.140625" style="265"/>
    <col min="770" max="770" width="43.140625" style="265" customWidth="1"/>
    <col min="771" max="771" width="16.7109375" style="265" customWidth="1"/>
    <col min="772" max="773" width="10.7109375" style="265" customWidth="1"/>
    <col min="774" max="774" width="16.28515625" style="265" customWidth="1"/>
    <col min="775" max="788" width="0" style="265" hidden="1" customWidth="1"/>
    <col min="789" max="789" width="10.7109375" style="265" customWidth="1"/>
    <col min="790" max="794" width="0" style="265" hidden="1" customWidth="1"/>
    <col min="795" max="797" width="26" style="265" customWidth="1"/>
    <col min="798" max="798" width="0" style="265" hidden="1" customWidth="1"/>
    <col min="799" max="1025" width="9.140625" style="265"/>
    <col min="1026" max="1026" width="43.140625" style="265" customWidth="1"/>
    <col min="1027" max="1027" width="16.7109375" style="265" customWidth="1"/>
    <col min="1028" max="1029" width="10.7109375" style="265" customWidth="1"/>
    <col min="1030" max="1030" width="16.28515625" style="265" customWidth="1"/>
    <col min="1031" max="1044" width="0" style="265" hidden="1" customWidth="1"/>
    <col min="1045" max="1045" width="10.7109375" style="265" customWidth="1"/>
    <col min="1046" max="1050" width="0" style="265" hidden="1" customWidth="1"/>
    <col min="1051" max="1053" width="26" style="265" customWidth="1"/>
    <col min="1054" max="1054" width="0" style="265" hidden="1" customWidth="1"/>
    <col min="1055" max="1281" width="9.140625" style="265"/>
    <col min="1282" max="1282" width="43.140625" style="265" customWidth="1"/>
    <col min="1283" max="1283" width="16.7109375" style="265" customWidth="1"/>
    <col min="1284" max="1285" width="10.7109375" style="265" customWidth="1"/>
    <col min="1286" max="1286" width="16.28515625" style="265" customWidth="1"/>
    <col min="1287" max="1300" width="0" style="265" hidden="1" customWidth="1"/>
    <col min="1301" max="1301" width="10.7109375" style="265" customWidth="1"/>
    <col min="1302" max="1306" width="0" style="265" hidden="1" customWidth="1"/>
    <col min="1307" max="1309" width="26" style="265" customWidth="1"/>
    <col min="1310" max="1310" width="0" style="265" hidden="1" customWidth="1"/>
    <col min="1311" max="1537" width="9.140625" style="265"/>
    <col min="1538" max="1538" width="43.140625" style="265" customWidth="1"/>
    <col min="1539" max="1539" width="16.7109375" style="265" customWidth="1"/>
    <col min="1540" max="1541" width="10.7109375" style="265" customWidth="1"/>
    <col min="1542" max="1542" width="16.28515625" style="265" customWidth="1"/>
    <col min="1543" max="1556" width="0" style="265" hidden="1" customWidth="1"/>
    <col min="1557" max="1557" width="10.7109375" style="265" customWidth="1"/>
    <col min="1558" max="1562" width="0" style="265" hidden="1" customWidth="1"/>
    <col min="1563" max="1565" width="26" style="265" customWidth="1"/>
    <col min="1566" max="1566" width="0" style="265" hidden="1" customWidth="1"/>
    <col min="1567" max="1793" width="9.140625" style="265"/>
    <col min="1794" max="1794" width="43.140625" style="265" customWidth="1"/>
    <col min="1795" max="1795" width="16.7109375" style="265" customWidth="1"/>
    <col min="1796" max="1797" width="10.7109375" style="265" customWidth="1"/>
    <col min="1798" max="1798" width="16.28515625" style="265" customWidth="1"/>
    <col min="1799" max="1812" width="0" style="265" hidden="1" customWidth="1"/>
    <col min="1813" max="1813" width="10.7109375" style="265" customWidth="1"/>
    <col min="1814" max="1818" width="0" style="265" hidden="1" customWidth="1"/>
    <col min="1819" max="1821" width="26" style="265" customWidth="1"/>
    <col min="1822" max="1822" width="0" style="265" hidden="1" customWidth="1"/>
    <col min="1823" max="2049" width="9.140625" style="265"/>
    <col min="2050" max="2050" width="43.140625" style="265" customWidth="1"/>
    <col min="2051" max="2051" width="16.7109375" style="265" customWidth="1"/>
    <col min="2052" max="2053" width="10.7109375" style="265" customWidth="1"/>
    <col min="2054" max="2054" width="16.28515625" style="265" customWidth="1"/>
    <col min="2055" max="2068" width="0" style="265" hidden="1" customWidth="1"/>
    <col min="2069" max="2069" width="10.7109375" style="265" customWidth="1"/>
    <col min="2070" max="2074" width="0" style="265" hidden="1" customWidth="1"/>
    <col min="2075" max="2077" width="26" style="265" customWidth="1"/>
    <col min="2078" max="2078" width="0" style="265" hidden="1" customWidth="1"/>
    <col min="2079" max="2305" width="9.140625" style="265"/>
    <col min="2306" max="2306" width="43.140625" style="265" customWidth="1"/>
    <col min="2307" max="2307" width="16.7109375" style="265" customWidth="1"/>
    <col min="2308" max="2309" width="10.7109375" style="265" customWidth="1"/>
    <col min="2310" max="2310" width="16.28515625" style="265" customWidth="1"/>
    <col min="2311" max="2324" width="0" style="265" hidden="1" customWidth="1"/>
    <col min="2325" max="2325" width="10.7109375" style="265" customWidth="1"/>
    <col min="2326" max="2330" width="0" style="265" hidden="1" customWidth="1"/>
    <col min="2331" max="2333" width="26" style="265" customWidth="1"/>
    <col min="2334" max="2334" width="0" style="265" hidden="1" customWidth="1"/>
    <col min="2335" max="2561" width="9.140625" style="265"/>
    <col min="2562" max="2562" width="43.140625" style="265" customWidth="1"/>
    <col min="2563" max="2563" width="16.7109375" style="265" customWidth="1"/>
    <col min="2564" max="2565" width="10.7109375" style="265" customWidth="1"/>
    <col min="2566" max="2566" width="16.28515625" style="265" customWidth="1"/>
    <col min="2567" max="2580" width="0" style="265" hidden="1" customWidth="1"/>
    <col min="2581" max="2581" width="10.7109375" style="265" customWidth="1"/>
    <col min="2582" max="2586" width="0" style="265" hidden="1" customWidth="1"/>
    <col min="2587" max="2589" width="26" style="265" customWidth="1"/>
    <col min="2590" max="2590" width="0" style="265" hidden="1" customWidth="1"/>
    <col min="2591" max="2817" width="9.140625" style="265"/>
    <col min="2818" max="2818" width="43.140625" style="265" customWidth="1"/>
    <col min="2819" max="2819" width="16.7109375" style="265" customWidth="1"/>
    <col min="2820" max="2821" width="10.7109375" style="265" customWidth="1"/>
    <col min="2822" max="2822" width="16.28515625" style="265" customWidth="1"/>
    <col min="2823" max="2836" width="0" style="265" hidden="1" customWidth="1"/>
    <col min="2837" max="2837" width="10.7109375" style="265" customWidth="1"/>
    <col min="2838" max="2842" width="0" style="265" hidden="1" customWidth="1"/>
    <col min="2843" max="2845" width="26" style="265" customWidth="1"/>
    <col min="2846" max="2846" width="0" style="265" hidden="1" customWidth="1"/>
    <col min="2847" max="3073" width="9.140625" style="265"/>
    <col min="3074" max="3074" width="43.140625" style="265" customWidth="1"/>
    <col min="3075" max="3075" width="16.7109375" style="265" customWidth="1"/>
    <col min="3076" max="3077" width="10.7109375" style="265" customWidth="1"/>
    <col min="3078" max="3078" width="16.28515625" style="265" customWidth="1"/>
    <col min="3079" max="3092" width="0" style="265" hidden="1" customWidth="1"/>
    <col min="3093" max="3093" width="10.7109375" style="265" customWidth="1"/>
    <col min="3094" max="3098" width="0" style="265" hidden="1" customWidth="1"/>
    <col min="3099" max="3101" width="26" style="265" customWidth="1"/>
    <col min="3102" max="3102" width="0" style="265" hidden="1" customWidth="1"/>
    <col min="3103" max="3329" width="9.140625" style="265"/>
    <col min="3330" max="3330" width="43.140625" style="265" customWidth="1"/>
    <col min="3331" max="3331" width="16.7109375" style="265" customWidth="1"/>
    <col min="3332" max="3333" width="10.7109375" style="265" customWidth="1"/>
    <col min="3334" max="3334" width="16.28515625" style="265" customWidth="1"/>
    <col min="3335" max="3348" width="0" style="265" hidden="1" customWidth="1"/>
    <col min="3349" max="3349" width="10.7109375" style="265" customWidth="1"/>
    <col min="3350" max="3354" width="0" style="265" hidden="1" customWidth="1"/>
    <col min="3355" max="3357" width="26" style="265" customWidth="1"/>
    <col min="3358" max="3358" width="0" style="265" hidden="1" customWidth="1"/>
    <col min="3359" max="3585" width="9.140625" style="265"/>
    <col min="3586" max="3586" width="43.140625" style="265" customWidth="1"/>
    <col min="3587" max="3587" width="16.7109375" style="265" customWidth="1"/>
    <col min="3588" max="3589" width="10.7109375" style="265" customWidth="1"/>
    <col min="3590" max="3590" width="16.28515625" style="265" customWidth="1"/>
    <col min="3591" max="3604" width="0" style="265" hidden="1" customWidth="1"/>
    <col min="3605" max="3605" width="10.7109375" style="265" customWidth="1"/>
    <col min="3606" max="3610" width="0" style="265" hidden="1" customWidth="1"/>
    <col min="3611" max="3613" width="26" style="265" customWidth="1"/>
    <col min="3614" max="3614" width="0" style="265" hidden="1" customWidth="1"/>
    <col min="3615" max="3841" width="9.140625" style="265"/>
    <col min="3842" max="3842" width="43.140625" style="265" customWidth="1"/>
    <col min="3843" max="3843" width="16.7109375" style="265" customWidth="1"/>
    <col min="3844" max="3845" width="10.7109375" style="265" customWidth="1"/>
    <col min="3846" max="3846" width="16.28515625" style="265" customWidth="1"/>
    <col min="3847" max="3860" width="0" style="265" hidden="1" customWidth="1"/>
    <col min="3861" max="3861" width="10.7109375" style="265" customWidth="1"/>
    <col min="3862" max="3866" width="0" style="265" hidden="1" customWidth="1"/>
    <col min="3867" max="3869" width="26" style="265" customWidth="1"/>
    <col min="3870" max="3870" width="0" style="265" hidden="1" customWidth="1"/>
    <col min="3871" max="4097" width="9.140625" style="265"/>
    <col min="4098" max="4098" width="43.140625" style="265" customWidth="1"/>
    <col min="4099" max="4099" width="16.7109375" style="265" customWidth="1"/>
    <col min="4100" max="4101" width="10.7109375" style="265" customWidth="1"/>
    <col min="4102" max="4102" width="16.28515625" style="265" customWidth="1"/>
    <col min="4103" max="4116" width="0" style="265" hidden="1" customWidth="1"/>
    <col min="4117" max="4117" width="10.7109375" style="265" customWidth="1"/>
    <col min="4118" max="4122" width="0" style="265" hidden="1" customWidth="1"/>
    <col min="4123" max="4125" width="26" style="265" customWidth="1"/>
    <col min="4126" max="4126" width="0" style="265" hidden="1" customWidth="1"/>
    <col min="4127" max="4353" width="9.140625" style="265"/>
    <col min="4354" max="4354" width="43.140625" style="265" customWidth="1"/>
    <col min="4355" max="4355" width="16.7109375" style="265" customWidth="1"/>
    <col min="4356" max="4357" width="10.7109375" style="265" customWidth="1"/>
    <col min="4358" max="4358" width="16.28515625" style="265" customWidth="1"/>
    <col min="4359" max="4372" width="0" style="265" hidden="1" customWidth="1"/>
    <col min="4373" max="4373" width="10.7109375" style="265" customWidth="1"/>
    <col min="4374" max="4378" width="0" style="265" hidden="1" customWidth="1"/>
    <col min="4379" max="4381" width="26" style="265" customWidth="1"/>
    <col min="4382" max="4382" width="0" style="265" hidden="1" customWidth="1"/>
    <col min="4383" max="4609" width="9.140625" style="265"/>
    <col min="4610" max="4610" width="43.140625" style="265" customWidth="1"/>
    <col min="4611" max="4611" width="16.7109375" style="265" customWidth="1"/>
    <col min="4612" max="4613" width="10.7109375" style="265" customWidth="1"/>
    <col min="4614" max="4614" width="16.28515625" style="265" customWidth="1"/>
    <col min="4615" max="4628" width="0" style="265" hidden="1" customWidth="1"/>
    <col min="4629" max="4629" width="10.7109375" style="265" customWidth="1"/>
    <col min="4630" max="4634" width="0" style="265" hidden="1" customWidth="1"/>
    <col min="4635" max="4637" width="26" style="265" customWidth="1"/>
    <col min="4638" max="4638" width="0" style="265" hidden="1" customWidth="1"/>
    <col min="4639" max="4865" width="9.140625" style="265"/>
    <col min="4866" max="4866" width="43.140625" style="265" customWidth="1"/>
    <col min="4867" max="4867" width="16.7109375" style="265" customWidth="1"/>
    <col min="4868" max="4869" width="10.7109375" style="265" customWidth="1"/>
    <col min="4870" max="4870" width="16.28515625" style="265" customWidth="1"/>
    <col min="4871" max="4884" width="0" style="265" hidden="1" customWidth="1"/>
    <col min="4885" max="4885" width="10.7109375" style="265" customWidth="1"/>
    <col min="4886" max="4890" width="0" style="265" hidden="1" customWidth="1"/>
    <col min="4891" max="4893" width="26" style="265" customWidth="1"/>
    <col min="4894" max="4894" width="0" style="265" hidden="1" customWidth="1"/>
    <col min="4895" max="5121" width="9.140625" style="265"/>
    <col min="5122" max="5122" width="43.140625" style="265" customWidth="1"/>
    <col min="5123" max="5123" width="16.7109375" style="265" customWidth="1"/>
    <col min="5124" max="5125" width="10.7109375" style="265" customWidth="1"/>
    <col min="5126" max="5126" width="16.28515625" style="265" customWidth="1"/>
    <col min="5127" max="5140" width="0" style="265" hidden="1" customWidth="1"/>
    <col min="5141" max="5141" width="10.7109375" style="265" customWidth="1"/>
    <col min="5142" max="5146" width="0" style="265" hidden="1" customWidth="1"/>
    <col min="5147" max="5149" width="26" style="265" customWidth="1"/>
    <col min="5150" max="5150" width="0" style="265" hidden="1" customWidth="1"/>
    <col min="5151" max="5377" width="9.140625" style="265"/>
    <col min="5378" max="5378" width="43.140625" style="265" customWidth="1"/>
    <col min="5379" max="5379" width="16.7109375" style="265" customWidth="1"/>
    <col min="5380" max="5381" width="10.7109375" style="265" customWidth="1"/>
    <col min="5382" max="5382" width="16.28515625" style="265" customWidth="1"/>
    <col min="5383" max="5396" width="0" style="265" hidden="1" customWidth="1"/>
    <col min="5397" max="5397" width="10.7109375" style="265" customWidth="1"/>
    <col min="5398" max="5402" width="0" style="265" hidden="1" customWidth="1"/>
    <col min="5403" max="5405" width="26" style="265" customWidth="1"/>
    <col min="5406" max="5406" width="0" style="265" hidden="1" customWidth="1"/>
    <col min="5407" max="5633" width="9.140625" style="265"/>
    <col min="5634" max="5634" width="43.140625" style="265" customWidth="1"/>
    <col min="5635" max="5635" width="16.7109375" style="265" customWidth="1"/>
    <col min="5636" max="5637" width="10.7109375" style="265" customWidth="1"/>
    <col min="5638" max="5638" width="16.28515625" style="265" customWidth="1"/>
    <col min="5639" max="5652" width="0" style="265" hidden="1" customWidth="1"/>
    <col min="5653" max="5653" width="10.7109375" style="265" customWidth="1"/>
    <col min="5654" max="5658" width="0" style="265" hidden="1" customWidth="1"/>
    <col min="5659" max="5661" width="26" style="265" customWidth="1"/>
    <col min="5662" max="5662" width="0" style="265" hidden="1" customWidth="1"/>
    <col min="5663" max="5889" width="9.140625" style="265"/>
    <col min="5890" max="5890" width="43.140625" style="265" customWidth="1"/>
    <col min="5891" max="5891" width="16.7109375" style="265" customWidth="1"/>
    <col min="5892" max="5893" width="10.7109375" style="265" customWidth="1"/>
    <col min="5894" max="5894" width="16.28515625" style="265" customWidth="1"/>
    <col min="5895" max="5908" width="0" style="265" hidden="1" customWidth="1"/>
    <col min="5909" max="5909" width="10.7109375" style="265" customWidth="1"/>
    <col min="5910" max="5914" width="0" style="265" hidden="1" customWidth="1"/>
    <col min="5915" max="5917" width="26" style="265" customWidth="1"/>
    <col min="5918" max="5918" width="0" style="265" hidden="1" customWidth="1"/>
    <col min="5919" max="6145" width="9.140625" style="265"/>
    <col min="6146" max="6146" width="43.140625" style="265" customWidth="1"/>
    <col min="6147" max="6147" width="16.7109375" style="265" customWidth="1"/>
    <col min="6148" max="6149" width="10.7109375" style="265" customWidth="1"/>
    <col min="6150" max="6150" width="16.28515625" style="265" customWidth="1"/>
    <col min="6151" max="6164" width="0" style="265" hidden="1" customWidth="1"/>
    <col min="6165" max="6165" width="10.7109375" style="265" customWidth="1"/>
    <col min="6166" max="6170" width="0" style="265" hidden="1" customWidth="1"/>
    <col min="6171" max="6173" width="26" style="265" customWidth="1"/>
    <col min="6174" max="6174" width="0" style="265" hidden="1" customWidth="1"/>
    <col min="6175" max="6401" width="9.140625" style="265"/>
    <col min="6402" max="6402" width="43.140625" style="265" customWidth="1"/>
    <col min="6403" max="6403" width="16.7109375" style="265" customWidth="1"/>
    <col min="6404" max="6405" width="10.7109375" style="265" customWidth="1"/>
    <col min="6406" max="6406" width="16.28515625" style="265" customWidth="1"/>
    <col min="6407" max="6420" width="0" style="265" hidden="1" customWidth="1"/>
    <col min="6421" max="6421" width="10.7109375" style="265" customWidth="1"/>
    <col min="6422" max="6426" width="0" style="265" hidden="1" customWidth="1"/>
    <col min="6427" max="6429" width="26" style="265" customWidth="1"/>
    <col min="6430" max="6430" width="0" style="265" hidden="1" customWidth="1"/>
    <col min="6431" max="6657" width="9.140625" style="265"/>
    <col min="6658" max="6658" width="43.140625" style="265" customWidth="1"/>
    <col min="6659" max="6659" width="16.7109375" style="265" customWidth="1"/>
    <col min="6660" max="6661" width="10.7109375" style="265" customWidth="1"/>
    <col min="6662" max="6662" width="16.28515625" style="265" customWidth="1"/>
    <col min="6663" max="6676" width="0" style="265" hidden="1" customWidth="1"/>
    <col min="6677" max="6677" width="10.7109375" style="265" customWidth="1"/>
    <col min="6678" max="6682" width="0" style="265" hidden="1" customWidth="1"/>
    <col min="6683" max="6685" width="26" style="265" customWidth="1"/>
    <col min="6686" max="6686" width="0" style="265" hidden="1" customWidth="1"/>
    <col min="6687" max="6913" width="9.140625" style="265"/>
    <col min="6914" max="6914" width="43.140625" style="265" customWidth="1"/>
    <col min="6915" max="6915" width="16.7109375" style="265" customWidth="1"/>
    <col min="6916" max="6917" width="10.7109375" style="265" customWidth="1"/>
    <col min="6918" max="6918" width="16.28515625" style="265" customWidth="1"/>
    <col min="6919" max="6932" width="0" style="265" hidden="1" customWidth="1"/>
    <col min="6933" max="6933" width="10.7109375" style="265" customWidth="1"/>
    <col min="6934" max="6938" width="0" style="265" hidden="1" customWidth="1"/>
    <col min="6939" max="6941" width="26" style="265" customWidth="1"/>
    <col min="6942" max="6942" width="0" style="265" hidden="1" customWidth="1"/>
    <col min="6943" max="7169" width="9.140625" style="265"/>
    <col min="7170" max="7170" width="43.140625" style="265" customWidth="1"/>
    <col min="7171" max="7171" width="16.7109375" style="265" customWidth="1"/>
    <col min="7172" max="7173" width="10.7109375" style="265" customWidth="1"/>
    <col min="7174" max="7174" width="16.28515625" style="265" customWidth="1"/>
    <col min="7175" max="7188" width="0" style="265" hidden="1" customWidth="1"/>
    <col min="7189" max="7189" width="10.7109375" style="265" customWidth="1"/>
    <col min="7190" max="7194" width="0" style="265" hidden="1" customWidth="1"/>
    <col min="7195" max="7197" width="26" style="265" customWidth="1"/>
    <col min="7198" max="7198" width="0" style="265" hidden="1" customWidth="1"/>
    <col min="7199" max="7425" width="9.140625" style="265"/>
    <col min="7426" max="7426" width="43.140625" style="265" customWidth="1"/>
    <col min="7427" max="7427" width="16.7109375" style="265" customWidth="1"/>
    <col min="7428" max="7429" width="10.7109375" style="265" customWidth="1"/>
    <col min="7430" max="7430" width="16.28515625" style="265" customWidth="1"/>
    <col min="7431" max="7444" width="0" style="265" hidden="1" customWidth="1"/>
    <col min="7445" max="7445" width="10.7109375" style="265" customWidth="1"/>
    <col min="7446" max="7450" width="0" style="265" hidden="1" customWidth="1"/>
    <col min="7451" max="7453" width="26" style="265" customWidth="1"/>
    <col min="7454" max="7454" width="0" style="265" hidden="1" customWidth="1"/>
    <col min="7455" max="7681" width="9.140625" style="265"/>
    <col min="7682" max="7682" width="43.140625" style="265" customWidth="1"/>
    <col min="7683" max="7683" width="16.7109375" style="265" customWidth="1"/>
    <col min="7684" max="7685" width="10.7109375" style="265" customWidth="1"/>
    <col min="7686" max="7686" width="16.28515625" style="265" customWidth="1"/>
    <col min="7687" max="7700" width="0" style="265" hidden="1" customWidth="1"/>
    <col min="7701" max="7701" width="10.7109375" style="265" customWidth="1"/>
    <col min="7702" max="7706" width="0" style="265" hidden="1" customWidth="1"/>
    <col min="7707" max="7709" width="26" style="265" customWidth="1"/>
    <col min="7710" max="7710" width="0" style="265" hidden="1" customWidth="1"/>
    <col min="7711" max="7937" width="9.140625" style="265"/>
    <col min="7938" max="7938" width="43.140625" style="265" customWidth="1"/>
    <col min="7939" max="7939" width="16.7109375" style="265" customWidth="1"/>
    <col min="7940" max="7941" width="10.7109375" style="265" customWidth="1"/>
    <col min="7942" max="7942" width="16.28515625" style="265" customWidth="1"/>
    <col min="7943" max="7956" width="0" style="265" hidden="1" customWidth="1"/>
    <col min="7957" max="7957" width="10.7109375" style="265" customWidth="1"/>
    <col min="7958" max="7962" width="0" style="265" hidden="1" customWidth="1"/>
    <col min="7963" max="7965" width="26" style="265" customWidth="1"/>
    <col min="7966" max="7966" width="0" style="265" hidden="1" customWidth="1"/>
    <col min="7967" max="8193" width="9.140625" style="265"/>
    <col min="8194" max="8194" width="43.140625" style="265" customWidth="1"/>
    <col min="8195" max="8195" width="16.7109375" style="265" customWidth="1"/>
    <col min="8196" max="8197" width="10.7109375" style="265" customWidth="1"/>
    <col min="8198" max="8198" width="16.28515625" style="265" customWidth="1"/>
    <col min="8199" max="8212" width="0" style="265" hidden="1" customWidth="1"/>
    <col min="8213" max="8213" width="10.7109375" style="265" customWidth="1"/>
    <col min="8214" max="8218" width="0" style="265" hidden="1" customWidth="1"/>
    <col min="8219" max="8221" width="26" style="265" customWidth="1"/>
    <col min="8222" max="8222" width="0" style="265" hidden="1" customWidth="1"/>
    <col min="8223" max="8449" width="9.140625" style="265"/>
    <col min="8450" max="8450" width="43.140625" style="265" customWidth="1"/>
    <col min="8451" max="8451" width="16.7109375" style="265" customWidth="1"/>
    <col min="8452" max="8453" width="10.7109375" style="265" customWidth="1"/>
    <col min="8454" max="8454" width="16.28515625" style="265" customWidth="1"/>
    <col min="8455" max="8468" width="0" style="265" hidden="1" customWidth="1"/>
    <col min="8469" max="8469" width="10.7109375" style="265" customWidth="1"/>
    <col min="8470" max="8474" width="0" style="265" hidden="1" customWidth="1"/>
    <col min="8475" max="8477" width="26" style="265" customWidth="1"/>
    <col min="8478" max="8478" width="0" style="265" hidden="1" customWidth="1"/>
    <col min="8479" max="8705" width="9.140625" style="265"/>
    <col min="8706" max="8706" width="43.140625" style="265" customWidth="1"/>
    <col min="8707" max="8707" width="16.7109375" style="265" customWidth="1"/>
    <col min="8708" max="8709" width="10.7109375" style="265" customWidth="1"/>
    <col min="8710" max="8710" width="16.28515625" style="265" customWidth="1"/>
    <col min="8711" max="8724" width="0" style="265" hidden="1" customWidth="1"/>
    <col min="8725" max="8725" width="10.7109375" style="265" customWidth="1"/>
    <col min="8726" max="8730" width="0" style="265" hidden="1" customWidth="1"/>
    <col min="8731" max="8733" width="26" style="265" customWidth="1"/>
    <col min="8734" max="8734" width="0" style="265" hidden="1" customWidth="1"/>
    <col min="8735" max="8961" width="9.140625" style="265"/>
    <col min="8962" max="8962" width="43.140625" style="265" customWidth="1"/>
    <col min="8963" max="8963" width="16.7109375" style="265" customWidth="1"/>
    <col min="8964" max="8965" width="10.7109375" style="265" customWidth="1"/>
    <col min="8966" max="8966" width="16.28515625" style="265" customWidth="1"/>
    <col min="8967" max="8980" width="0" style="265" hidden="1" customWidth="1"/>
    <col min="8981" max="8981" width="10.7109375" style="265" customWidth="1"/>
    <col min="8982" max="8986" width="0" style="265" hidden="1" customWidth="1"/>
    <col min="8987" max="8989" width="26" style="265" customWidth="1"/>
    <col min="8990" max="8990" width="0" style="265" hidden="1" customWidth="1"/>
    <col min="8991" max="9217" width="9.140625" style="265"/>
    <col min="9218" max="9218" width="43.140625" style="265" customWidth="1"/>
    <col min="9219" max="9219" width="16.7109375" style="265" customWidth="1"/>
    <col min="9220" max="9221" width="10.7109375" style="265" customWidth="1"/>
    <col min="9222" max="9222" width="16.28515625" style="265" customWidth="1"/>
    <col min="9223" max="9236" width="0" style="265" hidden="1" customWidth="1"/>
    <col min="9237" max="9237" width="10.7109375" style="265" customWidth="1"/>
    <col min="9238" max="9242" width="0" style="265" hidden="1" customWidth="1"/>
    <col min="9243" max="9245" width="26" style="265" customWidth="1"/>
    <col min="9246" max="9246" width="0" style="265" hidden="1" customWidth="1"/>
    <col min="9247" max="9473" width="9.140625" style="265"/>
    <col min="9474" max="9474" width="43.140625" style="265" customWidth="1"/>
    <col min="9475" max="9475" width="16.7109375" style="265" customWidth="1"/>
    <col min="9476" max="9477" width="10.7109375" style="265" customWidth="1"/>
    <col min="9478" max="9478" width="16.28515625" style="265" customWidth="1"/>
    <col min="9479" max="9492" width="0" style="265" hidden="1" customWidth="1"/>
    <col min="9493" max="9493" width="10.7109375" style="265" customWidth="1"/>
    <col min="9494" max="9498" width="0" style="265" hidden="1" customWidth="1"/>
    <col min="9499" max="9501" width="26" style="265" customWidth="1"/>
    <col min="9502" max="9502" width="0" style="265" hidden="1" customWidth="1"/>
    <col min="9503" max="9729" width="9.140625" style="265"/>
    <col min="9730" max="9730" width="43.140625" style="265" customWidth="1"/>
    <col min="9731" max="9731" width="16.7109375" style="265" customWidth="1"/>
    <col min="9732" max="9733" width="10.7109375" style="265" customWidth="1"/>
    <col min="9734" max="9734" width="16.28515625" style="265" customWidth="1"/>
    <col min="9735" max="9748" width="0" style="265" hidden="1" customWidth="1"/>
    <col min="9749" max="9749" width="10.7109375" style="265" customWidth="1"/>
    <col min="9750" max="9754" width="0" style="265" hidden="1" customWidth="1"/>
    <col min="9755" max="9757" width="26" style="265" customWidth="1"/>
    <col min="9758" max="9758" width="0" style="265" hidden="1" customWidth="1"/>
    <col min="9759" max="9985" width="9.140625" style="265"/>
    <col min="9986" max="9986" width="43.140625" style="265" customWidth="1"/>
    <col min="9987" max="9987" width="16.7109375" style="265" customWidth="1"/>
    <col min="9988" max="9989" width="10.7109375" style="265" customWidth="1"/>
    <col min="9990" max="9990" width="16.28515625" style="265" customWidth="1"/>
    <col min="9991" max="10004" width="0" style="265" hidden="1" customWidth="1"/>
    <col min="10005" max="10005" width="10.7109375" style="265" customWidth="1"/>
    <col min="10006" max="10010" width="0" style="265" hidden="1" customWidth="1"/>
    <col min="10011" max="10013" width="26" style="265" customWidth="1"/>
    <col min="10014" max="10014" width="0" style="265" hidden="1" customWidth="1"/>
    <col min="10015" max="10241" width="9.140625" style="265"/>
    <col min="10242" max="10242" width="43.140625" style="265" customWidth="1"/>
    <col min="10243" max="10243" width="16.7109375" style="265" customWidth="1"/>
    <col min="10244" max="10245" width="10.7109375" style="265" customWidth="1"/>
    <col min="10246" max="10246" width="16.28515625" style="265" customWidth="1"/>
    <col min="10247" max="10260" width="0" style="265" hidden="1" customWidth="1"/>
    <col min="10261" max="10261" width="10.7109375" style="265" customWidth="1"/>
    <col min="10262" max="10266" width="0" style="265" hidden="1" customWidth="1"/>
    <col min="10267" max="10269" width="26" style="265" customWidth="1"/>
    <col min="10270" max="10270" width="0" style="265" hidden="1" customWidth="1"/>
    <col min="10271" max="10497" width="9.140625" style="265"/>
    <col min="10498" max="10498" width="43.140625" style="265" customWidth="1"/>
    <col min="10499" max="10499" width="16.7109375" style="265" customWidth="1"/>
    <col min="10500" max="10501" width="10.7109375" style="265" customWidth="1"/>
    <col min="10502" max="10502" width="16.28515625" style="265" customWidth="1"/>
    <col min="10503" max="10516" width="0" style="265" hidden="1" customWidth="1"/>
    <col min="10517" max="10517" width="10.7109375" style="265" customWidth="1"/>
    <col min="10518" max="10522" width="0" style="265" hidden="1" customWidth="1"/>
    <col min="10523" max="10525" width="26" style="265" customWidth="1"/>
    <col min="10526" max="10526" width="0" style="265" hidden="1" customWidth="1"/>
    <col min="10527" max="10753" width="9.140625" style="265"/>
    <col min="10754" max="10754" width="43.140625" style="265" customWidth="1"/>
    <col min="10755" max="10755" width="16.7109375" style="265" customWidth="1"/>
    <col min="10756" max="10757" width="10.7109375" style="265" customWidth="1"/>
    <col min="10758" max="10758" width="16.28515625" style="265" customWidth="1"/>
    <col min="10759" max="10772" width="0" style="265" hidden="1" customWidth="1"/>
    <col min="10773" max="10773" width="10.7109375" style="265" customWidth="1"/>
    <col min="10774" max="10778" width="0" style="265" hidden="1" customWidth="1"/>
    <col min="10779" max="10781" width="26" style="265" customWidth="1"/>
    <col min="10782" max="10782" width="0" style="265" hidden="1" customWidth="1"/>
    <col min="10783" max="11009" width="9.140625" style="265"/>
    <col min="11010" max="11010" width="43.140625" style="265" customWidth="1"/>
    <col min="11011" max="11011" width="16.7109375" style="265" customWidth="1"/>
    <col min="11012" max="11013" width="10.7109375" style="265" customWidth="1"/>
    <col min="11014" max="11014" width="16.28515625" style="265" customWidth="1"/>
    <col min="11015" max="11028" width="0" style="265" hidden="1" customWidth="1"/>
    <col min="11029" max="11029" width="10.7109375" style="265" customWidth="1"/>
    <col min="11030" max="11034" width="0" style="265" hidden="1" customWidth="1"/>
    <col min="11035" max="11037" width="26" style="265" customWidth="1"/>
    <col min="11038" max="11038" width="0" style="265" hidden="1" customWidth="1"/>
    <col min="11039" max="11265" width="9.140625" style="265"/>
    <col min="11266" max="11266" width="43.140625" style="265" customWidth="1"/>
    <col min="11267" max="11267" width="16.7109375" style="265" customWidth="1"/>
    <col min="11268" max="11269" width="10.7109375" style="265" customWidth="1"/>
    <col min="11270" max="11270" width="16.28515625" style="265" customWidth="1"/>
    <col min="11271" max="11284" width="0" style="265" hidden="1" customWidth="1"/>
    <col min="11285" max="11285" width="10.7109375" style="265" customWidth="1"/>
    <col min="11286" max="11290" width="0" style="265" hidden="1" customWidth="1"/>
    <col min="11291" max="11293" width="26" style="265" customWidth="1"/>
    <col min="11294" max="11294" width="0" style="265" hidden="1" customWidth="1"/>
    <col min="11295" max="11521" width="9.140625" style="265"/>
    <col min="11522" max="11522" width="43.140625" style="265" customWidth="1"/>
    <col min="11523" max="11523" width="16.7109375" style="265" customWidth="1"/>
    <col min="11524" max="11525" width="10.7109375" style="265" customWidth="1"/>
    <col min="11526" max="11526" width="16.28515625" style="265" customWidth="1"/>
    <col min="11527" max="11540" width="0" style="265" hidden="1" customWidth="1"/>
    <col min="11541" max="11541" width="10.7109375" style="265" customWidth="1"/>
    <col min="11542" max="11546" width="0" style="265" hidden="1" customWidth="1"/>
    <col min="11547" max="11549" width="26" style="265" customWidth="1"/>
    <col min="11550" max="11550" width="0" style="265" hidden="1" customWidth="1"/>
    <col min="11551" max="11777" width="9.140625" style="265"/>
    <col min="11778" max="11778" width="43.140625" style="265" customWidth="1"/>
    <col min="11779" max="11779" width="16.7109375" style="265" customWidth="1"/>
    <col min="11780" max="11781" width="10.7109375" style="265" customWidth="1"/>
    <col min="11782" max="11782" width="16.28515625" style="265" customWidth="1"/>
    <col min="11783" max="11796" width="0" style="265" hidden="1" customWidth="1"/>
    <col min="11797" max="11797" width="10.7109375" style="265" customWidth="1"/>
    <col min="11798" max="11802" width="0" style="265" hidden="1" customWidth="1"/>
    <col min="11803" max="11805" width="26" style="265" customWidth="1"/>
    <col min="11806" max="11806" width="0" style="265" hidden="1" customWidth="1"/>
    <col min="11807" max="12033" width="9.140625" style="265"/>
    <col min="12034" max="12034" width="43.140625" style="265" customWidth="1"/>
    <col min="12035" max="12035" width="16.7109375" style="265" customWidth="1"/>
    <col min="12036" max="12037" width="10.7109375" style="265" customWidth="1"/>
    <col min="12038" max="12038" width="16.28515625" style="265" customWidth="1"/>
    <col min="12039" max="12052" width="0" style="265" hidden="1" customWidth="1"/>
    <col min="12053" max="12053" width="10.7109375" style="265" customWidth="1"/>
    <col min="12054" max="12058" width="0" style="265" hidden="1" customWidth="1"/>
    <col min="12059" max="12061" width="26" style="265" customWidth="1"/>
    <col min="12062" max="12062" width="0" style="265" hidden="1" customWidth="1"/>
    <col min="12063" max="12289" width="9.140625" style="265"/>
    <col min="12290" max="12290" width="43.140625" style="265" customWidth="1"/>
    <col min="12291" max="12291" width="16.7109375" style="265" customWidth="1"/>
    <col min="12292" max="12293" width="10.7109375" style="265" customWidth="1"/>
    <col min="12294" max="12294" width="16.28515625" style="265" customWidth="1"/>
    <col min="12295" max="12308" width="0" style="265" hidden="1" customWidth="1"/>
    <col min="12309" max="12309" width="10.7109375" style="265" customWidth="1"/>
    <col min="12310" max="12314" width="0" style="265" hidden="1" customWidth="1"/>
    <col min="12315" max="12317" width="26" style="265" customWidth="1"/>
    <col min="12318" max="12318" width="0" style="265" hidden="1" customWidth="1"/>
    <col min="12319" max="12545" width="9.140625" style="265"/>
    <col min="12546" max="12546" width="43.140625" style="265" customWidth="1"/>
    <col min="12547" max="12547" width="16.7109375" style="265" customWidth="1"/>
    <col min="12548" max="12549" width="10.7109375" style="265" customWidth="1"/>
    <col min="12550" max="12550" width="16.28515625" style="265" customWidth="1"/>
    <col min="12551" max="12564" width="0" style="265" hidden="1" customWidth="1"/>
    <col min="12565" max="12565" width="10.7109375" style="265" customWidth="1"/>
    <col min="12566" max="12570" width="0" style="265" hidden="1" customWidth="1"/>
    <col min="12571" max="12573" width="26" style="265" customWidth="1"/>
    <col min="12574" max="12574" width="0" style="265" hidden="1" customWidth="1"/>
    <col min="12575" max="12801" width="9.140625" style="265"/>
    <col min="12802" max="12802" width="43.140625" style="265" customWidth="1"/>
    <col min="12803" max="12803" width="16.7109375" style="265" customWidth="1"/>
    <col min="12804" max="12805" width="10.7109375" style="265" customWidth="1"/>
    <col min="12806" max="12806" width="16.28515625" style="265" customWidth="1"/>
    <col min="12807" max="12820" width="0" style="265" hidden="1" customWidth="1"/>
    <col min="12821" max="12821" width="10.7109375" style="265" customWidth="1"/>
    <col min="12822" max="12826" width="0" style="265" hidden="1" customWidth="1"/>
    <col min="12827" max="12829" width="26" style="265" customWidth="1"/>
    <col min="12830" max="12830" width="0" style="265" hidden="1" customWidth="1"/>
    <col min="12831" max="13057" width="9.140625" style="265"/>
    <col min="13058" max="13058" width="43.140625" style="265" customWidth="1"/>
    <col min="13059" max="13059" width="16.7109375" style="265" customWidth="1"/>
    <col min="13060" max="13061" width="10.7109375" style="265" customWidth="1"/>
    <col min="13062" max="13062" width="16.28515625" style="265" customWidth="1"/>
    <col min="13063" max="13076" width="0" style="265" hidden="1" customWidth="1"/>
    <col min="13077" max="13077" width="10.7109375" style="265" customWidth="1"/>
    <col min="13078" max="13082" width="0" style="265" hidden="1" customWidth="1"/>
    <col min="13083" max="13085" width="26" style="265" customWidth="1"/>
    <col min="13086" max="13086" width="0" style="265" hidden="1" customWidth="1"/>
    <col min="13087" max="13313" width="9.140625" style="265"/>
    <col min="13314" max="13314" width="43.140625" style="265" customWidth="1"/>
    <col min="13315" max="13315" width="16.7109375" style="265" customWidth="1"/>
    <col min="13316" max="13317" width="10.7109375" style="265" customWidth="1"/>
    <col min="13318" max="13318" width="16.28515625" style="265" customWidth="1"/>
    <col min="13319" max="13332" width="0" style="265" hidden="1" customWidth="1"/>
    <col min="13333" max="13333" width="10.7109375" style="265" customWidth="1"/>
    <col min="13334" max="13338" width="0" style="265" hidden="1" customWidth="1"/>
    <col min="13339" max="13341" width="26" style="265" customWidth="1"/>
    <col min="13342" max="13342" width="0" style="265" hidden="1" customWidth="1"/>
    <col min="13343" max="13569" width="9.140625" style="265"/>
    <col min="13570" max="13570" width="43.140625" style="265" customWidth="1"/>
    <col min="13571" max="13571" width="16.7109375" style="265" customWidth="1"/>
    <col min="13572" max="13573" width="10.7109375" style="265" customWidth="1"/>
    <col min="13574" max="13574" width="16.28515625" style="265" customWidth="1"/>
    <col min="13575" max="13588" width="0" style="265" hidden="1" customWidth="1"/>
    <col min="13589" max="13589" width="10.7109375" style="265" customWidth="1"/>
    <col min="13590" max="13594" width="0" style="265" hidden="1" customWidth="1"/>
    <col min="13595" max="13597" width="26" style="265" customWidth="1"/>
    <col min="13598" max="13598" width="0" style="265" hidden="1" customWidth="1"/>
    <col min="13599" max="13825" width="9.140625" style="265"/>
    <col min="13826" max="13826" width="43.140625" style="265" customWidth="1"/>
    <col min="13827" max="13827" width="16.7109375" style="265" customWidth="1"/>
    <col min="13828" max="13829" width="10.7109375" style="265" customWidth="1"/>
    <col min="13830" max="13830" width="16.28515625" style="265" customWidth="1"/>
    <col min="13831" max="13844" width="0" style="265" hidden="1" customWidth="1"/>
    <col min="13845" max="13845" width="10.7109375" style="265" customWidth="1"/>
    <col min="13846" max="13850" width="0" style="265" hidden="1" customWidth="1"/>
    <col min="13851" max="13853" width="26" style="265" customWidth="1"/>
    <col min="13854" max="13854" width="0" style="265" hidden="1" customWidth="1"/>
    <col min="13855" max="14081" width="9.140625" style="265"/>
    <col min="14082" max="14082" width="43.140625" style="265" customWidth="1"/>
    <col min="14083" max="14083" width="16.7109375" style="265" customWidth="1"/>
    <col min="14084" max="14085" width="10.7109375" style="265" customWidth="1"/>
    <col min="14086" max="14086" width="16.28515625" style="265" customWidth="1"/>
    <col min="14087" max="14100" width="0" style="265" hidden="1" customWidth="1"/>
    <col min="14101" max="14101" width="10.7109375" style="265" customWidth="1"/>
    <col min="14102" max="14106" width="0" style="265" hidden="1" customWidth="1"/>
    <col min="14107" max="14109" width="26" style="265" customWidth="1"/>
    <col min="14110" max="14110" width="0" style="265" hidden="1" customWidth="1"/>
    <col min="14111" max="14337" width="9.140625" style="265"/>
    <col min="14338" max="14338" width="43.140625" style="265" customWidth="1"/>
    <col min="14339" max="14339" width="16.7109375" style="265" customWidth="1"/>
    <col min="14340" max="14341" width="10.7109375" style="265" customWidth="1"/>
    <col min="14342" max="14342" width="16.28515625" style="265" customWidth="1"/>
    <col min="14343" max="14356" width="0" style="265" hidden="1" customWidth="1"/>
    <col min="14357" max="14357" width="10.7109375" style="265" customWidth="1"/>
    <col min="14358" max="14362" width="0" style="265" hidden="1" customWidth="1"/>
    <col min="14363" max="14365" width="26" style="265" customWidth="1"/>
    <col min="14366" max="14366" width="0" style="265" hidden="1" customWidth="1"/>
    <col min="14367" max="14593" width="9.140625" style="265"/>
    <col min="14594" max="14594" width="43.140625" style="265" customWidth="1"/>
    <col min="14595" max="14595" width="16.7109375" style="265" customWidth="1"/>
    <col min="14596" max="14597" width="10.7109375" style="265" customWidth="1"/>
    <col min="14598" max="14598" width="16.28515625" style="265" customWidth="1"/>
    <col min="14599" max="14612" width="0" style="265" hidden="1" customWidth="1"/>
    <col min="14613" max="14613" width="10.7109375" style="265" customWidth="1"/>
    <col min="14614" max="14618" width="0" style="265" hidden="1" customWidth="1"/>
    <col min="14619" max="14621" width="26" style="265" customWidth="1"/>
    <col min="14622" max="14622" width="0" style="265" hidden="1" customWidth="1"/>
    <col min="14623" max="14849" width="9.140625" style="265"/>
    <col min="14850" max="14850" width="43.140625" style="265" customWidth="1"/>
    <col min="14851" max="14851" width="16.7109375" style="265" customWidth="1"/>
    <col min="14852" max="14853" width="10.7109375" style="265" customWidth="1"/>
    <col min="14854" max="14854" width="16.28515625" style="265" customWidth="1"/>
    <col min="14855" max="14868" width="0" style="265" hidden="1" customWidth="1"/>
    <col min="14869" max="14869" width="10.7109375" style="265" customWidth="1"/>
    <col min="14870" max="14874" width="0" style="265" hidden="1" customWidth="1"/>
    <col min="14875" max="14877" width="26" style="265" customWidth="1"/>
    <col min="14878" max="14878" width="0" style="265" hidden="1" customWidth="1"/>
    <col min="14879" max="15105" width="9.140625" style="265"/>
    <col min="15106" max="15106" width="43.140625" style="265" customWidth="1"/>
    <col min="15107" max="15107" width="16.7109375" style="265" customWidth="1"/>
    <col min="15108" max="15109" width="10.7109375" style="265" customWidth="1"/>
    <col min="15110" max="15110" width="16.28515625" style="265" customWidth="1"/>
    <col min="15111" max="15124" width="0" style="265" hidden="1" customWidth="1"/>
    <col min="15125" max="15125" width="10.7109375" style="265" customWidth="1"/>
    <col min="15126" max="15130" width="0" style="265" hidden="1" customWidth="1"/>
    <col min="15131" max="15133" width="26" style="265" customWidth="1"/>
    <col min="15134" max="15134" width="0" style="265" hidden="1" customWidth="1"/>
    <col min="15135" max="15361" width="9.140625" style="265"/>
    <col min="15362" max="15362" width="43.140625" style="265" customWidth="1"/>
    <col min="15363" max="15363" width="16.7109375" style="265" customWidth="1"/>
    <col min="15364" max="15365" width="10.7109375" style="265" customWidth="1"/>
    <col min="15366" max="15366" width="16.28515625" style="265" customWidth="1"/>
    <col min="15367" max="15380" width="0" style="265" hidden="1" customWidth="1"/>
    <col min="15381" max="15381" width="10.7109375" style="265" customWidth="1"/>
    <col min="15382" max="15386" width="0" style="265" hidden="1" customWidth="1"/>
    <col min="15387" max="15389" width="26" style="265" customWidth="1"/>
    <col min="15390" max="15390" width="0" style="265" hidden="1" customWidth="1"/>
    <col min="15391" max="15617" width="9.140625" style="265"/>
    <col min="15618" max="15618" width="43.140625" style="265" customWidth="1"/>
    <col min="15619" max="15619" width="16.7109375" style="265" customWidth="1"/>
    <col min="15620" max="15621" width="10.7109375" style="265" customWidth="1"/>
    <col min="15622" max="15622" width="16.28515625" style="265" customWidth="1"/>
    <col min="15623" max="15636" width="0" style="265" hidden="1" customWidth="1"/>
    <col min="15637" max="15637" width="10.7109375" style="265" customWidth="1"/>
    <col min="15638" max="15642" width="0" style="265" hidden="1" customWidth="1"/>
    <col min="15643" max="15645" width="26" style="265" customWidth="1"/>
    <col min="15646" max="15646" width="0" style="265" hidden="1" customWidth="1"/>
    <col min="15647" max="15873" width="9.140625" style="265"/>
    <col min="15874" max="15874" width="43.140625" style="265" customWidth="1"/>
    <col min="15875" max="15875" width="16.7109375" style="265" customWidth="1"/>
    <col min="15876" max="15877" width="10.7109375" style="265" customWidth="1"/>
    <col min="15878" max="15878" width="16.28515625" style="265" customWidth="1"/>
    <col min="15879" max="15892" width="0" style="265" hidden="1" customWidth="1"/>
    <col min="15893" max="15893" width="10.7109375" style="265" customWidth="1"/>
    <col min="15894" max="15898" width="0" style="265" hidden="1" customWidth="1"/>
    <col min="15899" max="15901" width="26" style="265" customWidth="1"/>
    <col min="15902" max="15902" width="0" style="265" hidden="1" customWidth="1"/>
    <col min="15903" max="16129" width="9.140625" style="265"/>
    <col min="16130" max="16130" width="43.140625" style="265" customWidth="1"/>
    <col min="16131" max="16131" width="16.7109375" style="265" customWidth="1"/>
    <col min="16132" max="16133" width="10.7109375" style="265" customWidth="1"/>
    <col min="16134" max="16134" width="16.28515625" style="265" customWidth="1"/>
    <col min="16135" max="16148" width="0" style="265" hidden="1" customWidth="1"/>
    <col min="16149" max="16149" width="10.7109375" style="265" customWidth="1"/>
    <col min="16150" max="16154" width="0" style="265" hidden="1" customWidth="1"/>
    <col min="16155" max="16157" width="26" style="265" customWidth="1"/>
    <col min="16158" max="16158" width="0" style="265" hidden="1" customWidth="1"/>
    <col min="16159" max="16384" width="9.140625" style="265"/>
  </cols>
  <sheetData>
    <row r="1" spans="1:32" ht="15.75" x14ac:dyDescent="0.25">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t="s">
        <v>892</v>
      </c>
    </row>
    <row r="2" spans="1:32" ht="15.75" x14ac:dyDescent="0.25">
      <c r="A2" s="272"/>
      <c r="B2" s="272"/>
      <c r="C2" s="272"/>
      <c r="D2" s="272"/>
      <c r="E2" s="272"/>
      <c r="F2" s="272"/>
      <c r="G2" s="272"/>
      <c r="H2" s="272"/>
      <c r="I2" s="272"/>
      <c r="J2" s="272"/>
      <c r="K2" s="272"/>
      <c r="L2" s="272"/>
      <c r="M2" s="272"/>
      <c r="N2" s="272"/>
      <c r="O2" s="272"/>
      <c r="P2" s="272"/>
      <c r="Q2" s="272"/>
      <c r="R2" s="272"/>
      <c r="S2" s="272"/>
      <c r="T2" s="272"/>
      <c r="U2" s="272"/>
      <c r="V2" s="272"/>
      <c r="W2" s="272"/>
      <c r="X2" s="272"/>
      <c r="Y2" s="272"/>
      <c r="Z2" s="272"/>
      <c r="AA2" s="272" t="s">
        <v>510</v>
      </c>
    </row>
    <row r="3" spans="1:32" ht="15.75" x14ac:dyDescent="0.25">
      <c r="A3" s="272"/>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t="s">
        <v>249</v>
      </c>
    </row>
    <row r="4" spans="1:32" ht="15.75" x14ac:dyDescent="0.25">
      <c r="A4" s="272"/>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56" t="s">
        <v>1257</v>
      </c>
      <c r="AB4" s="73"/>
    </row>
    <row r="5" spans="1:32" ht="33.75" customHeight="1" x14ac:dyDescent="0.25">
      <c r="A5" s="493" t="s">
        <v>971</v>
      </c>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257"/>
      <c r="AC5" s="257"/>
      <c r="AD5" s="257"/>
    </row>
    <row r="6" spans="1:32" ht="18.75" x14ac:dyDescent="0.3">
      <c r="A6" s="299"/>
      <c r="B6" s="299"/>
      <c r="C6" s="299"/>
      <c r="D6" s="299"/>
      <c r="E6" s="299"/>
      <c r="F6" s="299"/>
      <c r="G6" s="299"/>
      <c r="H6" s="299"/>
      <c r="I6" s="299"/>
      <c r="J6" s="299"/>
      <c r="K6" s="299"/>
      <c r="L6" s="299"/>
      <c r="M6" s="299"/>
      <c r="N6" s="299"/>
      <c r="O6" s="299"/>
      <c r="P6" s="299"/>
      <c r="Q6" s="299"/>
      <c r="R6" s="299"/>
      <c r="S6" s="299"/>
      <c r="T6" s="299"/>
      <c r="U6" s="299"/>
      <c r="V6" s="299"/>
      <c r="W6" s="299"/>
      <c r="X6" s="299"/>
      <c r="Y6" s="299"/>
      <c r="Z6" s="299"/>
      <c r="AA6" s="299"/>
    </row>
    <row r="7" spans="1:32" ht="21.75" customHeight="1" x14ac:dyDescent="0.25">
      <c r="A7" s="107"/>
      <c r="B7" s="107"/>
      <c r="C7" s="107"/>
      <c r="D7" s="107"/>
      <c r="E7" s="107"/>
      <c r="F7" s="107"/>
      <c r="G7" s="107"/>
      <c r="H7" s="107"/>
      <c r="I7" s="107"/>
      <c r="J7" s="107"/>
      <c r="K7" s="107"/>
      <c r="L7" s="107"/>
      <c r="M7" s="107"/>
      <c r="N7" s="107"/>
      <c r="O7" s="107"/>
      <c r="P7" s="107"/>
      <c r="Q7" s="107"/>
      <c r="R7" s="107"/>
      <c r="S7" s="107"/>
      <c r="T7" s="107"/>
      <c r="U7" s="107"/>
      <c r="V7" s="300"/>
      <c r="W7" s="300"/>
      <c r="X7" s="300"/>
      <c r="Y7" s="107"/>
      <c r="Z7" s="107"/>
      <c r="AA7" s="258" t="s">
        <v>267</v>
      </c>
      <c r="AB7" s="107"/>
      <c r="AC7" s="107"/>
      <c r="AD7" s="107"/>
    </row>
    <row r="8" spans="1:32" ht="15.75" customHeight="1" x14ac:dyDescent="0.25">
      <c r="A8" s="497" t="s">
        <v>1</v>
      </c>
      <c r="B8" s="498" t="s">
        <v>858</v>
      </c>
      <c r="C8" s="498" t="s">
        <v>269</v>
      </c>
      <c r="D8" s="498" t="s">
        <v>270</v>
      </c>
      <c r="E8" s="498" t="s">
        <v>186</v>
      </c>
      <c r="F8" s="498" t="s">
        <v>186</v>
      </c>
      <c r="G8" s="498" t="s">
        <v>186</v>
      </c>
      <c r="H8" s="498" t="s">
        <v>186</v>
      </c>
      <c r="I8" s="498" t="s">
        <v>186</v>
      </c>
      <c r="J8" s="498" t="s">
        <v>186</v>
      </c>
      <c r="K8" s="498" t="s">
        <v>186</v>
      </c>
      <c r="L8" s="498" t="s">
        <v>186</v>
      </c>
      <c r="M8" s="498" t="s">
        <v>186</v>
      </c>
      <c r="N8" s="498" t="s">
        <v>186</v>
      </c>
      <c r="O8" s="498" t="s">
        <v>186</v>
      </c>
      <c r="P8" s="498" t="s">
        <v>186</v>
      </c>
      <c r="Q8" s="498" t="s">
        <v>186</v>
      </c>
      <c r="R8" s="498" t="s">
        <v>186</v>
      </c>
      <c r="S8" s="498" t="s">
        <v>186</v>
      </c>
      <c r="T8" s="498" t="s">
        <v>218</v>
      </c>
      <c r="U8" s="498" t="s">
        <v>271</v>
      </c>
      <c r="V8" s="498" t="s">
        <v>43</v>
      </c>
      <c r="W8" s="498" t="s">
        <v>272</v>
      </c>
      <c r="X8" s="498" t="s">
        <v>273</v>
      </c>
      <c r="Y8" s="497" t="s">
        <v>1</v>
      </c>
      <c r="Z8" s="492" t="s">
        <v>546</v>
      </c>
      <c r="AA8" s="495" t="s">
        <v>787</v>
      </c>
      <c r="AB8" s="494"/>
      <c r="AC8" s="494"/>
      <c r="AD8" s="496" t="s">
        <v>1</v>
      </c>
    </row>
    <row r="9" spans="1:32" ht="15.75" customHeight="1" x14ac:dyDescent="0.25">
      <c r="A9" s="497"/>
      <c r="B9" s="498" t="s">
        <v>268</v>
      </c>
      <c r="C9" s="498" t="s">
        <v>269</v>
      </c>
      <c r="D9" s="498" t="s">
        <v>270</v>
      </c>
      <c r="E9" s="498" t="s">
        <v>186</v>
      </c>
      <c r="F9" s="498" t="s">
        <v>186</v>
      </c>
      <c r="G9" s="498" t="s">
        <v>186</v>
      </c>
      <c r="H9" s="498" t="s">
        <v>186</v>
      </c>
      <c r="I9" s="498" t="s">
        <v>186</v>
      </c>
      <c r="J9" s="498" t="s">
        <v>186</v>
      </c>
      <c r="K9" s="498" t="s">
        <v>186</v>
      </c>
      <c r="L9" s="498" t="s">
        <v>186</v>
      </c>
      <c r="M9" s="498" t="s">
        <v>186</v>
      </c>
      <c r="N9" s="498" t="s">
        <v>186</v>
      </c>
      <c r="O9" s="498" t="s">
        <v>186</v>
      </c>
      <c r="P9" s="498" t="s">
        <v>186</v>
      </c>
      <c r="Q9" s="498" t="s">
        <v>186</v>
      </c>
      <c r="R9" s="498" t="s">
        <v>186</v>
      </c>
      <c r="S9" s="498" t="s">
        <v>186</v>
      </c>
      <c r="T9" s="498" t="s">
        <v>218</v>
      </c>
      <c r="U9" s="498" t="s">
        <v>271</v>
      </c>
      <c r="V9" s="498" t="s">
        <v>43</v>
      </c>
      <c r="W9" s="498" t="s">
        <v>272</v>
      </c>
      <c r="X9" s="498" t="s">
        <v>273</v>
      </c>
      <c r="Y9" s="497"/>
      <c r="Z9" s="492"/>
      <c r="AA9" s="495"/>
      <c r="AB9" s="494"/>
      <c r="AC9" s="494"/>
      <c r="AD9" s="496"/>
    </row>
    <row r="10" spans="1:32" ht="46.5" customHeight="1" x14ac:dyDescent="0.3">
      <c r="A10" s="301" t="s">
        <v>275</v>
      </c>
      <c r="B10" s="302" t="s">
        <v>11</v>
      </c>
      <c r="C10" s="302"/>
      <c r="D10" s="302"/>
      <c r="E10" s="302"/>
      <c r="F10" s="302"/>
      <c r="G10" s="302"/>
      <c r="H10" s="302"/>
      <c r="I10" s="302"/>
      <c r="J10" s="302"/>
      <c r="K10" s="302"/>
      <c r="L10" s="302"/>
      <c r="M10" s="302"/>
      <c r="N10" s="302"/>
      <c r="O10" s="302"/>
      <c r="P10" s="302"/>
      <c r="Q10" s="302"/>
      <c r="R10" s="302"/>
      <c r="S10" s="302"/>
      <c r="T10" s="302"/>
      <c r="U10" s="302"/>
      <c r="V10" s="303"/>
      <c r="W10" s="303"/>
      <c r="X10" s="303"/>
      <c r="Y10" s="301" t="s">
        <v>275</v>
      </c>
      <c r="Z10" s="304">
        <f>Z11+Z61+Z72+Z132+Z168+Z187+Z199+Z204+Z237</f>
        <v>176163903.56</v>
      </c>
      <c r="AA10" s="305">
        <f>AA11+AA61+AA72+AA132+AA168+AA187+AA199+AA204+AA237</f>
        <v>394975226.37</v>
      </c>
      <c r="AB10" s="178"/>
      <c r="AC10" s="178"/>
      <c r="AD10" s="273" t="s">
        <v>275</v>
      </c>
      <c r="AF10" s="274"/>
    </row>
    <row r="11" spans="1:32" ht="30" customHeight="1" x14ac:dyDescent="0.3">
      <c r="A11" s="301" t="s">
        <v>276</v>
      </c>
      <c r="B11" s="302" t="s">
        <v>11</v>
      </c>
      <c r="C11" s="302" t="s">
        <v>113</v>
      </c>
      <c r="D11" s="302" t="s">
        <v>124</v>
      </c>
      <c r="E11" s="302"/>
      <c r="F11" s="302"/>
      <c r="G11" s="302"/>
      <c r="H11" s="302"/>
      <c r="I11" s="302"/>
      <c r="J11" s="302"/>
      <c r="K11" s="302"/>
      <c r="L11" s="302"/>
      <c r="M11" s="302"/>
      <c r="N11" s="302"/>
      <c r="O11" s="302"/>
      <c r="P11" s="302"/>
      <c r="Q11" s="302"/>
      <c r="R11" s="302"/>
      <c r="S11" s="302"/>
      <c r="T11" s="302"/>
      <c r="U11" s="302"/>
      <c r="V11" s="303"/>
      <c r="W11" s="303"/>
      <c r="X11" s="303"/>
      <c r="Y11" s="306" t="s">
        <v>276</v>
      </c>
      <c r="Z11" s="307">
        <f>Z12+Z15+Z22+Z35+Z38+Z41</f>
        <v>48086992.630000003</v>
      </c>
      <c r="AA11" s="308">
        <f>AA12+AA15+AA22+AA35+AA38+AA41+AA32</f>
        <v>56119132.56000001</v>
      </c>
      <c r="AB11" s="275"/>
      <c r="AC11" s="275"/>
      <c r="AD11" s="273" t="s">
        <v>276</v>
      </c>
      <c r="AF11" s="274"/>
    </row>
    <row r="12" spans="1:32" ht="60.75" customHeight="1" x14ac:dyDescent="0.3">
      <c r="A12" s="301" t="s">
        <v>239</v>
      </c>
      <c r="B12" s="302" t="s">
        <v>11</v>
      </c>
      <c r="C12" s="302" t="s">
        <v>113</v>
      </c>
      <c r="D12" s="302" t="s">
        <v>123</v>
      </c>
      <c r="E12" s="302"/>
      <c r="F12" s="302"/>
      <c r="G12" s="302"/>
      <c r="H12" s="302"/>
      <c r="I12" s="302"/>
      <c r="J12" s="302"/>
      <c r="K12" s="302"/>
      <c r="L12" s="302"/>
      <c r="M12" s="302"/>
      <c r="N12" s="302"/>
      <c r="O12" s="302"/>
      <c r="P12" s="302"/>
      <c r="Q12" s="302"/>
      <c r="R12" s="302"/>
      <c r="S12" s="302"/>
      <c r="T12" s="302"/>
      <c r="U12" s="302"/>
      <c r="V12" s="303"/>
      <c r="W12" s="303"/>
      <c r="X12" s="303"/>
      <c r="Y12" s="301" t="s">
        <v>239</v>
      </c>
      <c r="Z12" s="309">
        <v>1481106</v>
      </c>
      <c r="AA12" s="310">
        <f>AA13</f>
        <v>1494696</v>
      </c>
      <c r="AB12" s="178"/>
      <c r="AC12" s="178"/>
      <c r="AD12" s="273" t="s">
        <v>239</v>
      </c>
      <c r="AF12" s="274"/>
    </row>
    <row r="13" spans="1:32" ht="120" customHeight="1" x14ac:dyDescent="0.3">
      <c r="A13" s="311" t="s">
        <v>229</v>
      </c>
      <c r="B13" s="216" t="s">
        <v>11</v>
      </c>
      <c r="C13" s="216" t="s">
        <v>113</v>
      </c>
      <c r="D13" s="216" t="s">
        <v>123</v>
      </c>
      <c r="E13" s="216" t="s">
        <v>791</v>
      </c>
      <c r="F13" s="216"/>
      <c r="G13" s="216"/>
      <c r="H13" s="216"/>
      <c r="I13" s="216"/>
      <c r="J13" s="216"/>
      <c r="K13" s="216"/>
      <c r="L13" s="216"/>
      <c r="M13" s="216"/>
      <c r="N13" s="216"/>
      <c r="O13" s="216"/>
      <c r="P13" s="216"/>
      <c r="Q13" s="216"/>
      <c r="R13" s="216"/>
      <c r="S13" s="216"/>
      <c r="T13" s="216"/>
      <c r="U13" s="216"/>
      <c r="V13" s="312"/>
      <c r="W13" s="312"/>
      <c r="X13" s="312"/>
      <c r="Y13" s="311" t="s">
        <v>229</v>
      </c>
      <c r="Z13" s="313">
        <f>Z14</f>
        <v>1481106</v>
      </c>
      <c r="AA13" s="314">
        <f>AA14</f>
        <v>1494696</v>
      </c>
      <c r="AB13" s="276"/>
      <c r="AC13" s="276"/>
      <c r="AD13" s="277" t="s">
        <v>229</v>
      </c>
      <c r="AF13" s="274"/>
    </row>
    <row r="14" spans="1:32" ht="234.75" customHeight="1" x14ac:dyDescent="0.3">
      <c r="A14" s="315" t="s">
        <v>277</v>
      </c>
      <c r="B14" s="316" t="s">
        <v>11</v>
      </c>
      <c r="C14" s="316" t="s">
        <v>113</v>
      </c>
      <c r="D14" s="316" t="s">
        <v>123</v>
      </c>
      <c r="E14" s="216" t="s">
        <v>791</v>
      </c>
      <c r="F14" s="316"/>
      <c r="G14" s="316"/>
      <c r="H14" s="316"/>
      <c r="I14" s="316"/>
      <c r="J14" s="316"/>
      <c r="K14" s="316"/>
      <c r="L14" s="316"/>
      <c r="M14" s="316"/>
      <c r="N14" s="316"/>
      <c r="O14" s="316"/>
      <c r="P14" s="316"/>
      <c r="Q14" s="316"/>
      <c r="R14" s="316"/>
      <c r="S14" s="316"/>
      <c r="T14" s="316" t="s">
        <v>29</v>
      </c>
      <c r="U14" s="316"/>
      <c r="V14" s="317"/>
      <c r="W14" s="317"/>
      <c r="X14" s="317"/>
      <c r="Y14" s="315" t="s">
        <v>277</v>
      </c>
      <c r="Z14" s="318">
        <v>1481106</v>
      </c>
      <c r="AA14" s="319">
        <v>1494696</v>
      </c>
      <c r="AB14" s="177"/>
      <c r="AC14" s="177"/>
      <c r="AD14" s="278" t="s">
        <v>277</v>
      </c>
      <c r="AF14" s="274"/>
    </row>
    <row r="15" spans="1:32" ht="105.75" customHeight="1" x14ac:dyDescent="0.3">
      <c r="A15" s="301" t="s">
        <v>240</v>
      </c>
      <c r="B15" s="302" t="s">
        <v>11</v>
      </c>
      <c r="C15" s="302" t="s">
        <v>113</v>
      </c>
      <c r="D15" s="302" t="s">
        <v>114</v>
      </c>
      <c r="E15" s="302"/>
      <c r="F15" s="302"/>
      <c r="G15" s="302"/>
      <c r="H15" s="302"/>
      <c r="I15" s="302"/>
      <c r="J15" s="302"/>
      <c r="K15" s="302"/>
      <c r="L15" s="302"/>
      <c r="M15" s="302"/>
      <c r="N15" s="302"/>
      <c r="O15" s="302"/>
      <c r="P15" s="302"/>
      <c r="Q15" s="302"/>
      <c r="R15" s="302"/>
      <c r="S15" s="302"/>
      <c r="T15" s="302"/>
      <c r="U15" s="302"/>
      <c r="V15" s="303"/>
      <c r="W15" s="303"/>
      <c r="X15" s="303"/>
      <c r="Y15" s="306" t="s">
        <v>240</v>
      </c>
      <c r="Z15" s="307">
        <f>Z16+Z18</f>
        <v>2838469.1500000004</v>
      </c>
      <c r="AA15" s="308">
        <f>AA16+AA18</f>
        <v>2838921.7199999997</v>
      </c>
      <c r="AB15" s="275"/>
      <c r="AC15" s="275"/>
      <c r="AD15" s="273" t="s">
        <v>240</v>
      </c>
      <c r="AF15" s="274"/>
    </row>
    <row r="16" spans="1:32" ht="145.5" customHeight="1" x14ac:dyDescent="0.3">
      <c r="A16" s="311" t="s">
        <v>230</v>
      </c>
      <c r="B16" s="216" t="s">
        <v>11</v>
      </c>
      <c r="C16" s="216" t="s">
        <v>113</v>
      </c>
      <c r="D16" s="216" t="s">
        <v>114</v>
      </c>
      <c r="E16" s="216" t="s">
        <v>587</v>
      </c>
      <c r="F16" s="216"/>
      <c r="G16" s="216"/>
      <c r="H16" s="216"/>
      <c r="I16" s="216"/>
      <c r="J16" s="216"/>
      <c r="K16" s="216"/>
      <c r="L16" s="216"/>
      <c r="M16" s="216"/>
      <c r="N16" s="216"/>
      <c r="O16" s="216"/>
      <c r="P16" s="216"/>
      <c r="Q16" s="216"/>
      <c r="R16" s="216"/>
      <c r="S16" s="216"/>
      <c r="T16" s="216"/>
      <c r="U16" s="216"/>
      <c r="V16" s="312"/>
      <c r="W16" s="312"/>
      <c r="X16" s="312"/>
      <c r="Y16" s="311" t="s">
        <v>230</v>
      </c>
      <c r="Z16" s="320">
        <f>1344604</f>
        <v>1344604</v>
      </c>
      <c r="AA16" s="321">
        <f>AA17</f>
        <v>1344604</v>
      </c>
      <c r="AB16" s="276"/>
      <c r="AC16" s="276"/>
      <c r="AD16" s="277" t="s">
        <v>230</v>
      </c>
    </row>
    <row r="17" spans="1:33" ht="255.75" customHeight="1" x14ac:dyDescent="0.3">
      <c r="A17" s="315" t="s">
        <v>278</v>
      </c>
      <c r="B17" s="316" t="s">
        <v>11</v>
      </c>
      <c r="C17" s="316" t="s">
        <v>113</v>
      </c>
      <c r="D17" s="316" t="s">
        <v>114</v>
      </c>
      <c r="E17" s="216" t="s">
        <v>587</v>
      </c>
      <c r="F17" s="316"/>
      <c r="G17" s="316"/>
      <c r="H17" s="316"/>
      <c r="I17" s="316"/>
      <c r="J17" s="316"/>
      <c r="K17" s="316"/>
      <c r="L17" s="316"/>
      <c r="M17" s="316"/>
      <c r="N17" s="316"/>
      <c r="O17" s="316"/>
      <c r="P17" s="316"/>
      <c r="Q17" s="316"/>
      <c r="R17" s="316"/>
      <c r="S17" s="316"/>
      <c r="T17" s="316" t="s">
        <v>29</v>
      </c>
      <c r="U17" s="316"/>
      <c r="V17" s="317"/>
      <c r="W17" s="317"/>
      <c r="X17" s="317"/>
      <c r="Y17" s="315" t="s">
        <v>278</v>
      </c>
      <c r="Z17" s="322">
        <f>1344604</f>
        <v>1344604</v>
      </c>
      <c r="AA17" s="319">
        <v>1344604</v>
      </c>
      <c r="AB17" s="177"/>
      <c r="AC17" s="177"/>
      <c r="AD17" s="278" t="s">
        <v>278</v>
      </c>
      <c r="AF17" s="274"/>
    </row>
    <row r="18" spans="1:33" ht="98.25" customHeight="1" x14ac:dyDescent="0.3">
      <c r="A18" s="311" t="s">
        <v>231</v>
      </c>
      <c r="B18" s="216" t="s">
        <v>11</v>
      </c>
      <c r="C18" s="216" t="s">
        <v>113</v>
      </c>
      <c r="D18" s="216" t="s">
        <v>114</v>
      </c>
      <c r="E18" s="216" t="s">
        <v>588</v>
      </c>
      <c r="F18" s="216"/>
      <c r="G18" s="216"/>
      <c r="H18" s="216"/>
      <c r="I18" s="216"/>
      <c r="J18" s="216"/>
      <c r="K18" s="216"/>
      <c r="L18" s="216"/>
      <c r="M18" s="216"/>
      <c r="N18" s="216"/>
      <c r="O18" s="216"/>
      <c r="P18" s="216"/>
      <c r="Q18" s="216"/>
      <c r="R18" s="216"/>
      <c r="S18" s="216"/>
      <c r="T18" s="216"/>
      <c r="U18" s="216"/>
      <c r="V18" s="312"/>
      <c r="W18" s="312"/>
      <c r="X18" s="312"/>
      <c r="Y18" s="311" t="s">
        <v>231</v>
      </c>
      <c r="Z18" s="313">
        <f>Z19+Z20+Z21</f>
        <v>1493865.1500000001</v>
      </c>
      <c r="AA18" s="323">
        <f>AA19+AA20+AA21</f>
        <v>1494317.72</v>
      </c>
      <c r="AB18" s="276"/>
      <c r="AC18" s="276"/>
      <c r="AD18" s="277" t="s">
        <v>231</v>
      </c>
      <c r="AF18" s="274"/>
    </row>
    <row r="19" spans="1:33" ht="217.5" customHeight="1" x14ac:dyDescent="0.3">
      <c r="A19" s="315" t="s">
        <v>279</v>
      </c>
      <c r="B19" s="316" t="s">
        <v>11</v>
      </c>
      <c r="C19" s="316" t="s">
        <v>113</v>
      </c>
      <c r="D19" s="316" t="s">
        <v>114</v>
      </c>
      <c r="E19" s="216" t="s">
        <v>588</v>
      </c>
      <c r="F19" s="316"/>
      <c r="G19" s="316"/>
      <c r="H19" s="316"/>
      <c r="I19" s="316"/>
      <c r="J19" s="316"/>
      <c r="K19" s="316"/>
      <c r="L19" s="316"/>
      <c r="M19" s="316"/>
      <c r="N19" s="316"/>
      <c r="O19" s="316"/>
      <c r="P19" s="316"/>
      <c r="Q19" s="316"/>
      <c r="R19" s="316"/>
      <c r="S19" s="316"/>
      <c r="T19" s="316" t="s">
        <v>29</v>
      </c>
      <c r="U19" s="316"/>
      <c r="V19" s="317"/>
      <c r="W19" s="317"/>
      <c r="X19" s="317"/>
      <c r="Y19" s="315" t="s">
        <v>279</v>
      </c>
      <c r="Z19" s="322">
        <f>815126.67-32285.67+343570.47+103758.28</f>
        <v>1230169.75</v>
      </c>
      <c r="AA19" s="319">
        <f>904738.68+273231.07+7200+45000+33578</f>
        <v>1263747.75</v>
      </c>
      <c r="AB19" s="177"/>
      <c r="AC19" s="177"/>
      <c r="AD19" s="278" t="s">
        <v>279</v>
      </c>
      <c r="AF19" s="274"/>
    </row>
    <row r="20" spans="1:33" ht="137.25" customHeight="1" x14ac:dyDescent="0.3">
      <c r="A20" s="324" t="s">
        <v>280</v>
      </c>
      <c r="B20" s="316" t="s">
        <v>11</v>
      </c>
      <c r="C20" s="316" t="s">
        <v>113</v>
      </c>
      <c r="D20" s="316" t="s">
        <v>114</v>
      </c>
      <c r="E20" s="216" t="s">
        <v>588</v>
      </c>
      <c r="F20" s="316"/>
      <c r="G20" s="316"/>
      <c r="H20" s="316"/>
      <c r="I20" s="316"/>
      <c r="J20" s="316"/>
      <c r="K20" s="316"/>
      <c r="L20" s="316"/>
      <c r="M20" s="316"/>
      <c r="N20" s="316"/>
      <c r="O20" s="316"/>
      <c r="P20" s="316"/>
      <c r="Q20" s="316"/>
      <c r="R20" s="316"/>
      <c r="S20" s="316"/>
      <c r="T20" s="316" t="s">
        <v>281</v>
      </c>
      <c r="U20" s="316"/>
      <c r="V20" s="317"/>
      <c r="W20" s="317"/>
      <c r="X20" s="317"/>
      <c r="Y20" s="324" t="s">
        <v>280</v>
      </c>
      <c r="Z20" s="322">
        <f>203865.65+20000+32285.67</f>
        <v>256151.32</v>
      </c>
      <c r="AA20" s="319">
        <f>256151.32-33578</f>
        <v>222573.32</v>
      </c>
      <c r="AB20" s="177"/>
      <c r="AC20" s="177"/>
      <c r="AD20" s="279" t="s">
        <v>280</v>
      </c>
      <c r="AF20" s="274"/>
    </row>
    <row r="21" spans="1:33" ht="119.25" customHeight="1" x14ac:dyDescent="0.3">
      <c r="A21" s="324" t="s">
        <v>282</v>
      </c>
      <c r="B21" s="316" t="s">
        <v>11</v>
      </c>
      <c r="C21" s="316" t="s">
        <v>113</v>
      </c>
      <c r="D21" s="316" t="s">
        <v>114</v>
      </c>
      <c r="E21" s="216" t="s">
        <v>588</v>
      </c>
      <c r="F21" s="316"/>
      <c r="G21" s="316"/>
      <c r="H21" s="316"/>
      <c r="I21" s="316"/>
      <c r="J21" s="316"/>
      <c r="K21" s="316"/>
      <c r="L21" s="316"/>
      <c r="M21" s="316"/>
      <c r="N21" s="316"/>
      <c r="O21" s="316"/>
      <c r="P21" s="316"/>
      <c r="Q21" s="316"/>
      <c r="R21" s="316"/>
      <c r="S21" s="316"/>
      <c r="T21" s="316" t="s">
        <v>235</v>
      </c>
      <c r="U21" s="316"/>
      <c r="V21" s="317"/>
      <c r="W21" s="317"/>
      <c r="X21" s="317"/>
      <c r="Y21" s="324" t="s">
        <v>282</v>
      </c>
      <c r="Z21" s="322">
        <v>7544.08</v>
      </c>
      <c r="AA21" s="319">
        <v>7996.65</v>
      </c>
      <c r="AB21" s="177"/>
      <c r="AC21" s="177"/>
      <c r="AD21" s="279" t="s">
        <v>282</v>
      </c>
      <c r="AF21" s="274"/>
    </row>
    <row r="22" spans="1:33" ht="100.5" customHeight="1" x14ac:dyDescent="0.3">
      <c r="A22" s="301" t="s">
        <v>241</v>
      </c>
      <c r="B22" s="302" t="s">
        <v>11</v>
      </c>
      <c r="C22" s="302" t="s">
        <v>113</v>
      </c>
      <c r="D22" s="302" t="s">
        <v>127</v>
      </c>
      <c r="E22" s="302"/>
      <c r="F22" s="302"/>
      <c r="G22" s="302"/>
      <c r="H22" s="302"/>
      <c r="I22" s="302"/>
      <c r="J22" s="302"/>
      <c r="K22" s="302"/>
      <c r="L22" s="302"/>
      <c r="M22" s="302"/>
      <c r="N22" s="302"/>
      <c r="O22" s="302"/>
      <c r="P22" s="302"/>
      <c r="Q22" s="302"/>
      <c r="R22" s="302"/>
      <c r="S22" s="302"/>
      <c r="T22" s="302"/>
      <c r="U22" s="302"/>
      <c r="V22" s="303"/>
      <c r="W22" s="303"/>
      <c r="X22" s="303"/>
      <c r="Y22" s="301" t="s">
        <v>241</v>
      </c>
      <c r="Z22" s="325">
        <f>Z23+Z25+Z29</f>
        <v>28284878.960000001</v>
      </c>
      <c r="AA22" s="326">
        <f>AA23+AA25+AA29</f>
        <v>28856203.439999998</v>
      </c>
      <c r="AB22" s="178"/>
      <c r="AC22" s="178"/>
      <c r="AD22" s="273" t="s">
        <v>241</v>
      </c>
      <c r="AF22" s="274"/>
    </row>
    <row r="23" spans="1:33" ht="123.75" customHeight="1" x14ac:dyDescent="0.3">
      <c r="A23" s="311" t="s">
        <v>589</v>
      </c>
      <c r="B23" s="216" t="s">
        <v>11</v>
      </c>
      <c r="C23" s="216" t="s">
        <v>113</v>
      </c>
      <c r="D23" s="216" t="s">
        <v>127</v>
      </c>
      <c r="E23" s="216" t="s">
        <v>780</v>
      </c>
      <c r="F23" s="216"/>
      <c r="G23" s="216"/>
      <c r="H23" s="216"/>
      <c r="I23" s="216"/>
      <c r="J23" s="216"/>
      <c r="K23" s="216"/>
      <c r="L23" s="216"/>
      <c r="M23" s="216"/>
      <c r="N23" s="216"/>
      <c r="O23" s="216"/>
      <c r="P23" s="216"/>
      <c r="Q23" s="216"/>
      <c r="R23" s="216"/>
      <c r="S23" s="216"/>
      <c r="T23" s="216"/>
      <c r="U23" s="216"/>
      <c r="V23" s="312"/>
      <c r="W23" s="312"/>
      <c r="X23" s="312"/>
      <c r="Y23" s="311" t="s">
        <v>283</v>
      </c>
      <c r="Z23" s="313">
        <f>Z24</f>
        <v>100000</v>
      </c>
      <c r="AA23" s="321">
        <f>AA24</f>
        <v>105750</v>
      </c>
      <c r="AB23" s="276"/>
      <c r="AC23" s="276"/>
      <c r="AD23" s="277" t="s">
        <v>283</v>
      </c>
    </row>
    <row r="24" spans="1:33" ht="98.25" customHeight="1" x14ac:dyDescent="0.3">
      <c r="A24" s="324" t="s">
        <v>284</v>
      </c>
      <c r="B24" s="316" t="s">
        <v>11</v>
      </c>
      <c r="C24" s="316" t="s">
        <v>113</v>
      </c>
      <c r="D24" s="316" t="s">
        <v>127</v>
      </c>
      <c r="E24" s="216" t="s">
        <v>780</v>
      </c>
      <c r="F24" s="316"/>
      <c r="G24" s="316"/>
      <c r="H24" s="316"/>
      <c r="I24" s="316"/>
      <c r="J24" s="316"/>
      <c r="K24" s="316"/>
      <c r="L24" s="316"/>
      <c r="M24" s="316"/>
      <c r="N24" s="316"/>
      <c r="O24" s="316"/>
      <c r="P24" s="316"/>
      <c r="Q24" s="316"/>
      <c r="R24" s="316"/>
      <c r="S24" s="316"/>
      <c r="T24" s="316" t="s">
        <v>281</v>
      </c>
      <c r="U24" s="316"/>
      <c r="V24" s="317"/>
      <c r="W24" s="317"/>
      <c r="X24" s="317"/>
      <c r="Y24" s="324" t="s">
        <v>284</v>
      </c>
      <c r="Z24" s="322">
        <f>500000-400000</f>
        <v>100000</v>
      </c>
      <c r="AA24" s="319">
        <f>106000-250</f>
        <v>105750</v>
      </c>
      <c r="AB24" s="177"/>
      <c r="AC24" s="177"/>
      <c r="AD24" s="279" t="s">
        <v>284</v>
      </c>
      <c r="AF24" s="274"/>
    </row>
    <row r="25" spans="1:33" ht="177" customHeight="1" x14ac:dyDescent="0.3">
      <c r="A25" s="311" t="s">
        <v>993</v>
      </c>
      <c r="B25" s="216" t="s">
        <v>11</v>
      </c>
      <c r="C25" s="216" t="s">
        <v>113</v>
      </c>
      <c r="D25" s="216" t="s">
        <v>127</v>
      </c>
      <c r="E25" s="216" t="s">
        <v>592</v>
      </c>
      <c r="F25" s="216"/>
      <c r="G25" s="216"/>
      <c r="H25" s="216"/>
      <c r="I25" s="216"/>
      <c r="J25" s="216"/>
      <c r="K25" s="216"/>
      <c r="L25" s="216"/>
      <c r="M25" s="216"/>
      <c r="N25" s="216"/>
      <c r="O25" s="216"/>
      <c r="P25" s="216"/>
      <c r="Q25" s="216"/>
      <c r="R25" s="216"/>
      <c r="S25" s="216"/>
      <c r="T25" s="216"/>
      <c r="U25" s="216"/>
      <c r="V25" s="312"/>
      <c r="W25" s="312"/>
      <c r="X25" s="312"/>
      <c r="Y25" s="311" t="s">
        <v>285</v>
      </c>
      <c r="Z25" s="313">
        <f>Z26+Z27+Z28</f>
        <v>28091970.560000002</v>
      </c>
      <c r="AA25" s="327">
        <f>AA26+AA27+AA28</f>
        <v>28501970.559999999</v>
      </c>
      <c r="AB25" s="276"/>
      <c r="AC25" s="276"/>
      <c r="AD25" s="277" t="s">
        <v>285</v>
      </c>
      <c r="AF25" s="274"/>
    </row>
    <row r="26" spans="1:33" ht="171.75" customHeight="1" x14ac:dyDescent="0.3">
      <c r="A26" s="315" t="s">
        <v>286</v>
      </c>
      <c r="B26" s="316" t="s">
        <v>11</v>
      </c>
      <c r="C26" s="316" t="s">
        <v>113</v>
      </c>
      <c r="D26" s="316" t="s">
        <v>127</v>
      </c>
      <c r="E26" s="216" t="s">
        <v>592</v>
      </c>
      <c r="F26" s="316"/>
      <c r="G26" s="316"/>
      <c r="H26" s="316"/>
      <c r="I26" s="316"/>
      <c r="J26" s="316"/>
      <c r="K26" s="316"/>
      <c r="L26" s="316"/>
      <c r="M26" s="316"/>
      <c r="N26" s="316"/>
      <c r="O26" s="316"/>
      <c r="P26" s="316"/>
      <c r="Q26" s="316"/>
      <c r="R26" s="316"/>
      <c r="S26" s="316"/>
      <c r="T26" s="316" t="s">
        <v>29</v>
      </c>
      <c r="U26" s="316"/>
      <c r="V26" s="317"/>
      <c r="W26" s="317"/>
      <c r="X26" s="317"/>
      <c r="Y26" s="315" t="s">
        <v>286</v>
      </c>
      <c r="Z26" s="322">
        <f>23445190+539346.68+162882.69</f>
        <v>24147419.370000001</v>
      </c>
      <c r="AA26" s="319">
        <f>17989423.49+5432805.88+55703+222812+490186.4+366488.6-365566-80593.54</f>
        <v>24111259.829999998</v>
      </c>
      <c r="AB26" s="177"/>
      <c r="AC26" s="177"/>
      <c r="AD26" s="278" t="s">
        <v>286</v>
      </c>
      <c r="AF26" s="274"/>
    </row>
    <row r="27" spans="1:33" ht="99" customHeight="1" x14ac:dyDescent="0.3">
      <c r="A27" s="324" t="s">
        <v>287</v>
      </c>
      <c r="B27" s="316" t="s">
        <v>11</v>
      </c>
      <c r="C27" s="316" t="s">
        <v>113</v>
      </c>
      <c r="D27" s="316" t="s">
        <v>127</v>
      </c>
      <c r="E27" s="216" t="s">
        <v>592</v>
      </c>
      <c r="F27" s="316"/>
      <c r="G27" s="316"/>
      <c r="H27" s="316"/>
      <c r="I27" s="316"/>
      <c r="J27" s="316"/>
      <c r="K27" s="316"/>
      <c r="L27" s="316"/>
      <c r="M27" s="316"/>
      <c r="N27" s="316"/>
      <c r="O27" s="316"/>
      <c r="P27" s="316"/>
      <c r="Q27" s="316"/>
      <c r="R27" s="316"/>
      <c r="S27" s="316"/>
      <c r="T27" s="316" t="s">
        <v>281</v>
      </c>
      <c r="U27" s="316"/>
      <c r="V27" s="317"/>
      <c r="W27" s="317"/>
      <c r="X27" s="317"/>
      <c r="Y27" s="324" t="s">
        <v>287</v>
      </c>
      <c r="Z27" s="322">
        <v>3678500</v>
      </c>
      <c r="AA27" s="319">
        <f>1134553.88+2116714+389921+258021.1-220709.98+365566+80593.54</f>
        <v>4124659.54</v>
      </c>
      <c r="AB27" s="177"/>
      <c r="AC27" s="177"/>
      <c r="AD27" s="279" t="s">
        <v>287</v>
      </c>
      <c r="AF27" s="274"/>
    </row>
    <row r="28" spans="1:33" ht="90.75" customHeight="1" x14ac:dyDescent="0.3">
      <c r="A28" s="324" t="s">
        <v>288</v>
      </c>
      <c r="B28" s="316" t="s">
        <v>11</v>
      </c>
      <c r="C28" s="316" t="s">
        <v>113</v>
      </c>
      <c r="D28" s="316" t="s">
        <v>127</v>
      </c>
      <c r="E28" s="216" t="s">
        <v>592</v>
      </c>
      <c r="F28" s="316"/>
      <c r="G28" s="316"/>
      <c r="H28" s="316"/>
      <c r="I28" s="316"/>
      <c r="J28" s="316"/>
      <c r="K28" s="316"/>
      <c r="L28" s="316"/>
      <c r="M28" s="316"/>
      <c r="N28" s="316"/>
      <c r="O28" s="316"/>
      <c r="P28" s="316"/>
      <c r="Q28" s="316"/>
      <c r="R28" s="316"/>
      <c r="S28" s="316"/>
      <c r="T28" s="316" t="s">
        <v>235</v>
      </c>
      <c r="U28" s="316"/>
      <c r="V28" s="317"/>
      <c r="W28" s="317"/>
      <c r="X28" s="317"/>
      <c r="Y28" s="324" t="s">
        <v>288</v>
      </c>
      <c r="Z28" s="322">
        <v>266051.19</v>
      </c>
      <c r="AA28" s="319">
        <f>99512.29+182501.97-15963.07</f>
        <v>266051.19</v>
      </c>
      <c r="AB28" s="177"/>
      <c r="AC28" s="177"/>
      <c r="AD28" s="279" t="s">
        <v>288</v>
      </c>
    </row>
    <row r="29" spans="1:33" ht="98.25" customHeight="1" x14ac:dyDescent="0.3">
      <c r="A29" s="311" t="s">
        <v>289</v>
      </c>
      <c r="B29" s="216" t="s">
        <v>11</v>
      </c>
      <c r="C29" s="216" t="s">
        <v>113</v>
      </c>
      <c r="D29" s="216" t="s">
        <v>127</v>
      </c>
      <c r="E29" s="216" t="s">
        <v>593</v>
      </c>
      <c r="F29" s="216"/>
      <c r="G29" s="216"/>
      <c r="H29" s="216"/>
      <c r="I29" s="216"/>
      <c r="J29" s="216"/>
      <c r="K29" s="216"/>
      <c r="L29" s="216"/>
      <c r="M29" s="216"/>
      <c r="N29" s="216"/>
      <c r="O29" s="216"/>
      <c r="P29" s="216"/>
      <c r="Q29" s="216"/>
      <c r="R29" s="216"/>
      <c r="S29" s="216"/>
      <c r="T29" s="216"/>
      <c r="U29" s="216"/>
      <c r="V29" s="312"/>
      <c r="W29" s="312"/>
      <c r="X29" s="312"/>
      <c r="Y29" s="311" t="s">
        <v>289</v>
      </c>
      <c r="Z29" s="313">
        <f>Z30+Z31</f>
        <v>92908.400000000009</v>
      </c>
      <c r="AA29" s="327">
        <f>AA30+AA31</f>
        <v>248482.88</v>
      </c>
      <c r="AB29" s="276"/>
      <c r="AC29" s="276"/>
      <c r="AD29" s="277" t="s">
        <v>289</v>
      </c>
    </row>
    <row r="30" spans="1:33" ht="200.25" customHeight="1" x14ac:dyDescent="0.3">
      <c r="A30" s="315" t="s">
        <v>290</v>
      </c>
      <c r="B30" s="316" t="s">
        <v>11</v>
      </c>
      <c r="C30" s="316" t="s">
        <v>113</v>
      </c>
      <c r="D30" s="316" t="s">
        <v>127</v>
      </c>
      <c r="E30" s="216" t="s">
        <v>593</v>
      </c>
      <c r="F30" s="316"/>
      <c r="G30" s="316"/>
      <c r="H30" s="316"/>
      <c r="I30" s="316"/>
      <c r="J30" s="316"/>
      <c r="K30" s="316"/>
      <c r="L30" s="316"/>
      <c r="M30" s="316"/>
      <c r="N30" s="316"/>
      <c r="O30" s="316"/>
      <c r="P30" s="316"/>
      <c r="Q30" s="316"/>
      <c r="R30" s="316"/>
      <c r="S30" s="316"/>
      <c r="T30" s="316" t="s">
        <v>29</v>
      </c>
      <c r="U30" s="316"/>
      <c r="V30" s="317"/>
      <c r="W30" s="317"/>
      <c r="X30" s="317"/>
      <c r="Y30" s="315" t="s">
        <v>290</v>
      </c>
      <c r="Z30" s="322">
        <v>5885.6</v>
      </c>
      <c r="AA30" s="319">
        <f>668.43+1559.68+4010.61+150000</f>
        <v>156238.72</v>
      </c>
      <c r="AB30" s="177"/>
      <c r="AC30" s="177"/>
      <c r="AD30" s="278" t="s">
        <v>290</v>
      </c>
      <c r="AF30" s="274"/>
      <c r="AG30" s="280"/>
    </row>
    <row r="31" spans="1:33" ht="120.75" customHeight="1" x14ac:dyDescent="0.3">
      <c r="A31" s="324" t="s">
        <v>291</v>
      </c>
      <c r="B31" s="316" t="s">
        <v>11</v>
      </c>
      <c r="C31" s="316" t="s">
        <v>113</v>
      </c>
      <c r="D31" s="316" t="s">
        <v>127</v>
      </c>
      <c r="E31" s="216" t="s">
        <v>593</v>
      </c>
      <c r="F31" s="316"/>
      <c r="G31" s="316"/>
      <c r="H31" s="316"/>
      <c r="I31" s="316"/>
      <c r="J31" s="316"/>
      <c r="K31" s="316"/>
      <c r="L31" s="316"/>
      <c r="M31" s="316"/>
      <c r="N31" s="316"/>
      <c r="O31" s="316"/>
      <c r="P31" s="316"/>
      <c r="Q31" s="316"/>
      <c r="R31" s="316"/>
      <c r="S31" s="316"/>
      <c r="T31" s="316" t="s">
        <v>281</v>
      </c>
      <c r="U31" s="316"/>
      <c r="V31" s="317"/>
      <c r="W31" s="317"/>
      <c r="X31" s="317"/>
      <c r="Y31" s="324" t="s">
        <v>291</v>
      </c>
      <c r="Z31" s="322">
        <v>87022.8</v>
      </c>
      <c r="AA31" s="319">
        <v>92244.160000000003</v>
      </c>
      <c r="AB31" s="177"/>
      <c r="AC31" s="177"/>
      <c r="AD31" s="279" t="s">
        <v>291</v>
      </c>
      <c r="AF31" s="274"/>
      <c r="AG31" s="280"/>
    </row>
    <row r="32" spans="1:33" ht="27.75" customHeight="1" x14ac:dyDescent="0.3">
      <c r="A32" s="301" t="s">
        <v>128</v>
      </c>
      <c r="B32" s="302" t="s">
        <v>11</v>
      </c>
      <c r="C32" s="302" t="s">
        <v>113</v>
      </c>
      <c r="D32" s="302" t="s">
        <v>115</v>
      </c>
      <c r="E32" s="302"/>
      <c r="F32" s="302"/>
      <c r="G32" s="302"/>
      <c r="H32" s="302"/>
      <c r="I32" s="302"/>
      <c r="J32" s="302"/>
      <c r="K32" s="302"/>
      <c r="L32" s="302"/>
      <c r="M32" s="302"/>
      <c r="N32" s="302"/>
      <c r="O32" s="302"/>
      <c r="P32" s="302"/>
      <c r="Q32" s="302"/>
      <c r="R32" s="302"/>
      <c r="S32" s="302"/>
      <c r="T32" s="302"/>
      <c r="U32" s="302"/>
      <c r="V32" s="303"/>
      <c r="W32" s="303"/>
      <c r="X32" s="303"/>
      <c r="Y32" s="301" t="s">
        <v>128</v>
      </c>
      <c r="Z32" s="325"/>
      <c r="AA32" s="310">
        <f>AA33</f>
        <v>24186.27</v>
      </c>
      <c r="AB32" s="178"/>
      <c r="AC32" s="178"/>
      <c r="AD32" s="273" t="s">
        <v>128</v>
      </c>
    </row>
    <row r="33" spans="1:33" ht="91.5" customHeight="1" x14ac:dyDescent="0.3">
      <c r="A33" s="311" t="s">
        <v>223</v>
      </c>
      <c r="B33" s="216" t="s">
        <v>11</v>
      </c>
      <c r="C33" s="216" t="s">
        <v>113</v>
      </c>
      <c r="D33" s="216" t="s">
        <v>115</v>
      </c>
      <c r="E33" s="216" t="s">
        <v>594</v>
      </c>
      <c r="F33" s="216"/>
      <c r="G33" s="216"/>
      <c r="H33" s="216"/>
      <c r="I33" s="216"/>
      <c r="J33" s="216"/>
      <c r="K33" s="216"/>
      <c r="L33" s="216"/>
      <c r="M33" s="216"/>
      <c r="N33" s="216"/>
      <c r="O33" s="216"/>
      <c r="P33" s="216"/>
      <c r="Q33" s="216"/>
      <c r="R33" s="216"/>
      <c r="S33" s="216"/>
      <c r="T33" s="216"/>
      <c r="U33" s="216"/>
      <c r="V33" s="312"/>
      <c r="W33" s="312"/>
      <c r="X33" s="312"/>
      <c r="Y33" s="311" t="s">
        <v>223</v>
      </c>
      <c r="Z33" s="313">
        <v>0</v>
      </c>
      <c r="AA33" s="314">
        <f>AA34</f>
        <v>24186.27</v>
      </c>
      <c r="AB33" s="276"/>
      <c r="AC33" s="276"/>
      <c r="AD33" s="277" t="s">
        <v>223</v>
      </c>
    </row>
    <row r="34" spans="1:33" ht="135" customHeight="1" x14ac:dyDescent="0.3">
      <c r="A34" s="324" t="s">
        <v>292</v>
      </c>
      <c r="B34" s="316" t="s">
        <v>11</v>
      </c>
      <c r="C34" s="316" t="s">
        <v>113</v>
      </c>
      <c r="D34" s="316" t="s">
        <v>115</v>
      </c>
      <c r="E34" s="216" t="s">
        <v>594</v>
      </c>
      <c r="F34" s="316"/>
      <c r="G34" s="316"/>
      <c r="H34" s="316"/>
      <c r="I34" s="316"/>
      <c r="J34" s="316"/>
      <c r="K34" s="316"/>
      <c r="L34" s="316"/>
      <c r="M34" s="316"/>
      <c r="N34" s="316"/>
      <c r="O34" s="316"/>
      <c r="P34" s="316"/>
      <c r="Q34" s="316"/>
      <c r="R34" s="316"/>
      <c r="S34" s="316"/>
      <c r="T34" s="316" t="s">
        <v>281</v>
      </c>
      <c r="U34" s="316"/>
      <c r="V34" s="317"/>
      <c r="W34" s="317"/>
      <c r="X34" s="317"/>
      <c r="Y34" s="324" t="s">
        <v>292</v>
      </c>
      <c r="Z34" s="322">
        <v>0</v>
      </c>
      <c r="AA34" s="319">
        <f>24200-13.73</f>
        <v>24186.27</v>
      </c>
      <c r="AB34" s="177"/>
      <c r="AC34" s="177"/>
      <c r="AD34" s="279" t="s">
        <v>292</v>
      </c>
      <c r="AF34" s="274"/>
    </row>
    <row r="35" spans="1:33" ht="90" customHeight="1" x14ac:dyDescent="0.3">
      <c r="A35" s="301" t="s">
        <v>242</v>
      </c>
      <c r="B35" s="302" t="s">
        <v>11</v>
      </c>
      <c r="C35" s="302" t="s">
        <v>113</v>
      </c>
      <c r="D35" s="302" t="s">
        <v>116</v>
      </c>
      <c r="E35" s="302"/>
      <c r="F35" s="302"/>
      <c r="G35" s="302"/>
      <c r="H35" s="302"/>
      <c r="I35" s="302"/>
      <c r="J35" s="302"/>
      <c r="K35" s="302"/>
      <c r="L35" s="302"/>
      <c r="M35" s="302"/>
      <c r="N35" s="302"/>
      <c r="O35" s="302"/>
      <c r="P35" s="302"/>
      <c r="Q35" s="302"/>
      <c r="R35" s="302"/>
      <c r="S35" s="302"/>
      <c r="T35" s="302"/>
      <c r="U35" s="302"/>
      <c r="V35" s="303"/>
      <c r="W35" s="303"/>
      <c r="X35" s="303"/>
      <c r="Y35" s="301" t="s">
        <v>242</v>
      </c>
      <c r="Z35" s="325">
        <v>579477</v>
      </c>
      <c r="AA35" s="310">
        <f>AA36</f>
        <v>579540.06000000006</v>
      </c>
      <c r="AB35" s="178"/>
      <c r="AC35" s="178"/>
      <c r="AD35" s="273" t="s">
        <v>242</v>
      </c>
    </row>
    <row r="36" spans="1:33" ht="90.75" customHeight="1" x14ac:dyDescent="0.3">
      <c r="A36" s="311" t="s">
        <v>232</v>
      </c>
      <c r="B36" s="216" t="s">
        <v>11</v>
      </c>
      <c r="C36" s="216" t="s">
        <v>113</v>
      </c>
      <c r="D36" s="216" t="s">
        <v>116</v>
      </c>
      <c r="E36" s="216" t="s">
        <v>595</v>
      </c>
      <c r="F36" s="216"/>
      <c r="G36" s="216"/>
      <c r="H36" s="216"/>
      <c r="I36" s="216"/>
      <c r="J36" s="216"/>
      <c r="K36" s="216"/>
      <c r="L36" s="216"/>
      <c r="M36" s="216"/>
      <c r="N36" s="216"/>
      <c r="O36" s="216"/>
      <c r="P36" s="216"/>
      <c r="Q36" s="216"/>
      <c r="R36" s="216"/>
      <c r="S36" s="216"/>
      <c r="T36" s="216"/>
      <c r="U36" s="216"/>
      <c r="V36" s="312"/>
      <c r="W36" s="312"/>
      <c r="X36" s="312"/>
      <c r="Y36" s="311" t="s">
        <v>232</v>
      </c>
      <c r="Z36" s="313">
        <v>579477</v>
      </c>
      <c r="AA36" s="314">
        <f>AA37</f>
        <v>579540.06000000006</v>
      </c>
      <c r="AB36" s="276"/>
      <c r="AC36" s="276"/>
      <c r="AD36" s="277" t="s">
        <v>232</v>
      </c>
    </row>
    <row r="37" spans="1:33" ht="197.25" customHeight="1" x14ac:dyDescent="0.3">
      <c r="A37" s="315" t="s">
        <v>293</v>
      </c>
      <c r="B37" s="316" t="s">
        <v>11</v>
      </c>
      <c r="C37" s="316" t="s">
        <v>113</v>
      </c>
      <c r="D37" s="316" t="s">
        <v>116</v>
      </c>
      <c r="E37" s="216" t="s">
        <v>595</v>
      </c>
      <c r="F37" s="316"/>
      <c r="G37" s="316"/>
      <c r="H37" s="316"/>
      <c r="I37" s="316"/>
      <c r="J37" s="316"/>
      <c r="K37" s="316"/>
      <c r="L37" s="316"/>
      <c r="M37" s="316"/>
      <c r="N37" s="316"/>
      <c r="O37" s="316"/>
      <c r="P37" s="316"/>
      <c r="Q37" s="316"/>
      <c r="R37" s="316"/>
      <c r="S37" s="316"/>
      <c r="T37" s="316" t="s">
        <v>29</v>
      </c>
      <c r="U37" s="316"/>
      <c r="V37" s="317"/>
      <c r="W37" s="317"/>
      <c r="X37" s="317"/>
      <c r="Y37" s="315" t="s">
        <v>293</v>
      </c>
      <c r="Z37" s="322">
        <v>579477</v>
      </c>
      <c r="AA37" s="319">
        <f>444259.61+134166.39+1114.06</f>
        <v>579540.06000000006</v>
      </c>
      <c r="AB37" s="177"/>
      <c r="AC37" s="177"/>
      <c r="AD37" s="278" t="s">
        <v>293</v>
      </c>
      <c r="AF37" s="274"/>
    </row>
    <row r="38" spans="1:33" ht="27.75" customHeight="1" x14ac:dyDescent="0.3">
      <c r="A38" s="301" t="s">
        <v>131</v>
      </c>
      <c r="B38" s="302" t="s">
        <v>11</v>
      </c>
      <c r="C38" s="302" t="s">
        <v>113</v>
      </c>
      <c r="D38" s="302" t="s">
        <v>119</v>
      </c>
      <c r="E38" s="302"/>
      <c r="F38" s="302"/>
      <c r="G38" s="302"/>
      <c r="H38" s="302"/>
      <c r="I38" s="302"/>
      <c r="J38" s="302"/>
      <c r="K38" s="302"/>
      <c r="L38" s="302"/>
      <c r="M38" s="302"/>
      <c r="N38" s="302"/>
      <c r="O38" s="302"/>
      <c r="P38" s="302"/>
      <c r="Q38" s="302"/>
      <c r="R38" s="302"/>
      <c r="S38" s="302"/>
      <c r="T38" s="302"/>
      <c r="U38" s="302"/>
      <c r="V38" s="303"/>
      <c r="W38" s="303"/>
      <c r="X38" s="303"/>
      <c r="Y38" s="301" t="s">
        <v>131</v>
      </c>
      <c r="Z38" s="325">
        <v>315300</v>
      </c>
      <c r="AA38" s="310">
        <f>AA39</f>
        <v>334218</v>
      </c>
      <c r="AB38" s="178"/>
      <c r="AC38" s="178"/>
      <c r="AD38" s="273" t="s">
        <v>131</v>
      </c>
    </row>
    <row r="39" spans="1:33" ht="166.5" customHeight="1" x14ac:dyDescent="0.3">
      <c r="A39" s="311" t="s">
        <v>991</v>
      </c>
      <c r="B39" s="216" t="s">
        <v>11</v>
      </c>
      <c r="C39" s="216" t="s">
        <v>113</v>
      </c>
      <c r="D39" s="216" t="s">
        <v>119</v>
      </c>
      <c r="E39" s="216" t="s">
        <v>597</v>
      </c>
      <c r="F39" s="216"/>
      <c r="G39" s="216"/>
      <c r="H39" s="216"/>
      <c r="I39" s="216"/>
      <c r="J39" s="216"/>
      <c r="K39" s="216"/>
      <c r="L39" s="216"/>
      <c r="M39" s="216"/>
      <c r="N39" s="216"/>
      <c r="O39" s="216"/>
      <c r="P39" s="216"/>
      <c r="Q39" s="216"/>
      <c r="R39" s="216"/>
      <c r="S39" s="216"/>
      <c r="T39" s="216"/>
      <c r="U39" s="216"/>
      <c r="V39" s="312"/>
      <c r="W39" s="312"/>
      <c r="X39" s="312"/>
      <c r="Y39" s="311" t="s">
        <v>294</v>
      </c>
      <c r="Z39" s="313">
        <v>315300</v>
      </c>
      <c r="AA39" s="314">
        <f>AA40</f>
        <v>334218</v>
      </c>
      <c r="AB39" s="276"/>
      <c r="AC39" s="276"/>
      <c r="AD39" s="277" t="s">
        <v>294</v>
      </c>
    </row>
    <row r="40" spans="1:33" ht="69" customHeight="1" x14ac:dyDescent="0.3">
      <c r="A40" s="324" t="s">
        <v>295</v>
      </c>
      <c r="B40" s="316" t="s">
        <v>11</v>
      </c>
      <c r="C40" s="316" t="s">
        <v>113</v>
      </c>
      <c r="D40" s="316" t="s">
        <v>119</v>
      </c>
      <c r="E40" s="216" t="s">
        <v>597</v>
      </c>
      <c r="F40" s="316"/>
      <c r="G40" s="316"/>
      <c r="H40" s="316"/>
      <c r="I40" s="316"/>
      <c r="J40" s="316"/>
      <c r="K40" s="316"/>
      <c r="L40" s="316"/>
      <c r="M40" s="316"/>
      <c r="N40" s="316"/>
      <c r="O40" s="316"/>
      <c r="P40" s="316"/>
      <c r="Q40" s="316"/>
      <c r="R40" s="316"/>
      <c r="S40" s="316"/>
      <c r="T40" s="316" t="s">
        <v>235</v>
      </c>
      <c r="U40" s="316"/>
      <c r="V40" s="317"/>
      <c r="W40" s="317"/>
      <c r="X40" s="317"/>
      <c r="Y40" s="324" t="s">
        <v>295</v>
      </c>
      <c r="Z40" s="322">
        <v>315300</v>
      </c>
      <c r="AA40" s="319">
        <v>334218</v>
      </c>
      <c r="AB40" s="177"/>
      <c r="AC40" s="177"/>
      <c r="AD40" s="279" t="s">
        <v>295</v>
      </c>
      <c r="AF40" s="274"/>
    </row>
    <row r="41" spans="1:33" ht="24.75" customHeight="1" x14ac:dyDescent="0.3">
      <c r="A41" s="301" t="s">
        <v>132</v>
      </c>
      <c r="B41" s="302" t="s">
        <v>11</v>
      </c>
      <c r="C41" s="302" t="s">
        <v>113</v>
      </c>
      <c r="D41" s="302" t="s">
        <v>121</v>
      </c>
      <c r="E41" s="302"/>
      <c r="F41" s="302"/>
      <c r="G41" s="302"/>
      <c r="H41" s="302"/>
      <c r="I41" s="302"/>
      <c r="J41" s="302"/>
      <c r="K41" s="302"/>
      <c r="L41" s="302"/>
      <c r="M41" s="302"/>
      <c r="N41" s="302"/>
      <c r="O41" s="302"/>
      <c r="P41" s="302"/>
      <c r="Q41" s="302"/>
      <c r="R41" s="302"/>
      <c r="S41" s="302"/>
      <c r="T41" s="302"/>
      <c r="U41" s="302"/>
      <c r="V41" s="303"/>
      <c r="W41" s="303"/>
      <c r="X41" s="303"/>
      <c r="Y41" s="301" t="s">
        <v>132</v>
      </c>
      <c r="Z41" s="325">
        <f>Z42+Z48+Z54</f>
        <v>14587761.520000001</v>
      </c>
      <c r="AA41" s="305">
        <f>AA42+AA48+AA54+AA52+AA59+AA44+AA50+AA57+AA46</f>
        <v>21991367.070000004</v>
      </c>
      <c r="AB41" s="178"/>
      <c r="AC41" s="178"/>
      <c r="AD41" s="273" t="s">
        <v>132</v>
      </c>
      <c r="AF41" s="274"/>
    </row>
    <row r="42" spans="1:33" ht="127.5" customHeight="1" x14ac:dyDescent="0.3">
      <c r="A42" s="311" t="s">
        <v>598</v>
      </c>
      <c r="B42" s="216" t="s">
        <v>11</v>
      </c>
      <c r="C42" s="216" t="s">
        <v>113</v>
      </c>
      <c r="D42" s="216" t="s">
        <v>121</v>
      </c>
      <c r="E42" s="216" t="s">
        <v>599</v>
      </c>
      <c r="F42" s="216"/>
      <c r="G42" s="216"/>
      <c r="H42" s="216"/>
      <c r="I42" s="216"/>
      <c r="J42" s="216"/>
      <c r="K42" s="216"/>
      <c r="L42" s="216"/>
      <c r="M42" s="216"/>
      <c r="N42" s="216"/>
      <c r="O42" s="216"/>
      <c r="P42" s="216"/>
      <c r="Q42" s="216"/>
      <c r="R42" s="216"/>
      <c r="S42" s="216"/>
      <c r="T42" s="216"/>
      <c r="U42" s="216"/>
      <c r="V42" s="312"/>
      <c r="W42" s="312"/>
      <c r="X42" s="312"/>
      <c r="Y42" s="311" t="s">
        <v>296</v>
      </c>
      <c r="Z42" s="313">
        <v>1600000</v>
      </c>
      <c r="AA42" s="321">
        <f>AA43</f>
        <v>800000</v>
      </c>
      <c r="AB42" s="276"/>
      <c r="AC42" s="276"/>
      <c r="AD42" s="277" t="s">
        <v>296</v>
      </c>
      <c r="AF42" s="274"/>
    </row>
    <row r="43" spans="1:33" ht="127.5" customHeight="1" x14ac:dyDescent="0.3">
      <c r="A43" s="324" t="s">
        <v>297</v>
      </c>
      <c r="B43" s="316" t="s">
        <v>11</v>
      </c>
      <c r="C43" s="316" t="s">
        <v>113</v>
      </c>
      <c r="D43" s="316" t="s">
        <v>121</v>
      </c>
      <c r="E43" s="216" t="s">
        <v>599</v>
      </c>
      <c r="F43" s="316"/>
      <c r="G43" s="316"/>
      <c r="H43" s="316"/>
      <c r="I43" s="316"/>
      <c r="J43" s="316"/>
      <c r="K43" s="316"/>
      <c r="L43" s="316"/>
      <c r="M43" s="316"/>
      <c r="N43" s="316"/>
      <c r="O43" s="316"/>
      <c r="P43" s="316"/>
      <c r="Q43" s="316"/>
      <c r="R43" s="316"/>
      <c r="S43" s="316"/>
      <c r="T43" s="316" t="s">
        <v>281</v>
      </c>
      <c r="U43" s="316"/>
      <c r="V43" s="317"/>
      <c r="W43" s="317"/>
      <c r="X43" s="317"/>
      <c r="Y43" s="324" t="s">
        <v>297</v>
      </c>
      <c r="Z43" s="322">
        <v>1600000</v>
      </c>
      <c r="AA43" s="319">
        <f>1600000-800000</f>
        <v>800000</v>
      </c>
      <c r="AB43" s="177"/>
      <c r="AC43" s="177"/>
      <c r="AD43" s="279" t="s">
        <v>297</v>
      </c>
      <c r="AF43" s="274"/>
      <c r="AG43" s="280"/>
    </row>
    <row r="44" spans="1:33" ht="56.25" customHeight="1" x14ac:dyDescent="0.3">
      <c r="A44" s="324" t="s">
        <v>884</v>
      </c>
      <c r="B44" s="316" t="s">
        <v>11</v>
      </c>
      <c r="C44" s="316" t="s">
        <v>113</v>
      </c>
      <c r="D44" s="316" t="s">
        <v>121</v>
      </c>
      <c r="E44" s="216" t="s">
        <v>883</v>
      </c>
      <c r="F44" s="316"/>
      <c r="G44" s="316"/>
      <c r="H44" s="316"/>
      <c r="I44" s="316"/>
      <c r="J44" s="316"/>
      <c r="K44" s="316"/>
      <c r="L44" s="316"/>
      <c r="M44" s="316"/>
      <c r="N44" s="316"/>
      <c r="O44" s="316"/>
      <c r="P44" s="316"/>
      <c r="Q44" s="316"/>
      <c r="R44" s="316"/>
      <c r="S44" s="316"/>
      <c r="T44" s="316"/>
      <c r="U44" s="316"/>
      <c r="V44" s="317"/>
      <c r="W44" s="317"/>
      <c r="X44" s="317"/>
      <c r="Y44" s="324"/>
      <c r="Z44" s="322"/>
      <c r="AA44" s="319">
        <f>AA45</f>
        <v>638410.07999999996</v>
      </c>
      <c r="AB44" s="177"/>
      <c r="AC44" s="177"/>
      <c r="AD44" s="279"/>
      <c r="AF44" s="274"/>
      <c r="AG44" s="280"/>
    </row>
    <row r="45" spans="1:33" ht="82.5" customHeight="1" x14ac:dyDescent="0.3">
      <c r="A45" s="324" t="s">
        <v>885</v>
      </c>
      <c r="B45" s="316" t="s">
        <v>11</v>
      </c>
      <c r="C45" s="316" t="s">
        <v>113</v>
      </c>
      <c r="D45" s="316" t="s">
        <v>121</v>
      </c>
      <c r="E45" s="216" t="s">
        <v>883</v>
      </c>
      <c r="F45" s="316"/>
      <c r="G45" s="316"/>
      <c r="H45" s="316"/>
      <c r="I45" s="316"/>
      <c r="J45" s="316"/>
      <c r="K45" s="316"/>
      <c r="L45" s="316"/>
      <c r="M45" s="316"/>
      <c r="N45" s="316"/>
      <c r="O45" s="316"/>
      <c r="P45" s="316"/>
      <c r="Q45" s="316"/>
      <c r="R45" s="316"/>
      <c r="S45" s="316"/>
      <c r="T45" s="316" t="s">
        <v>281</v>
      </c>
      <c r="U45" s="316"/>
      <c r="V45" s="317"/>
      <c r="W45" s="317"/>
      <c r="X45" s="317"/>
      <c r="Y45" s="324"/>
      <c r="Z45" s="322"/>
      <c r="AA45" s="319">
        <f>638410.08-95763.09+95763.09</f>
        <v>638410.07999999996</v>
      </c>
      <c r="AB45" s="177"/>
      <c r="AC45" s="177"/>
      <c r="AD45" s="279"/>
      <c r="AF45" s="274"/>
      <c r="AG45" s="280"/>
    </row>
    <row r="46" spans="1:33" ht="221.25" customHeight="1" x14ac:dyDescent="0.3">
      <c r="A46" s="311" t="s">
        <v>777</v>
      </c>
      <c r="B46" s="316" t="s">
        <v>11</v>
      </c>
      <c r="C46" s="316" t="s">
        <v>113</v>
      </c>
      <c r="D46" s="316" t="s">
        <v>121</v>
      </c>
      <c r="E46" s="216" t="s">
        <v>766</v>
      </c>
      <c r="F46" s="316"/>
      <c r="G46" s="316"/>
      <c r="H46" s="316"/>
      <c r="I46" s="316"/>
      <c r="J46" s="316"/>
      <c r="K46" s="316"/>
      <c r="L46" s="316"/>
      <c r="M46" s="316"/>
      <c r="N46" s="316"/>
      <c r="O46" s="316"/>
      <c r="P46" s="316"/>
      <c r="Q46" s="316"/>
      <c r="R46" s="316"/>
      <c r="S46" s="316"/>
      <c r="T46" s="316"/>
      <c r="U46" s="316"/>
      <c r="V46" s="317"/>
      <c r="W46" s="317"/>
      <c r="X46" s="317"/>
      <c r="Y46" s="324"/>
      <c r="Z46" s="322"/>
      <c r="AA46" s="319">
        <f>AA47</f>
        <v>457000</v>
      </c>
      <c r="AB46" s="177"/>
      <c r="AC46" s="177"/>
      <c r="AD46" s="279"/>
      <c r="AF46" s="274"/>
      <c r="AG46" s="280"/>
    </row>
    <row r="47" spans="1:33" ht="145.5" customHeight="1" x14ac:dyDescent="0.3">
      <c r="A47" s="324" t="s">
        <v>790</v>
      </c>
      <c r="B47" s="316" t="s">
        <v>11</v>
      </c>
      <c r="C47" s="316" t="s">
        <v>113</v>
      </c>
      <c r="D47" s="316" t="s">
        <v>121</v>
      </c>
      <c r="E47" s="216" t="s">
        <v>766</v>
      </c>
      <c r="F47" s="316"/>
      <c r="G47" s="316"/>
      <c r="H47" s="316"/>
      <c r="I47" s="316"/>
      <c r="J47" s="316"/>
      <c r="K47" s="316"/>
      <c r="L47" s="316"/>
      <c r="M47" s="316"/>
      <c r="N47" s="316"/>
      <c r="O47" s="316"/>
      <c r="P47" s="316"/>
      <c r="Q47" s="316"/>
      <c r="R47" s="316"/>
      <c r="S47" s="316"/>
      <c r="T47" s="316" t="s">
        <v>281</v>
      </c>
      <c r="U47" s="316"/>
      <c r="V47" s="317"/>
      <c r="W47" s="317"/>
      <c r="X47" s="317"/>
      <c r="Y47" s="324"/>
      <c r="Z47" s="322"/>
      <c r="AA47" s="319">
        <f>200000+257000</f>
        <v>457000</v>
      </c>
      <c r="AB47" s="177"/>
      <c r="AC47" s="177"/>
      <c r="AD47" s="279"/>
      <c r="AF47" s="274"/>
      <c r="AG47" s="280"/>
    </row>
    <row r="48" spans="1:33" ht="215.25" customHeight="1" x14ac:dyDescent="0.3">
      <c r="A48" s="311" t="s">
        <v>990</v>
      </c>
      <c r="B48" s="216" t="s">
        <v>11</v>
      </c>
      <c r="C48" s="216" t="s">
        <v>113</v>
      </c>
      <c r="D48" s="216" t="s">
        <v>121</v>
      </c>
      <c r="E48" s="216" t="s">
        <v>601</v>
      </c>
      <c r="F48" s="216"/>
      <c r="G48" s="216"/>
      <c r="H48" s="216"/>
      <c r="I48" s="216"/>
      <c r="J48" s="216"/>
      <c r="K48" s="216"/>
      <c r="L48" s="216"/>
      <c r="M48" s="216"/>
      <c r="N48" s="216"/>
      <c r="O48" s="216"/>
      <c r="P48" s="216"/>
      <c r="Q48" s="216"/>
      <c r="R48" s="216"/>
      <c r="S48" s="216"/>
      <c r="T48" s="216"/>
      <c r="U48" s="216"/>
      <c r="V48" s="312"/>
      <c r="W48" s="312"/>
      <c r="X48" s="312"/>
      <c r="Y48" s="311" t="s">
        <v>298</v>
      </c>
      <c r="Z48" s="313">
        <f>Z49</f>
        <v>12403380.470000001</v>
      </c>
      <c r="AA48" s="321">
        <f>AA49</f>
        <v>14673918.83</v>
      </c>
      <c r="AB48" s="276"/>
      <c r="AC48" s="276"/>
      <c r="AD48" s="277" t="s">
        <v>298</v>
      </c>
    </row>
    <row r="49" spans="1:32" ht="162.75" customHeight="1" x14ac:dyDescent="0.3">
      <c r="A49" s="315" t="s">
        <v>299</v>
      </c>
      <c r="B49" s="316" t="s">
        <v>11</v>
      </c>
      <c r="C49" s="316" t="s">
        <v>113</v>
      </c>
      <c r="D49" s="316" t="s">
        <v>121</v>
      </c>
      <c r="E49" s="216" t="s">
        <v>601</v>
      </c>
      <c r="F49" s="316"/>
      <c r="G49" s="316"/>
      <c r="H49" s="316"/>
      <c r="I49" s="316"/>
      <c r="J49" s="316"/>
      <c r="K49" s="316"/>
      <c r="L49" s="316"/>
      <c r="M49" s="316"/>
      <c r="N49" s="316"/>
      <c r="O49" s="316"/>
      <c r="P49" s="316"/>
      <c r="Q49" s="316"/>
      <c r="R49" s="316"/>
      <c r="S49" s="316"/>
      <c r="T49" s="316" t="s">
        <v>300</v>
      </c>
      <c r="U49" s="316"/>
      <c r="V49" s="317"/>
      <c r="W49" s="317"/>
      <c r="X49" s="317"/>
      <c r="Y49" s="315" t="s">
        <v>299</v>
      </c>
      <c r="Z49" s="322">
        <f>9826890.47+1074000+864990+637500</f>
        <v>12403380.470000001</v>
      </c>
      <c r="AA49" s="319">
        <f>11009078.16+813500+84606.32+2766734.35</f>
        <v>14673918.83</v>
      </c>
      <c r="AB49" s="177"/>
      <c r="AC49" s="177"/>
      <c r="AD49" s="278" t="s">
        <v>299</v>
      </c>
      <c r="AF49" s="274"/>
    </row>
    <row r="50" spans="1:32" ht="169.5" customHeight="1" x14ac:dyDescent="0.3">
      <c r="A50" s="315" t="s">
        <v>917</v>
      </c>
      <c r="B50" s="316" t="s">
        <v>11</v>
      </c>
      <c r="C50" s="316" t="s">
        <v>113</v>
      </c>
      <c r="D50" s="316" t="s">
        <v>121</v>
      </c>
      <c r="E50" s="216" t="s">
        <v>919</v>
      </c>
      <c r="F50" s="316"/>
      <c r="G50" s="316"/>
      <c r="H50" s="316"/>
      <c r="I50" s="316"/>
      <c r="J50" s="316"/>
      <c r="K50" s="316"/>
      <c r="L50" s="316"/>
      <c r="M50" s="316"/>
      <c r="N50" s="316"/>
      <c r="O50" s="316"/>
      <c r="P50" s="316"/>
      <c r="Q50" s="316"/>
      <c r="R50" s="316"/>
      <c r="S50" s="316"/>
      <c r="T50" s="316"/>
      <c r="U50" s="316"/>
      <c r="V50" s="317"/>
      <c r="W50" s="317"/>
      <c r="X50" s="317"/>
      <c r="Y50" s="315"/>
      <c r="Z50" s="322"/>
      <c r="AA50" s="319">
        <f>AA51</f>
        <v>604846.91999999993</v>
      </c>
      <c r="AB50" s="177"/>
      <c r="AC50" s="177"/>
      <c r="AD50" s="278"/>
      <c r="AF50" s="274"/>
    </row>
    <row r="51" spans="1:32" ht="289.5" customHeight="1" x14ac:dyDescent="0.3">
      <c r="A51" s="315" t="s">
        <v>989</v>
      </c>
      <c r="B51" s="316" t="s">
        <v>11</v>
      </c>
      <c r="C51" s="316" t="s">
        <v>113</v>
      </c>
      <c r="D51" s="316" t="s">
        <v>121</v>
      </c>
      <c r="E51" s="216" t="s">
        <v>919</v>
      </c>
      <c r="F51" s="316"/>
      <c r="G51" s="316"/>
      <c r="H51" s="316"/>
      <c r="I51" s="316"/>
      <c r="J51" s="316"/>
      <c r="K51" s="316"/>
      <c r="L51" s="316"/>
      <c r="M51" s="316"/>
      <c r="N51" s="316"/>
      <c r="O51" s="316"/>
      <c r="P51" s="316"/>
      <c r="Q51" s="316"/>
      <c r="R51" s="316"/>
      <c r="S51" s="316"/>
      <c r="T51" s="316" t="s">
        <v>235</v>
      </c>
      <c r="U51" s="316"/>
      <c r="V51" s="317"/>
      <c r="W51" s="317"/>
      <c r="X51" s="317"/>
      <c r="Y51" s="315"/>
      <c r="Z51" s="322"/>
      <c r="AA51" s="319">
        <f>494846.92+10000+100000</f>
        <v>604846.91999999993</v>
      </c>
      <c r="AB51" s="177"/>
      <c r="AC51" s="177"/>
      <c r="AD51" s="278"/>
      <c r="AF51" s="274"/>
    </row>
    <row r="52" spans="1:32" ht="89.25" customHeight="1" x14ac:dyDescent="0.3">
      <c r="A52" s="315" t="s">
        <v>842</v>
      </c>
      <c r="B52" s="316" t="s">
        <v>11</v>
      </c>
      <c r="C52" s="316" t="s">
        <v>113</v>
      </c>
      <c r="D52" s="316" t="s">
        <v>121</v>
      </c>
      <c r="E52" s="216" t="s">
        <v>844</v>
      </c>
      <c r="F52" s="316"/>
      <c r="G52" s="316"/>
      <c r="H52" s="316"/>
      <c r="I52" s="316"/>
      <c r="J52" s="316"/>
      <c r="K52" s="316"/>
      <c r="L52" s="316"/>
      <c r="M52" s="316"/>
      <c r="N52" s="316"/>
      <c r="O52" s="316"/>
      <c r="P52" s="316"/>
      <c r="Q52" s="316"/>
      <c r="R52" s="316"/>
      <c r="S52" s="316"/>
      <c r="T52" s="316"/>
      <c r="U52" s="316"/>
      <c r="V52" s="317"/>
      <c r="W52" s="317"/>
      <c r="X52" s="317"/>
      <c r="Y52" s="315"/>
      <c r="Z52" s="322"/>
      <c r="AA52" s="319">
        <f>AA53</f>
        <v>400000</v>
      </c>
      <c r="AB52" s="177"/>
      <c r="AC52" s="177"/>
      <c r="AD52" s="278"/>
      <c r="AF52" s="274"/>
    </row>
    <row r="53" spans="1:32" ht="242.25" customHeight="1" x14ac:dyDescent="0.3">
      <c r="A53" s="315" t="s">
        <v>992</v>
      </c>
      <c r="B53" s="316" t="s">
        <v>11</v>
      </c>
      <c r="C53" s="316" t="s">
        <v>113</v>
      </c>
      <c r="D53" s="316" t="s">
        <v>121</v>
      </c>
      <c r="E53" s="216" t="s">
        <v>844</v>
      </c>
      <c r="F53" s="316"/>
      <c r="G53" s="316"/>
      <c r="H53" s="316"/>
      <c r="I53" s="316"/>
      <c r="J53" s="316"/>
      <c r="K53" s="316"/>
      <c r="L53" s="316"/>
      <c r="M53" s="316"/>
      <c r="N53" s="316"/>
      <c r="O53" s="316"/>
      <c r="P53" s="316"/>
      <c r="Q53" s="316"/>
      <c r="R53" s="316"/>
      <c r="S53" s="316"/>
      <c r="T53" s="316" t="s">
        <v>235</v>
      </c>
      <c r="U53" s="316"/>
      <c r="V53" s="317"/>
      <c r="W53" s="317"/>
      <c r="X53" s="317"/>
      <c r="Y53" s="315"/>
      <c r="Z53" s="322"/>
      <c r="AA53" s="319">
        <f>400000</f>
        <v>400000</v>
      </c>
      <c r="AB53" s="177"/>
      <c r="AC53" s="177"/>
      <c r="AD53" s="278"/>
      <c r="AF53" s="274"/>
    </row>
    <row r="54" spans="1:32" ht="242.25" customHeight="1" x14ac:dyDescent="0.3">
      <c r="A54" s="331" t="s">
        <v>224</v>
      </c>
      <c r="B54" s="216" t="s">
        <v>11</v>
      </c>
      <c r="C54" s="216" t="s">
        <v>113</v>
      </c>
      <c r="D54" s="216" t="s">
        <v>121</v>
      </c>
      <c r="E54" s="216" t="s">
        <v>602</v>
      </c>
      <c r="F54" s="216"/>
      <c r="G54" s="216"/>
      <c r="H54" s="216"/>
      <c r="I54" s="216"/>
      <c r="J54" s="216"/>
      <c r="K54" s="216"/>
      <c r="L54" s="216"/>
      <c r="M54" s="216"/>
      <c r="N54" s="216"/>
      <c r="O54" s="216"/>
      <c r="P54" s="216"/>
      <c r="Q54" s="216"/>
      <c r="R54" s="216"/>
      <c r="S54" s="216"/>
      <c r="T54" s="216"/>
      <c r="U54" s="216"/>
      <c r="V54" s="312"/>
      <c r="W54" s="312"/>
      <c r="X54" s="312"/>
      <c r="Y54" s="331" t="s">
        <v>224</v>
      </c>
      <c r="Z54" s="313">
        <f>Z55+Z56</f>
        <v>584381.05000000005</v>
      </c>
      <c r="AA54" s="321">
        <f>AA55+AA56</f>
        <v>584381.05000000005</v>
      </c>
      <c r="AB54" s="276"/>
      <c r="AC54" s="276"/>
      <c r="AD54" s="281" t="s">
        <v>224</v>
      </c>
    </row>
    <row r="55" spans="1:32" ht="365.25" customHeight="1" x14ac:dyDescent="0.3">
      <c r="A55" s="315" t="s">
        <v>301</v>
      </c>
      <c r="B55" s="316" t="s">
        <v>11</v>
      </c>
      <c r="C55" s="316" t="s">
        <v>113</v>
      </c>
      <c r="D55" s="316" t="s">
        <v>121</v>
      </c>
      <c r="E55" s="216" t="s">
        <v>602</v>
      </c>
      <c r="F55" s="316"/>
      <c r="G55" s="316"/>
      <c r="H55" s="316"/>
      <c r="I55" s="316"/>
      <c r="J55" s="316"/>
      <c r="K55" s="316"/>
      <c r="L55" s="316"/>
      <c r="M55" s="316"/>
      <c r="N55" s="316"/>
      <c r="O55" s="316"/>
      <c r="P55" s="316"/>
      <c r="Q55" s="316"/>
      <c r="R55" s="316"/>
      <c r="S55" s="316"/>
      <c r="T55" s="316" t="s">
        <v>29</v>
      </c>
      <c r="U55" s="316"/>
      <c r="V55" s="317"/>
      <c r="W55" s="317"/>
      <c r="X55" s="317"/>
      <c r="Y55" s="315" t="s">
        <v>301</v>
      </c>
      <c r="Z55" s="322">
        <f>539300-18.95</f>
        <v>539281.05000000005</v>
      </c>
      <c r="AA55" s="319">
        <f>408352.72+123328.27+600+4000+2000+18.95-18.95</f>
        <v>538280.99</v>
      </c>
      <c r="AB55" s="177"/>
      <c r="AC55" s="177"/>
      <c r="AD55" s="278" t="s">
        <v>301</v>
      </c>
      <c r="AF55" s="274"/>
    </row>
    <row r="56" spans="1:32" ht="272.25" customHeight="1" x14ac:dyDescent="0.3">
      <c r="A56" s="315" t="s">
        <v>302</v>
      </c>
      <c r="B56" s="316" t="s">
        <v>11</v>
      </c>
      <c r="C56" s="316" t="s">
        <v>113</v>
      </c>
      <c r="D56" s="316" t="s">
        <v>121</v>
      </c>
      <c r="E56" s="216" t="s">
        <v>602</v>
      </c>
      <c r="F56" s="316"/>
      <c r="G56" s="316"/>
      <c r="H56" s="316"/>
      <c r="I56" s="316"/>
      <c r="J56" s="316"/>
      <c r="K56" s="316"/>
      <c r="L56" s="316"/>
      <c r="M56" s="316"/>
      <c r="N56" s="316"/>
      <c r="O56" s="316"/>
      <c r="P56" s="316"/>
      <c r="Q56" s="316"/>
      <c r="R56" s="316"/>
      <c r="S56" s="316"/>
      <c r="T56" s="316" t="s">
        <v>281</v>
      </c>
      <c r="U56" s="316"/>
      <c r="V56" s="317"/>
      <c r="W56" s="317"/>
      <c r="X56" s="317"/>
      <c r="Y56" s="315" t="s">
        <v>302</v>
      </c>
      <c r="Z56" s="322">
        <v>45100</v>
      </c>
      <c r="AA56" s="319">
        <f>18400+1000.06+11400+15300</f>
        <v>46100.06</v>
      </c>
      <c r="AB56" s="177"/>
      <c r="AC56" s="177"/>
      <c r="AD56" s="278" t="s">
        <v>302</v>
      </c>
      <c r="AF56" s="274"/>
    </row>
    <row r="57" spans="1:32" ht="105.75" customHeight="1" x14ac:dyDescent="0.3">
      <c r="A57" s="331" t="s">
        <v>1153</v>
      </c>
      <c r="B57" s="316" t="s">
        <v>11</v>
      </c>
      <c r="C57" s="316" t="s">
        <v>113</v>
      </c>
      <c r="D57" s="316" t="s">
        <v>121</v>
      </c>
      <c r="E57" s="216" t="s">
        <v>934</v>
      </c>
      <c r="F57" s="316"/>
      <c r="G57" s="316"/>
      <c r="H57" s="316"/>
      <c r="I57" s="316"/>
      <c r="J57" s="316"/>
      <c r="K57" s="316"/>
      <c r="L57" s="316"/>
      <c r="M57" s="316"/>
      <c r="N57" s="316"/>
      <c r="O57" s="316"/>
      <c r="P57" s="316"/>
      <c r="Q57" s="316"/>
      <c r="R57" s="316"/>
      <c r="S57" s="316"/>
      <c r="T57" s="316"/>
      <c r="U57" s="316"/>
      <c r="V57" s="317"/>
      <c r="W57" s="317"/>
      <c r="X57" s="317"/>
      <c r="Y57" s="315"/>
      <c r="Z57" s="322"/>
      <c r="AA57" s="332">
        <f>AA58</f>
        <v>1032810.19</v>
      </c>
      <c r="AB57" s="177"/>
      <c r="AC57" s="177"/>
      <c r="AD57" s="278"/>
      <c r="AF57" s="274"/>
    </row>
    <row r="58" spans="1:32" ht="52.5" customHeight="1" x14ac:dyDescent="0.3">
      <c r="A58" s="315" t="s">
        <v>933</v>
      </c>
      <c r="B58" s="316" t="s">
        <v>11</v>
      </c>
      <c r="C58" s="316" t="s">
        <v>113</v>
      </c>
      <c r="D58" s="316" t="s">
        <v>121</v>
      </c>
      <c r="E58" s="216" t="s">
        <v>934</v>
      </c>
      <c r="F58" s="316"/>
      <c r="G58" s="316"/>
      <c r="H58" s="316"/>
      <c r="I58" s="316"/>
      <c r="J58" s="316"/>
      <c r="K58" s="316"/>
      <c r="L58" s="316"/>
      <c r="M58" s="316"/>
      <c r="N58" s="316"/>
      <c r="O58" s="316"/>
      <c r="P58" s="316"/>
      <c r="Q58" s="316"/>
      <c r="R58" s="316"/>
      <c r="S58" s="316"/>
      <c r="T58" s="316" t="s">
        <v>281</v>
      </c>
      <c r="U58" s="316"/>
      <c r="V58" s="317"/>
      <c r="W58" s="317"/>
      <c r="X58" s="317"/>
      <c r="Y58" s="315"/>
      <c r="Z58" s="322"/>
      <c r="AA58" s="332">
        <f>941560+91250.19</f>
        <v>1032810.19</v>
      </c>
      <c r="AB58" s="177"/>
      <c r="AC58" s="177"/>
      <c r="AD58" s="278"/>
      <c r="AF58" s="274"/>
    </row>
    <row r="59" spans="1:32" ht="63" customHeight="1" x14ac:dyDescent="0.3">
      <c r="A59" s="331" t="s">
        <v>853</v>
      </c>
      <c r="B59" s="316" t="s">
        <v>11</v>
      </c>
      <c r="C59" s="316" t="s">
        <v>113</v>
      </c>
      <c r="D59" s="316" t="s">
        <v>121</v>
      </c>
      <c r="E59" s="216" t="s">
        <v>855</v>
      </c>
      <c r="F59" s="316"/>
      <c r="G59" s="316"/>
      <c r="H59" s="316"/>
      <c r="I59" s="316"/>
      <c r="J59" s="316"/>
      <c r="K59" s="316"/>
      <c r="L59" s="316"/>
      <c r="M59" s="316"/>
      <c r="N59" s="316"/>
      <c r="O59" s="316"/>
      <c r="P59" s="316"/>
      <c r="Q59" s="316"/>
      <c r="R59" s="316"/>
      <c r="S59" s="316"/>
      <c r="T59" s="316"/>
      <c r="U59" s="316"/>
      <c r="V59" s="317"/>
      <c r="W59" s="317"/>
      <c r="X59" s="317"/>
      <c r="Y59" s="315"/>
      <c r="Z59" s="322"/>
      <c r="AA59" s="332">
        <f>AA60</f>
        <v>2800000</v>
      </c>
      <c r="AB59" s="177"/>
      <c r="AC59" s="177"/>
      <c r="AD59" s="278"/>
      <c r="AF59" s="274"/>
    </row>
    <row r="60" spans="1:32" ht="86.25" customHeight="1" x14ac:dyDescent="0.3">
      <c r="A60" s="458" t="s">
        <v>854</v>
      </c>
      <c r="B60" s="328" t="s">
        <v>11</v>
      </c>
      <c r="C60" s="328" t="s">
        <v>113</v>
      </c>
      <c r="D60" s="328" t="s">
        <v>121</v>
      </c>
      <c r="E60" s="296" t="s">
        <v>855</v>
      </c>
      <c r="F60" s="328"/>
      <c r="G60" s="328"/>
      <c r="H60" s="328"/>
      <c r="I60" s="328"/>
      <c r="J60" s="328"/>
      <c r="K60" s="328"/>
      <c r="L60" s="328"/>
      <c r="M60" s="328"/>
      <c r="N60" s="328"/>
      <c r="O60" s="328"/>
      <c r="P60" s="328"/>
      <c r="Q60" s="328"/>
      <c r="R60" s="328"/>
      <c r="S60" s="328"/>
      <c r="T60" s="328" t="s">
        <v>355</v>
      </c>
      <c r="U60" s="328"/>
      <c r="V60" s="329"/>
      <c r="W60" s="329"/>
      <c r="X60" s="329"/>
      <c r="Y60" s="451"/>
      <c r="Z60" s="330"/>
      <c r="AA60" s="381">
        <f>1400000+1000000+400000</f>
        <v>2800000</v>
      </c>
      <c r="AB60" s="177"/>
      <c r="AC60" s="177"/>
      <c r="AD60" s="278"/>
      <c r="AF60" s="274"/>
    </row>
    <row r="61" spans="1:32" ht="67.5" customHeight="1" x14ac:dyDescent="0.3">
      <c r="A61" s="301" t="s">
        <v>303</v>
      </c>
      <c r="B61" s="302" t="s">
        <v>11</v>
      </c>
      <c r="C61" s="302" t="s">
        <v>114</v>
      </c>
      <c r="D61" s="302" t="s">
        <v>124</v>
      </c>
      <c r="E61" s="302"/>
      <c r="F61" s="302"/>
      <c r="G61" s="302"/>
      <c r="H61" s="302"/>
      <c r="I61" s="302"/>
      <c r="J61" s="302"/>
      <c r="K61" s="302"/>
      <c r="L61" s="302"/>
      <c r="M61" s="302"/>
      <c r="N61" s="302"/>
      <c r="O61" s="302"/>
      <c r="P61" s="302"/>
      <c r="Q61" s="302"/>
      <c r="R61" s="302"/>
      <c r="S61" s="302"/>
      <c r="T61" s="302"/>
      <c r="U61" s="302"/>
      <c r="V61" s="303"/>
      <c r="W61" s="303"/>
      <c r="X61" s="303"/>
      <c r="Y61" s="301" t="s">
        <v>303</v>
      </c>
      <c r="Z61" s="325">
        <f>Z62+Z69</f>
        <v>782266.15</v>
      </c>
      <c r="AA61" s="326">
        <f>AA62+AA69</f>
        <v>879500</v>
      </c>
      <c r="AB61" s="178"/>
      <c r="AC61" s="178"/>
      <c r="AD61" s="273" t="s">
        <v>303</v>
      </c>
    </row>
    <row r="62" spans="1:32" ht="86.25" customHeight="1" x14ac:dyDescent="0.3">
      <c r="A62" s="301" t="s">
        <v>243</v>
      </c>
      <c r="B62" s="302" t="s">
        <v>11</v>
      </c>
      <c r="C62" s="302" t="s">
        <v>114</v>
      </c>
      <c r="D62" s="302" t="s">
        <v>118</v>
      </c>
      <c r="E62" s="302"/>
      <c r="F62" s="302"/>
      <c r="G62" s="302"/>
      <c r="H62" s="302"/>
      <c r="I62" s="302"/>
      <c r="J62" s="302"/>
      <c r="K62" s="302"/>
      <c r="L62" s="302"/>
      <c r="M62" s="302"/>
      <c r="N62" s="302"/>
      <c r="O62" s="302"/>
      <c r="P62" s="302"/>
      <c r="Q62" s="302"/>
      <c r="R62" s="302"/>
      <c r="S62" s="302"/>
      <c r="T62" s="302"/>
      <c r="U62" s="302"/>
      <c r="V62" s="303"/>
      <c r="W62" s="303"/>
      <c r="X62" s="303"/>
      <c r="Y62" s="301" t="s">
        <v>243</v>
      </c>
      <c r="Z62" s="325">
        <f>Z63+Z65</f>
        <v>550000</v>
      </c>
      <c r="AA62" s="326">
        <f>AA63+AA65+AA67</f>
        <v>877500</v>
      </c>
      <c r="AB62" s="178"/>
      <c r="AC62" s="178"/>
      <c r="AD62" s="273" t="s">
        <v>243</v>
      </c>
      <c r="AF62" s="274"/>
    </row>
    <row r="63" spans="1:32" ht="256.5" customHeight="1" x14ac:dyDescent="0.3">
      <c r="A63" s="311" t="s">
        <v>603</v>
      </c>
      <c r="B63" s="216" t="s">
        <v>11</v>
      </c>
      <c r="C63" s="216" t="s">
        <v>114</v>
      </c>
      <c r="D63" s="216" t="s">
        <v>118</v>
      </c>
      <c r="E63" s="216" t="s">
        <v>604</v>
      </c>
      <c r="F63" s="216"/>
      <c r="G63" s="216"/>
      <c r="H63" s="216"/>
      <c r="I63" s="216"/>
      <c r="J63" s="216"/>
      <c r="K63" s="216"/>
      <c r="L63" s="216"/>
      <c r="M63" s="216"/>
      <c r="N63" s="216"/>
      <c r="O63" s="216"/>
      <c r="P63" s="216"/>
      <c r="Q63" s="216"/>
      <c r="R63" s="216"/>
      <c r="S63" s="216"/>
      <c r="T63" s="216"/>
      <c r="U63" s="216"/>
      <c r="V63" s="312"/>
      <c r="W63" s="312"/>
      <c r="X63" s="312"/>
      <c r="Y63" s="311" t="s">
        <v>304</v>
      </c>
      <c r="Z63" s="313">
        <v>500000</v>
      </c>
      <c r="AA63" s="321">
        <f>AA64</f>
        <v>165000</v>
      </c>
      <c r="AB63" s="276"/>
      <c r="AC63" s="276"/>
      <c r="AD63" s="277" t="s">
        <v>304</v>
      </c>
    </row>
    <row r="64" spans="1:32" ht="138.75" customHeight="1" x14ac:dyDescent="0.3">
      <c r="A64" s="311" t="s">
        <v>305</v>
      </c>
      <c r="B64" s="316" t="s">
        <v>11</v>
      </c>
      <c r="C64" s="316" t="s">
        <v>114</v>
      </c>
      <c r="D64" s="316" t="s">
        <v>118</v>
      </c>
      <c r="E64" s="216" t="s">
        <v>604</v>
      </c>
      <c r="F64" s="316"/>
      <c r="G64" s="316"/>
      <c r="H64" s="316"/>
      <c r="I64" s="316"/>
      <c r="J64" s="316"/>
      <c r="K64" s="316"/>
      <c r="L64" s="316"/>
      <c r="M64" s="316"/>
      <c r="N64" s="316"/>
      <c r="O64" s="316"/>
      <c r="P64" s="316"/>
      <c r="Q64" s="316"/>
      <c r="R64" s="316"/>
      <c r="S64" s="316"/>
      <c r="T64" s="316" t="s">
        <v>281</v>
      </c>
      <c r="U64" s="316"/>
      <c r="V64" s="317"/>
      <c r="W64" s="317"/>
      <c r="X64" s="317"/>
      <c r="Y64" s="324" t="s">
        <v>305</v>
      </c>
      <c r="Z64" s="322">
        <v>500000</v>
      </c>
      <c r="AA64" s="319">
        <f>250000+265000-250000-100000</f>
        <v>165000</v>
      </c>
      <c r="AB64" s="177"/>
      <c r="AC64" s="177"/>
      <c r="AD64" s="279" t="s">
        <v>305</v>
      </c>
      <c r="AF64" s="274"/>
    </row>
    <row r="65" spans="1:32" ht="194.25" customHeight="1" x14ac:dyDescent="0.3">
      <c r="A65" s="311" t="s">
        <v>605</v>
      </c>
      <c r="B65" s="216" t="s">
        <v>11</v>
      </c>
      <c r="C65" s="216" t="s">
        <v>114</v>
      </c>
      <c r="D65" s="216" t="s">
        <v>118</v>
      </c>
      <c r="E65" s="216" t="s">
        <v>606</v>
      </c>
      <c r="F65" s="216"/>
      <c r="G65" s="216"/>
      <c r="H65" s="216"/>
      <c r="I65" s="216"/>
      <c r="J65" s="216"/>
      <c r="K65" s="216"/>
      <c r="L65" s="216"/>
      <c r="M65" s="216"/>
      <c r="N65" s="216"/>
      <c r="O65" s="216"/>
      <c r="P65" s="216"/>
      <c r="Q65" s="216"/>
      <c r="R65" s="216"/>
      <c r="S65" s="216"/>
      <c r="T65" s="216"/>
      <c r="U65" s="216"/>
      <c r="V65" s="312"/>
      <c r="W65" s="312"/>
      <c r="X65" s="312"/>
      <c r="Y65" s="311" t="s">
        <v>306</v>
      </c>
      <c r="Z65" s="313">
        <v>50000</v>
      </c>
      <c r="AA65" s="321">
        <f>AA66</f>
        <v>462500</v>
      </c>
      <c r="AB65" s="276"/>
      <c r="AC65" s="276"/>
      <c r="AD65" s="277" t="s">
        <v>306</v>
      </c>
    </row>
    <row r="66" spans="1:32" ht="93" customHeight="1" x14ac:dyDescent="0.3">
      <c r="A66" s="311" t="s">
        <v>307</v>
      </c>
      <c r="B66" s="316" t="s">
        <v>11</v>
      </c>
      <c r="C66" s="316" t="s">
        <v>114</v>
      </c>
      <c r="D66" s="316" t="s">
        <v>118</v>
      </c>
      <c r="E66" s="216" t="s">
        <v>606</v>
      </c>
      <c r="F66" s="316"/>
      <c r="G66" s="316"/>
      <c r="H66" s="316"/>
      <c r="I66" s="316"/>
      <c r="J66" s="316"/>
      <c r="K66" s="316"/>
      <c r="L66" s="316"/>
      <c r="M66" s="316"/>
      <c r="N66" s="316"/>
      <c r="O66" s="316"/>
      <c r="P66" s="316"/>
      <c r="Q66" s="316"/>
      <c r="R66" s="316"/>
      <c r="S66" s="316"/>
      <c r="T66" s="316" t="s">
        <v>281</v>
      </c>
      <c r="U66" s="316"/>
      <c r="V66" s="317"/>
      <c r="W66" s="317"/>
      <c r="X66" s="317"/>
      <c r="Y66" s="324" t="s">
        <v>307</v>
      </c>
      <c r="Z66" s="322">
        <v>50000</v>
      </c>
      <c r="AA66" s="319">
        <f>62500+150000+250000</f>
        <v>462500</v>
      </c>
      <c r="AB66" s="177"/>
      <c r="AC66" s="177"/>
      <c r="AD66" s="279" t="s">
        <v>307</v>
      </c>
      <c r="AF66" s="274"/>
    </row>
    <row r="67" spans="1:32" ht="200.25" customHeight="1" x14ac:dyDescent="0.3">
      <c r="A67" s="331" t="s">
        <v>914</v>
      </c>
      <c r="B67" s="316" t="s">
        <v>11</v>
      </c>
      <c r="C67" s="316" t="s">
        <v>114</v>
      </c>
      <c r="D67" s="316" t="s">
        <v>118</v>
      </c>
      <c r="E67" s="216" t="s">
        <v>916</v>
      </c>
      <c r="F67" s="316"/>
      <c r="G67" s="316"/>
      <c r="H67" s="316"/>
      <c r="I67" s="316"/>
      <c r="J67" s="316"/>
      <c r="K67" s="316"/>
      <c r="L67" s="316"/>
      <c r="M67" s="316"/>
      <c r="N67" s="316"/>
      <c r="O67" s="316"/>
      <c r="P67" s="316"/>
      <c r="Q67" s="316"/>
      <c r="R67" s="316"/>
      <c r="S67" s="316"/>
      <c r="T67" s="316"/>
      <c r="U67" s="316"/>
      <c r="V67" s="317"/>
      <c r="W67" s="317"/>
      <c r="X67" s="317"/>
      <c r="Y67" s="324"/>
      <c r="Z67" s="322"/>
      <c r="AA67" s="319">
        <f>AA68</f>
        <v>250000</v>
      </c>
      <c r="AB67" s="177"/>
      <c r="AC67" s="177"/>
      <c r="AD67" s="279"/>
      <c r="AF67" s="274"/>
    </row>
    <row r="68" spans="1:32" ht="278.25" customHeight="1" x14ac:dyDescent="0.3">
      <c r="A68" s="315" t="s">
        <v>915</v>
      </c>
      <c r="B68" s="316" t="s">
        <v>11</v>
      </c>
      <c r="C68" s="316" t="s">
        <v>114</v>
      </c>
      <c r="D68" s="316" t="s">
        <v>118</v>
      </c>
      <c r="E68" s="216" t="s">
        <v>916</v>
      </c>
      <c r="F68" s="316"/>
      <c r="G68" s="316"/>
      <c r="H68" s="316"/>
      <c r="I68" s="316"/>
      <c r="J68" s="316"/>
      <c r="K68" s="316"/>
      <c r="L68" s="316"/>
      <c r="M68" s="316"/>
      <c r="N68" s="316"/>
      <c r="O68" s="316"/>
      <c r="P68" s="316"/>
      <c r="Q68" s="316"/>
      <c r="R68" s="316"/>
      <c r="S68" s="316"/>
      <c r="T68" s="316" t="s">
        <v>281</v>
      </c>
      <c r="U68" s="316"/>
      <c r="V68" s="317"/>
      <c r="W68" s="317"/>
      <c r="X68" s="317"/>
      <c r="Y68" s="324"/>
      <c r="Z68" s="322"/>
      <c r="AA68" s="319">
        <v>250000</v>
      </c>
      <c r="AB68" s="177"/>
      <c r="AC68" s="177"/>
      <c r="AD68" s="279"/>
      <c r="AF68" s="274"/>
    </row>
    <row r="69" spans="1:32" ht="39.75" customHeight="1" x14ac:dyDescent="0.3">
      <c r="A69" s="333" t="s">
        <v>135</v>
      </c>
      <c r="B69" s="302" t="s">
        <v>11</v>
      </c>
      <c r="C69" s="302" t="s">
        <v>114</v>
      </c>
      <c r="D69" s="302" t="s">
        <v>134</v>
      </c>
      <c r="E69" s="316"/>
      <c r="F69" s="316"/>
      <c r="G69" s="316"/>
      <c r="H69" s="316"/>
      <c r="I69" s="316"/>
      <c r="J69" s="316"/>
      <c r="K69" s="316"/>
      <c r="L69" s="316"/>
      <c r="M69" s="316"/>
      <c r="N69" s="316"/>
      <c r="O69" s="316"/>
      <c r="P69" s="316"/>
      <c r="Q69" s="316"/>
      <c r="R69" s="316"/>
      <c r="S69" s="316"/>
      <c r="T69" s="316"/>
      <c r="U69" s="316"/>
      <c r="V69" s="317"/>
      <c r="W69" s="317"/>
      <c r="X69" s="317"/>
      <c r="Y69" s="315"/>
      <c r="Z69" s="322">
        <f>Z70</f>
        <v>232266.15</v>
      </c>
      <c r="AA69" s="319">
        <f>AA70</f>
        <v>2000</v>
      </c>
      <c r="AB69" s="177"/>
      <c r="AC69" s="177"/>
      <c r="AD69" s="278"/>
    </row>
    <row r="70" spans="1:32" ht="125.25" customHeight="1" x14ac:dyDescent="0.3">
      <c r="A70" s="331" t="s">
        <v>607</v>
      </c>
      <c r="B70" s="316" t="s">
        <v>11</v>
      </c>
      <c r="C70" s="316" t="s">
        <v>114</v>
      </c>
      <c r="D70" s="316" t="s">
        <v>134</v>
      </c>
      <c r="E70" s="216" t="s">
        <v>608</v>
      </c>
      <c r="F70" s="316"/>
      <c r="G70" s="316"/>
      <c r="H70" s="316"/>
      <c r="I70" s="316"/>
      <c r="J70" s="316"/>
      <c r="K70" s="316"/>
      <c r="L70" s="316"/>
      <c r="M70" s="316"/>
      <c r="N70" s="316"/>
      <c r="O70" s="316"/>
      <c r="P70" s="316"/>
      <c r="Q70" s="316"/>
      <c r="R70" s="316"/>
      <c r="S70" s="316"/>
      <c r="T70" s="316"/>
      <c r="U70" s="316"/>
      <c r="V70" s="317"/>
      <c r="W70" s="317"/>
      <c r="X70" s="317"/>
      <c r="Y70" s="315"/>
      <c r="Z70" s="322">
        <f>Z71</f>
        <v>232266.15</v>
      </c>
      <c r="AA70" s="319">
        <f>AA71</f>
        <v>2000</v>
      </c>
      <c r="AB70" s="177"/>
      <c r="AC70" s="177"/>
      <c r="AD70" s="278"/>
    </row>
    <row r="71" spans="1:32" ht="129" customHeight="1" x14ac:dyDescent="0.3">
      <c r="A71" s="315" t="s">
        <v>536</v>
      </c>
      <c r="B71" s="316" t="s">
        <v>11</v>
      </c>
      <c r="C71" s="316" t="s">
        <v>114</v>
      </c>
      <c r="D71" s="316" t="s">
        <v>134</v>
      </c>
      <c r="E71" s="216" t="s">
        <v>608</v>
      </c>
      <c r="F71" s="316"/>
      <c r="G71" s="316"/>
      <c r="H71" s="316"/>
      <c r="I71" s="316"/>
      <c r="J71" s="316"/>
      <c r="K71" s="316"/>
      <c r="L71" s="316"/>
      <c r="M71" s="316"/>
      <c r="N71" s="316"/>
      <c r="O71" s="316"/>
      <c r="P71" s="316"/>
      <c r="Q71" s="316"/>
      <c r="R71" s="316"/>
      <c r="S71" s="316"/>
      <c r="T71" s="316" t="s">
        <v>281</v>
      </c>
      <c r="U71" s="316"/>
      <c r="V71" s="317"/>
      <c r="W71" s="317"/>
      <c r="X71" s="317"/>
      <c r="Y71" s="315"/>
      <c r="Z71" s="322">
        <v>232266.15</v>
      </c>
      <c r="AA71" s="319">
        <f>74200+140202.11-212402.11</f>
        <v>2000</v>
      </c>
      <c r="AB71" s="177"/>
      <c r="AC71" s="177"/>
      <c r="AD71" s="278"/>
      <c r="AF71" s="274"/>
    </row>
    <row r="72" spans="1:32" ht="31.5" customHeight="1" x14ac:dyDescent="0.3">
      <c r="A72" s="301" t="s">
        <v>308</v>
      </c>
      <c r="B72" s="302" t="s">
        <v>11</v>
      </c>
      <c r="C72" s="302" t="s">
        <v>127</v>
      </c>
      <c r="D72" s="302" t="s">
        <v>124</v>
      </c>
      <c r="E72" s="302"/>
      <c r="F72" s="302"/>
      <c r="G72" s="302"/>
      <c r="H72" s="302"/>
      <c r="I72" s="302"/>
      <c r="J72" s="302"/>
      <c r="K72" s="302"/>
      <c r="L72" s="302"/>
      <c r="M72" s="302"/>
      <c r="N72" s="302"/>
      <c r="O72" s="302"/>
      <c r="P72" s="302"/>
      <c r="Q72" s="302"/>
      <c r="R72" s="302"/>
      <c r="S72" s="302"/>
      <c r="T72" s="302"/>
      <c r="U72" s="302"/>
      <c r="V72" s="303"/>
      <c r="W72" s="303"/>
      <c r="X72" s="303"/>
      <c r="Y72" s="301" t="s">
        <v>308</v>
      </c>
      <c r="Z72" s="325">
        <f>Z73+Z92+Z97+Z121+Z114</f>
        <v>7182785.8399999999</v>
      </c>
      <c r="AA72" s="305">
        <f>AA73+AA92+AA97+AA121+AA114</f>
        <v>9949455.5700000003</v>
      </c>
      <c r="AB72" s="178"/>
      <c r="AC72" s="178"/>
      <c r="AD72" s="273" t="s">
        <v>308</v>
      </c>
      <c r="AF72" s="274"/>
    </row>
    <row r="73" spans="1:32" ht="37.15" customHeight="1" x14ac:dyDescent="0.3">
      <c r="A73" s="301" t="s">
        <v>138</v>
      </c>
      <c r="B73" s="302" t="s">
        <v>11</v>
      </c>
      <c r="C73" s="302" t="s">
        <v>127</v>
      </c>
      <c r="D73" s="302" t="s">
        <v>115</v>
      </c>
      <c r="E73" s="302"/>
      <c r="F73" s="302"/>
      <c r="G73" s="302"/>
      <c r="H73" s="302"/>
      <c r="I73" s="302"/>
      <c r="J73" s="302"/>
      <c r="K73" s="302"/>
      <c r="L73" s="302"/>
      <c r="M73" s="302"/>
      <c r="N73" s="302"/>
      <c r="O73" s="302"/>
      <c r="P73" s="302"/>
      <c r="Q73" s="302"/>
      <c r="R73" s="302"/>
      <c r="S73" s="302"/>
      <c r="T73" s="302"/>
      <c r="U73" s="302"/>
      <c r="V73" s="303"/>
      <c r="W73" s="303"/>
      <c r="X73" s="303"/>
      <c r="Y73" s="301" t="s">
        <v>138</v>
      </c>
      <c r="Z73" s="325">
        <f>Z74+Z76+Z78+Z80+Z82+Z84+Z86+Z88+Z90</f>
        <v>616250</v>
      </c>
      <c r="AA73" s="326">
        <f>AA74+AA76+AA78+AA80+AA82+AA84+AA86+AA88+AA90</f>
        <v>248800</v>
      </c>
      <c r="AB73" s="178"/>
      <c r="AC73" s="178"/>
      <c r="AD73" s="273" t="s">
        <v>138</v>
      </c>
      <c r="AF73" s="274"/>
    </row>
    <row r="74" spans="1:32" ht="164.25" customHeight="1" x14ac:dyDescent="0.3">
      <c r="A74" s="311" t="s">
        <v>609</v>
      </c>
      <c r="B74" s="216" t="s">
        <v>11</v>
      </c>
      <c r="C74" s="216" t="s">
        <v>127</v>
      </c>
      <c r="D74" s="216" t="s">
        <v>115</v>
      </c>
      <c r="E74" s="216" t="s">
        <v>610</v>
      </c>
      <c r="F74" s="216"/>
      <c r="G74" s="216"/>
      <c r="H74" s="216"/>
      <c r="I74" s="216"/>
      <c r="J74" s="216"/>
      <c r="K74" s="216"/>
      <c r="L74" s="216"/>
      <c r="M74" s="216"/>
      <c r="N74" s="216"/>
      <c r="O74" s="216"/>
      <c r="P74" s="216"/>
      <c r="Q74" s="216"/>
      <c r="R74" s="216"/>
      <c r="S74" s="216"/>
      <c r="T74" s="216"/>
      <c r="U74" s="216"/>
      <c r="V74" s="312"/>
      <c r="W74" s="312"/>
      <c r="X74" s="312"/>
      <c r="Y74" s="311" t="s">
        <v>309</v>
      </c>
      <c r="Z74" s="313">
        <f>Z75</f>
        <v>69000</v>
      </c>
      <c r="AA74" s="321">
        <f>AA75</f>
        <v>0</v>
      </c>
      <c r="AB74" s="276"/>
      <c r="AC74" s="276"/>
      <c r="AD74" s="277" t="s">
        <v>309</v>
      </c>
      <c r="AF74" s="274"/>
    </row>
    <row r="75" spans="1:32" ht="126.75" customHeight="1" x14ac:dyDescent="0.3">
      <c r="A75" s="324" t="s">
        <v>310</v>
      </c>
      <c r="B75" s="316" t="s">
        <v>11</v>
      </c>
      <c r="C75" s="316" t="s">
        <v>127</v>
      </c>
      <c r="D75" s="316" t="s">
        <v>115</v>
      </c>
      <c r="E75" s="216" t="s">
        <v>610</v>
      </c>
      <c r="F75" s="316"/>
      <c r="G75" s="316"/>
      <c r="H75" s="316"/>
      <c r="I75" s="316"/>
      <c r="J75" s="316"/>
      <c r="K75" s="316"/>
      <c r="L75" s="316"/>
      <c r="M75" s="316"/>
      <c r="N75" s="316"/>
      <c r="O75" s="316"/>
      <c r="P75" s="316"/>
      <c r="Q75" s="316"/>
      <c r="R75" s="316"/>
      <c r="S75" s="316"/>
      <c r="T75" s="316" t="s">
        <v>281</v>
      </c>
      <c r="U75" s="316"/>
      <c r="V75" s="317"/>
      <c r="W75" s="317"/>
      <c r="X75" s="317"/>
      <c r="Y75" s="324" t="s">
        <v>310</v>
      </c>
      <c r="Z75" s="322">
        <f>50000+19000</f>
        <v>69000</v>
      </c>
      <c r="AA75" s="319">
        <f>73140-73140</f>
        <v>0</v>
      </c>
      <c r="AB75" s="177"/>
      <c r="AC75" s="177"/>
      <c r="AD75" s="279" t="s">
        <v>310</v>
      </c>
      <c r="AF75" s="274"/>
    </row>
    <row r="76" spans="1:32" ht="137.25" customHeight="1" x14ac:dyDescent="0.3">
      <c r="A76" s="311" t="s">
        <v>611</v>
      </c>
      <c r="B76" s="216" t="s">
        <v>11</v>
      </c>
      <c r="C76" s="216" t="s">
        <v>127</v>
      </c>
      <c r="D76" s="216" t="s">
        <v>115</v>
      </c>
      <c r="E76" s="216" t="s">
        <v>612</v>
      </c>
      <c r="F76" s="216"/>
      <c r="G76" s="216"/>
      <c r="H76" s="216"/>
      <c r="I76" s="216"/>
      <c r="J76" s="216"/>
      <c r="K76" s="216"/>
      <c r="L76" s="216"/>
      <c r="M76" s="216"/>
      <c r="N76" s="216"/>
      <c r="O76" s="216"/>
      <c r="P76" s="216"/>
      <c r="Q76" s="216"/>
      <c r="R76" s="216"/>
      <c r="S76" s="216"/>
      <c r="T76" s="216"/>
      <c r="U76" s="216"/>
      <c r="V76" s="312"/>
      <c r="W76" s="312"/>
      <c r="X76" s="312"/>
      <c r="Y76" s="311" t="s">
        <v>311</v>
      </c>
      <c r="Z76" s="313">
        <v>100000</v>
      </c>
      <c r="AA76" s="321">
        <f>AA77</f>
        <v>120000</v>
      </c>
      <c r="AB76" s="276"/>
      <c r="AC76" s="276"/>
      <c r="AD76" s="277" t="s">
        <v>311</v>
      </c>
    </row>
    <row r="77" spans="1:32" ht="111.75" customHeight="1" x14ac:dyDescent="0.3">
      <c r="A77" s="355" t="s">
        <v>312</v>
      </c>
      <c r="B77" s="328" t="s">
        <v>11</v>
      </c>
      <c r="C77" s="328" t="s">
        <v>127</v>
      </c>
      <c r="D77" s="328" t="s">
        <v>115</v>
      </c>
      <c r="E77" s="296" t="s">
        <v>612</v>
      </c>
      <c r="F77" s="328"/>
      <c r="G77" s="328"/>
      <c r="H77" s="328"/>
      <c r="I77" s="328"/>
      <c r="J77" s="328"/>
      <c r="K77" s="328"/>
      <c r="L77" s="328"/>
      <c r="M77" s="328"/>
      <c r="N77" s="328"/>
      <c r="O77" s="328"/>
      <c r="P77" s="328"/>
      <c r="Q77" s="328"/>
      <c r="R77" s="328"/>
      <c r="S77" s="328"/>
      <c r="T77" s="328" t="s">
        <v>281</v>
      </c>
      <c r="U77" s="328"/>
      <c r="V77" s="329"/>
      <c r="W77" s="329"/>
      <c r="X77" s="329"/>
      <c r="Y77" s="355" t="s">
        <v>312</v>
      </c>
      <c r="Z77" s="330">
        <v>100000</v>
      </c>
      <c r="AA77" s="393">
        <f>106000+14000</f>
        <v>120000</v>
      </c>
      <c r="AB77" s="177"/>
      <c r="AC77" s="177"/>
      <c r="AD77" s="279" t="s">
        <v>312</v>
      </c>
      <c r="AF77" s="274"/>
    </row>
    <row r="78" spans="1:32" ht="167.25" customHeight="1" x14ac:dyDescent="0.3">
      <c r="A78" s="311" t="s">
        <v>613</v>
      </c>
      <c r="B78" s="216" t="s">
        <v>11</v>
      </c>
      <c r="C78" s="216" t="s">
        <v>127</v>
      </c>
      <c r="D78" s="216" t="s">
        <v>115</v>
      </c>
      <c r="E78" s="216" t="s">
        <v>614</v>
      </c>
      <c r="F78" s="216"/>
      <c r="G78" s="216"/>
      <c r="H78" s="216"/>
      <c r="I78" s="216"/>
      <c r="J78" s="216"/>
      <c r="K78" s="216"/>
      <c r="L78" s="216"/>
      <c r="M78" s="216"/>
      <c r="N78" s="216"/>
      <c r="O78" s="216"/>
      <c r="P78" s="216"/>
      <c r="Q78" s="216"/>
      <c r="R78" s="216"/>
      <c r="S78" s="216"/>
      <c r="T78" s="216"/>
      <c r="U78" s="216"/>
      <c r="V78" s="312"/>
      <c r="W78" s="312"/>
      <c r="X78" s="312"/>
      <c r="Y78" s="311" t="s">
        <v>313</v>
      </c>
      <c r="Z78" s="313">
        <f>Z79</f>
        <v>181000</v>
      </c>
      <c r="AA78" s="314">
        <f>AA79</f>
        <v>87000</v>
      </c>
      <c r="AB78" s="276"/>
      <c r="AC78" s="276"/>
      <c r="AD78" s="277" t="s">
        <v>313</v>
      </c>
    </row>
    <row r="79" spans="1:32" ht="120.75" customHeight="1" x14ac:dyDescent="0.3">
      <c r="A79" s="355" t="s">
        <v>314</v>
      </c>
      <c r="B79" s="328" t="s">
        <v>11</v>
      </c>
      <c r="C79" s="328" t="s">
        <v>127</v>
      </c>
      <c r="D79" s="328" t="s">
        <v>115</v>
      </c>
      <c r="E79" s="296" t="s">
        <v>614</v>
      </c>
      <c r="F79" s="328"/>
      <c r="G79" s="328"/>
      <c r="H79" s="328"/>
      <c r="I79" s="328"/>
      <c r="J79" s="328"/>
      <c r="K79" s="328"/>
      <c r="L79" s="328"/>
      <c r="M79" s="328"/>
      <c r="N79" s="328"/>
      <c r="O79" s="328"/>
      <c r="P79" s="328"/>
      <c r="Q79" s="328"/>
      <c r="R79" s="328"/>
      <c r="S79" s="328"/>
      <c r="T79" s="328" t="s">
        <v>281</v>
      </c>
      <c r="U79" s="328"/>
      <c r="V79" s="329"/>
      <c r="W79" s="329"/>
      <c r="X79" s="329"/>
      <c r="Y79" s="355" t="s">
        <v>314</v>
      </c>
      <c r="Z79" s="330">
        <f>200000-19000</f>
        <v>181000</v>
      </c>
      <c r="AA79" s="428">
        <f>181000-80000-14000</f>
        <v>87000</v>
      </c>
      <c r="AB79" s="177"/>
      <c r="AC79" s="177"/>
      <c r="AD79" s="279" t="s">
        <v>314</v>
      </c>
      <c r="AF79" s="274"/>
    </row>
    <row r="80" spans="1:32" ht="135.75" customHeight="1" x14ac:dyDescent="0.3">
      <c r="A80" s="311" t="s">
        <v>615</v>
      </c>
      <c r="B80" s="216" t="s">
        <v>11</v>
      </c>
      <c r="C80" s="216" t="s">
        <v>127</v>
      </c>
      <c r="D80" s="216" t="s">
        <v>115</v>
      </c>
      <c r="E80" s="216" t="s">
        <v>616</v>
      </c>
      <c r="F80" s="216"/>
      <c r="G80" s="216"/>
      <c r="H80" s="216"/>
      <c r="I80" s="216"/>
      <c r="J80" s="216"/>
      <c r="K80" s="216"/>
      <c r="L80" s="216"/>
      <c r="M80" s="216"/>
      <c r="N80" s="216"/>
      <c r="O80" s="216"/>
      <c r="P80" s="216"/>
      <c r="Q80" s="216"/>
      <c r="R80" s="216"/>
      <c r="S80" s="216"/>
      <c r="T80" s="216"/>
      <c r="U80" s="216"/>
      <c r="V80" s="312"/>
      <c r="W80" s="312"/>
      <c r="X80" s="312"/>
      <c r="Y80" s="311" t="s">
        <v>315</v>
      </c>
      <c r="Z80" s="313">
        <f>Z81</f>
        <v>50000</v>
      </c>
      <c r="AA80" s="314">
        <f>AA81</f>
        <v>10000</v>
      </c>
      <c r="AB80" s="276"/>
      <c r="AC80" s="276"/>
      <c r="AD80" s="277" t="s">
        <v>315</v>
      </c>
    </row>
    <row r="81" spans="1:32" ht="114" customHeight="1" x14ac:dyDescent="0.3">
      <c r="A81" s="324" t="s">
        <v>316</v>
      </c>
      <c r="B81" s="316" t="s">
        <v>11</v>
      </c>
      <c r="C81" s="316" t="s">
        <v>127</v>
      </c>
      <c r="D81" s="316" t="s">
        <v>115</v>
      </c>
      <c r="E81" s="216" t="s">
        <v>616</v>
      </c>
      <c r="F81" s="316"/>
      <c r="G81" s="316"/>
      <c r="H81" s="316"/>
      <c r="I81" s="316"/>
      <c r="J81" s="316"/>
      <c r="K81" s="316"/>
      <c r="L81" s="316"/>
      <c r="M81" s="316"/>
      <c r="N81" s="316"/>
      <c r="O81" s="316"/>
      <c r="P81" s="316"/>
      <c r="Q81" s="316"/>
      <c r="R81" s="316"/>
      <c r="S81" s="316"/>
      <c r="T81" s="316" t="s">
        <v>281</v>
      </c>
      <c r="U81" s="316"/>
      <c r="V81" s="317"/>
      <c r="W81" s="317"/>
      <c r="X81" s="317"/>
      <c r="Y81" s="324" t="s">
        <v>316</v>
      </c>
      <c r="Z81" s="322">
        <f>70000-20000</f>
        <v>50000</v>
      </c>
      <c r="AA81" s="319">
        <f>53000-28000-15000</f>
        <v>10000</v>
      </c>
      <c r="AB81" s="177"/>
      <c r="AC81" s="177"/>
      <c r="AD81" s="279" t="s">
        <v>316</v>
      </c>
      <c r="AF81" s="274"/>
    </row>
    <row r="82" spans="1:32" ht="122.25" customHeight="1" x14ac:dyDescent="0.3">
      <c r="A82" s="311" t="s">
        <v>617</v>
      </c>
      <c r="B82" s="216" t="s">
        <v>11</v>
      </c>
      <c r="C82" s="216" t="s">
        <v>127</v>
      </c>
      <c r="D82" s="216" t="s">
        <v>115</v>
      </c>
      <c r="E82" s="216" t="s">
        <v>618</v>
      </c>
      <c r="F82" s="216"/>
      <c r="G82" s="216"/>
      <c r="H82" s="216"/>
      <c r="I82" s="216"/>
      <c r="J82" s="216"/>
      <c r="K82" s="216"/>
      <c r="L82" s="216"/>
      <c r="M82" s="216"/>
      <c r="N82" s="216"/>
      <c r="O82" s="216"/>
      <c r="P82" s="216"/>
      <c r="Q82" s="216"/>
      <c r="R82" s="216"/>
      <c r="S82" s="216"/>
      <c r="T82" s="216"/>
      <c r="U82" s="216"/>
      <c r="V82" s="312"/>
      <c r="W82" s="312"/>
      <c r="X82" s="312"/>
      <c r="Y82" s="311" t="s">
        <v>317</v>
      </c>
      <c r="Z82" s="313">
        <f>Z83</f>
        <v>0</v>
      </c>
      <c r="AA82" s="314">
        <f>AA83</f>
        <v>0</v>
      </c>
      <c r="AB82" s="276"/>
      <c r="AC82" s="276"/>
      <c r="AD82" s="277" t="s">
        <v>317</v>
      </c>
    </row>
    <row r="83" spans="1:32" ht="97.5" customHeight="1" x14ac:dyDescent="0.3">
      <c r="A83" s="324" t="s">
        <v>318</v>
      </c>
      <c r="B83" s="316" t="s">
        <v>11</v>
      </c>
      <c r="C83" s="316" t="s">
        <v>127</v>
      </c>
      <c r="D83" s="316" t="s">
        <v>115</v>
      </c>
      <c r="E83" s="216" t="s">
        <v>618</v>
      </c>
      <c r="F83" s="316"/>
      <c r="G83" s="316"/>
      <c r="H83" s="316"/>
      <c r="I83" s="316"/>
      <c r="J83" s="316"/>
      <c r="K83" s="316"/>
      <c r="L83" s="316"/>
      <c r="M83" s="316"/>
      <c r="N83" s="316"/>
      <c r="O83" s="316"/>
      <c r="P83" s="316"/>
      <c r="Q83" s="316"/>
      <c r="R83" s="316"/>
      <c r="S83" s="316"/>
      <c r="T83" s="316" t="s">
        <v>281</v>
      </c>
      <c r="U83" s="316"/>
      <c r="V83" s="317"/>
      <c r="W83" s="317"/>
      <c r="X83" s="317"/>
      <c r="Y83" s="324" t="s">
        <v>318</v>
      </c>
      <c r="Z83" s="322">
        <f>30000-30000</f>
        <v>0</v>
      </c>
      <c r="AA83" s="334">
        <f>30000-30000</f>
        <v>0</v>
      </c>
      <c r="AB83" s="177"/>
      <c r="AC83" s="177"/>
      <c r="AD83" s="279" t="s">
        <v>318</v>
      </c>
      <c r="AF83" s="274"/>
    </row>
    <row r="84" spans="1:32" ht="152.25" customHeight="1" x14ac:dyDescent="0.3">
      <c r="A84" s="311" t="s">
        <v>619</v>
      </c>
      <c r="B84" s="216" t="s">
        <v>11</v>
      </c>
      <c r="C84" s="216" t="s">
        <v>127</v>
      </c>
      <c r="D84" s="216" t="s">
        <v>115</v>
      </c>
      <c r="E84" s="216" t="s">
        <v>620</v>
      </c>
      <c r="F84" s="216"/>
      <c r="G84" s="216"/>
      <c r="H84" s="216"/>
      <c r="I84" s="216"/>
      <c r="J84" s="216"/>
      <c r="K84" s="216"/>
      <c r="L84" s="216"/>
      <c r="M84" s="216"/>
      <c r="N84" s="216"/>
      <c r="O84" s="216"/>
      <c r="P84" s="216"/>
      <c r="Q84" s="216"/>
      <c r="R84" s="216"/>
      <c r="S84" s="216"/>
      <c r="T84" s="216"/>
      <c r="U84" s="216"/>
      <c r="V84" s="312"/>
      <c r="W84" s="312"/>
      <c r="X84" s="312"/>
      <c r="Y84" s="311" t="s">
        <v>319</v>
      </c>
      <c r="Z84" s="313">
        <f>Z85</f>
        <v>0</v>
      </c>
      <c r="AA84" s="314">
        <f>AA85</f>
        <v>0</v>
      </c>
      <c r="AB84" s="276"/>
      <c r="AC84" s="276"/>
      <c r="AD84" s="277" t="s">
        <v>319</v>
      </c>
    </row>
    <row r="85" spans="1:32" ht="129.75" customHeight="1" x14ac:dyDescent="0.3">
      <c r="A85" s="324" t="s">
        <v>320</v>
      </c>
      <c r="B85" s="316" t="s">
        <v>11</v>
      </c>
      <c r="C85" s="316" t="s">
        <v>127</v>
      </c>
      <c r="D85" s="316" t="s">
        <v>115</v>
      </c>
      <c r="E85" s="216" t="s">
        <v>620</v>
      </c>
      <c r="F85" s="316"/>
      <c r="G85" s="316"/>
      <c r="H85" s="316"/>
      <c r="I85" s="316"/>
      <c r="J85" s="316"/>
      <c r="K85" s="316"/>
      <c r="L85" s="316"/>
      <c r="M85" s="316"/>
      <c r="N85" s="316"/>
      <c r="O85" s="316"/>
      <c r="P85" s="316"/>
      <c r="Q85" s="316"/>
      <c r="R85" s="316"/>
      <c r="S85" s="316"/>
      <c r="T85" s="316" t="s">
        <v>281</v>
      </c>
      <c r="U85" s="316"/>
      <c r="V85" s="317"/>
      <c r="W85" s="317"/>
      <c r="X85" s="317"/>
      <c r="Y85" s="324" t="s">
        <v>320</v>
      </c>
      <c r="Z85" s="322">
        <f>30000+30000-60000</f>
        <v>0</v>
      </c>
      <c r="AA85" s="334">
        <f>30000-30000</f>
        <v>0</v>
      </c>
      <c r="AB85" s="177"/>
      <c r="AC85" s="177"/>
      <c r="AD85" s="279" t="s">
        <v>320</v>
      </c>
      <c r="AF85" s="274"/>
    </row>
    <row r="86" spans="1:32" ht="114.75" customHeight="1" x14ac:dyDescent="0.3">
      <c r="A86" s="335" t="s">
        <v>621</v>
      </c>
      <c r="B86" s="216" t="s">
        <v>11</v>
      </c>
      <c r="C86" s="216" t="s">
        <v>127</v>
      </c>
      <c r="D86" s="216" t="s">
        <v>115</v>
      </c>
      <c r="E86" s="216" t="s">
        <v>622</v>
      </c>
      <c r="F86" s="216"/>
      <c r="G86" s="216"/>
      <c r="H86" s="216"/>
      <c r="I86" s="216"/>
      <c r="J86" s="216"/>
      <c r="K86" s="216"/>
      <c r="L86" s="216"/>
      <c r="M86" s="216"/>
      <c r="N86" s="216"/>
      <c r="O86" s="216"/>
      <c r="P86" s="216"/>
      <c r="Q86" s="216"/>
      <c r="R86" s="216"/>
      <c r="S86" s="216"/>
      <c r="T86" s="216"/>
      <c r="U86" s="216"/>
      <c r="V86" s="312"/>
      <c r="W86" s="312"/>
      <c r="X86" s="312"/>
      <c r="Y86" s="311" t="s">
        <v>321</v>
      </c>
      <c r="Z86" s="313">
        <f>Z87</f>
        <v>156250</v>
      </c>
      <c r="AA86" s="314">
        <f>AA87</f>
        <v>0</v>
      </c>
      <c r="AB86" s="276"/>
      <c r="AC86" s="276"/>
      <c r="AD86" s="277" t="s">
        <v>321</v>
      </c>
    </row>
    <row r="87" spans="1:32" ht="144.75" customHeight="1" x14ac:dyDescent="0.3">
      <c r="A87" s="336" t="s">
        <v>785</v>
      </c>
      <c r="B87" s="418" t="s">
        <v>11</v>
      </c>
      <c r="C87" s="337" t="s">
        <v>127</v>
      </c>
      <c r="D87" s="337" t="s">
        <v>115</v>
      </c>
      <c r="E87" s="216" t="s">
        <v>622</v>
      </c>
      <c r="F87" s="337"/>
      <c r="G87" s="337"/>
      <c r="H87" s="337"/>
      <c r="I87" s="337"/>
      <c r="J87" s="337"/>
      <c r="K87" s="337"/>
      <c r="L87" s="337"/>
      <c r="M87" s="337"/>
      <c r="N87" s="337"/>
      <c r="O87" s="337"/>
      <c r="P87" s="337"/>
      <c r="Q87" s="337"/>
      <c r="R87" s="337"/>
      <c r="S87" s="337"/>
      <c r="T87" s="337" t="s">
        <v>281</v>
      </c>
      <c r="U87" s="337"/>
      <c r="V87" s="338"/>
      <c r="W87" s="338"/>
      <c r="X87" s="338"/>
      <c r="Y87" s="339" t="s">
        <v>322</v>
      </c>
      <c r="Z87" s="318">
        <f>156200+50</f>
        <v>156250</v>
      </c>
      <c r="AA87" s="334">
        <f>147000+58.82-130391.82-16667</f>
        <v>0</v>
      </c>
      <c r="AB87" s="177"/>
      <c r="AC87" s="177"/>
      <c r="AD87" s="279" t="s">
        <v>322</v>
      </c>
      <c r="AF87" s="274"/>
    </row>
    <row r="88" spans="1:32" ht="157.5" customHeight="1" x14ac:dyDescent="0.3">
      <c r="A88" s="340" t="s">
        <v>534</v>
      </c>
      <c r="B88" s="341" t="s">
        <v>11</v>
      </c>
      <c r="C88" s="342" t="s">
        <v>127</v>
      </c>
      <c r="D88" s="342" t="s">
        <v>115</v>
      </c>
      <c r="E88" s="343" t="s">
        <v>624</v>
      </c>
      <c r="F88" s="342"/>
      <c r="G88" s="342"/>
      <c r="H88" s="342"/>
      <c r="I88" s="342"/>
      <c r="J88" s="342"/>
      <c r="K88" s="342"/>
      <c r="L88" s="342"/>
      <c r="M88" s="342"/>
      <c r="N88" s="342"/>
      <c r="O88" s="342"/>
      <c r="P88" s="342"/>
      <c r="Q88" s="342"/>
      <c r="R88" s="342"/>
      <c r="S88" s="342"/>
      <c r="T88" s="342"/>
      <c r="U88" s="342"/>
      <c r="V88" s="344"/>
      <c r="W88" s="344"/>
      <c r="X88" s="344"/>
      <c r="Y88" s="345"/>
      <c r="Z88" s="346">
        <f>Z89</f>
        <v>30000</v>
      </c>
      <c r="AA88" s="332">
        <f>AA89</f>
        <v>31800</v>
      </c>
      <c r="AB88" s="177"/>
      <c r="AC88" s="177"/>
      <c r="AD88" s="279"/>
    </row>
    <row r="89" spans="1:32" ht="78.75" customHeight="1" x14ac:dyDescent="0.3">
      <c r="A89" s="347" t="s">
        <v>623</v>
      </c>
      <c r="B89" s="342" t="s">
        <v>11</v>
      </c>
      <c r="C89" s="342" t="s">
        <v>127</v>
      </c>
      <c r="D89" s="342" t="s">
        <v>115</v>
      </c>
      <c r="E89" s="343" t="s">
        <v>624</v>
      </c>
      <c r="F89" s="342"/>
      <c r="G89" s="342"/>
      <c r="H89" s="342"/>
      <c r="I89" s="342"/>
      <c r="J89" s="342"/>
      <c r="K89" s="342"/>
      <c r="L89" s="342"/>
      <c r="M89" s="342"/>
      <c r="N89" s="342"/>
      <c r="O89" s="342"/>
      <c r="P89" s="342"/>
      <c r="Q89" s="342"/>
      <c r="R89" s="342"/>
      <c r="S89" s="342"/>
      <c r="T89" s="342" t="s">
        <v>235</v>
      </c>
      <c r="U89" s="342"/>
      <c r="V89" s="344"/>
      <c r="W89" s="344"/>
      <c r="X89" s="344"/>
      <c r="Y89" s="345"/>
      <c r="Z89" s="346">
        <v>30000</v>
      </c>
      <c r="AA89" s="348">
        <v>31800</v>
      </c>
      <c r="AB89" s="177"/>
      <c r="AC89" s="177"/>
      <c r="AD89" s="279"/>
      <c r="AF89" s="274"/>
    </row>
    <row r="90" spans="1:32" ht="215.25" customHeight="1" x14ac:dyDescent="0.3">
      <c r="A90" s="347" t="s">
        <v>535</v>
      </c>
      <c r="B90" s="342" t="s">
        <v>11</v>
      </c>
      <c r="C90" s="342" t="s">
        <v>127</v>
      </c>
      <c r="D90" s="342" t="s">
        <v>115</v>
      </c>
      <c r="E90" s="343" t="s">
        <v>626</v>
      </c>
      <c r="F90" s="342"/>
      <c r="G90" s="342"/>
      <c r="H90" s="342"/>
      <c r="I90" s="342"/>
      <c r="J90" s="342"/>
      <c r="K90" s="342"/>
      <c r="L90" s="342"/>
      <c r="M90" s="342"/>
      <c r="N90" s="342"/>
      <c r="O90" s="342"/>
      <c r="P90" s="342"/>
      <c r="Q90" s="342"/>
      <c r="R90" s="342"/>
      <c r="S90" s="342"/>
      <c r="T90" s="342"/>
      <c r="U90" s="342"/>
      <c r="V90" s="344"/>
      <c r="W90" s="344"/>
      <c r="X90" s="344"/>
      <c r="Y90" s="345"/>
      <c r="Z90" s="346">
        <f>Z91</f>
        <v>30000</v>
      </c>
      <c r="AA90" s="332">
        <f>AA91</f>
        <v>0</v>
      </c>
      <c r="AB90" s="177"/>
      <c r="AC90" s="177"/>
      <c r="AD90" s="279"/>
    </row>
    <row r="91" spans="1:32" ht="131.25" customHeight="1" x14ac:dyDescent="0.3">
      <c r="A91" s="419" t="s">
        <v>625</v>
      </c>
      <c r="B91" s="342" t="s">
        <v>11</v>
      </c>
      <c r="C91" s="342" t="s">
        <v>127</v>
      </c>
      <c r="D91" s="342" t="s">
        <v>115</v>
      </c>
      <c r="E91" s="343" t="s">
        <v>626</v>
      </c>
      <c r="F91" s="342"/>
      <c r="G91" s="342"/>
      <c r="H91" s="342"/>
      <c r="I91" s="342"/>
      <c r="J91" s="342"/>
      <c r="K91" s="342"/>
      <c r="L91" s="342"/>
      <c r="M91" s="342"/>
      <c r="N91" s="342"/>
      <c r="O91" s="342"/>
      <c r="P91" s="342"/>
      <c r="Q91" s="342"/>
      <c r="R91" s="342"/>
      <c r="S91" s="342"/>
      <c r="T91" s="342" t="s">
        <v>235</v>
      </c>
      <c r="U91" s="342"/>
      <c r="V91" s="344"/>
      <c r="W91" s="344"/>
      <c r="X91" s="344"/>
      <c r="Y91" s="345"/>
      <c r="Z91" s="346">
        <v>30000</v>
      </c>
      <c r="AA91" s="348">
        <f>19080-19080</f>
        <v>0</v>
      </c>
      <c r="AB91" s="177"/>
      <c r="AC91" s="177"/>
      <c r="AD91" s="279"/>
      <c r="AF91" s="274"/>
    </row>
    <row r="92" spans="1:32" ht="31.5" customHeight="1" x14ac:dyDescent="0.3">
      <c r="A92" s="349" t="s">
        <v>244</v>
      </c>
      <c r="B92" s="350" t="s">
        <v>11</v>
      </c>
      <c r="C92" s="350" t="s">
        <v>127</v>
      </c>
      <c r="D92" s="350" t="s">
        <v>116</v>
      </c>
      <c r="E92" s="350"/>
      <c r="F92" s="350"/>
      <c r="G92" s="350"/>
      <c r="H92" s="350"/>
      <c r="I92" s="350"/>
      <c r="J92" s="350"/>
      <c r="K92" s="350"/>
      <c r="L92" s="350"/>
      <c r="M92" s="350"/>
      <c r="N92" s="350"/>
      <c r="O92" s="350"/>
      <c r="P92" s="350"/>
      <c r="Q92" s="350"/>
      <c r="R92" s="350"/>
      <c r="S92" s="350"/>
      <c r="T92" s="350"/>
      <c r="U92" s="350"/>
      <c r="V92" s="351"/>
      <c r="W92" s="351"/>
      <c r="X92" s="351"/>
      <c r="Y92" s="349" t="s">
        <v>244</v>
      </c>
      <c r="Z92" s="309">
        <f>Z93+Z95</f>
        <v>533000</v>
      </c>
      <c r="AA92" s="326">
        <f>AA93+AA95</f>
        <v>530000</v>
      </c>
      <c r="AB92" s="178"/>
      <c r="AC92" s="178"/>
      <c r="AD92" s="273" t="s">
        <v>244</v>
      </c>
    </row>
    <row r="93" spans="1:32" ht="123" customHeight="1" x14ac:dyDescent="0.3">
      <c r="A93" s="311" t="s">
        <v>627</v>
      </c>
      <c r="B93" s="216" t="s">
        <v>11</v>
      </c>
      <c r="C93" s="216" t="s">
        <v>127</v>
      </c>
      <c r="D93" s="216" t="s">
        <v>116</v>
      </c>
      <c r="E93" s="216" t="s">
        <v>628</v>
      </c>
      <c r="F93" s="216"/>
      <c r="G93" s="216"/>
      <c r="H93" s="216"/>
      <c r="I93" s="216"/>
      <c r="J93" s="216"/>
      <c r="K93" s="216"/>
      <c r="L93" s="216"/>
      <c r="M93" s="216"/>
      <c r="N93" s="216"/>
      <c r="O93" s="216"/>
      <c r="P93" s="216"/>
      <c r="Q93" s="216"/>
      <c r="R93" s="216"/>
      <c r="S93" s="216"/>
      <c r="T93" s="216"/>
      <c r="U93" s="216"/>
      <c r="V93" s="312"/>
      <c r="W93" s="312"/>
      <c r="X93" s="312"/>
      <c r="Y93" s="311" t="s">
        <v>323</v>
      </c>
      <c r="Z93" s="313">
        <f>Z94</f>
        <v>0</v>
      </c>
      <c r="AA93" s="314">
        <f>AA94</f>
        <v>0</v>
      </c>
      <c r="AB93" s="276"/>
      <c r="AC93" s="276"/>
      <c r="AD93" s="277" t="s">
        <v>323</v>
      </c>
      <c r="AF93" s="274"/>
    </row>
    <row r="94" spans="1:32" ht="74.45" customHeight="1" x14ac:dyDescent="0.3">
      <c r="A94" s="324" t="s">
        <v>324</v>
      </c>
      <c r="B94" s="316" t="s">
        <v>11</v>
      </c>
      <c r="C94" s="316" t="s">
        <v>127</v>
      </c>
      <c r="D94" s="316" t="s">
        <v>116</v>
      </c>
      <c r="E94" s="216" t="s">
        <v>628</v>
      </c>
      <c r="F94" s="316"/>
      <c r="G94" s="316"/>
      <c r="H94" s="316"/>
      <c r="I94" s="316"/>
      <c r="J94" s="316"/>
      <c r="K94" s="316"/>
      <c r="L94" s="316"/>
      <c r="M94" s="316"/>
      <c r="N94" s="316"/>
      <c r="O94" s="316"/>
      <c r="P94" s="316"/>
      <c r="Q94" s="316"/>
      <c r="R94" s="316"/>
      <c r="S94" s="316"/>
      <c r="T94" s="316" t="s">
        <v>281</v>
      </c>
      <c r="U94" s="316"/>
      <c r="V94" s="317"/>
      <c r="W94" s="317"/>
      <c r="X94" s="317"/>
      <c r="Y94" s="324" t="s">
        <v>324</v>
      </c>
      <c r="Z94" s="322">
        <f>100000-100000</f>
        <v>0</v>
      </c>
      <c r="AA94" s="334">
        <f>100000-78000-22000</f>
        <v>0</v>
      </c>
      <c r="AB94" s="177"/>
      <c r="AC94" s="177"/>
      <c r="AD94" s="279" t="s">
        <v>324</v>
      </c>
      <c r="AF94" s="274"/>
    </row>
    <row r="95" spans="1:32" ht="138" customHeight="1" x14ac:dyDescent="0.3">
      <c r="A95" s="311" t="s">
        <v>629</v>
      </c>
      <c r="B95" s="216" t="s">
        <v>11</v>
      </c>
      <c r="C95" s="216" t="s">
        <v>127</v>
      </c>
      <c r="D95" s="216" t="s">
        <v>116</v>
      </c>
      <c r="E95" s="216" t="s">
        <v>630</v>
      </c>
      <c r="F95" s="216"/>
      <c r="G95" s="216"/>
      <c r="H95" s="216"/>
      <c r="I95" s="216"/>
      <c r="J95" s="216"/>
      <c r="K95" s="216"/>
      <c r="L95" s="216"/>
      <c r="M95" s="216"/>
      <c r="N95" s="216"/>
      <c r="O95" s="216"/>
      <c r="P95" s="216"/>
      <c r="Q95" s="216"/>
      <c r="R95" s="216"/>
      <c r="S95" s="216"/>
      <c r="T95" s="216"/>
      <c r="U95" s="216"/>
      <c r="V95" s="312"/>
      <c r="W95" s="312"/>
      <c r="X95" s="312"/>
      <c r="Y95" s="311" t="s">
        <v>325</v>
      </c>
      <c r="Z95" s="313">
        <f>Z96</f>
        <v>533000</v>
      </c>
      <c r="AA95" s="314">
        <f>AA96</f>
        <v>530000</v>
      </c>
      <c r="AB95" s="276"/>
      <c r="AC95" s="276"/>
      <c r="AD95" s="277" t="s">
        <v>325</v>
      </c>
    </row>
    <row r="96" spans="1:32" ht="93" customHeight="1" x14ac:dyDescent="0.3">
      <c r="A96" s="324" t="s">
        <v>326</v>
      </c>
      <c r="B96" s="316" t="s">
        <v>11</v>
      </c>
      <c r="C96" s="316" t="s">
        <v>127</v>
      </c>
      <c r="D96" s="316" t="s">
        <v>116</v>
      </c>
      <c r="E96" s="216" t="s">
        <v>630</v>
      </c>
      <c r="F96" s="316"/>
      <c r="G96" s="316"/>
      <c r="H96" s="316"/>
      <c r="I96" s="316"/>
      <c r="J96" s="316"/>
      <c r="K96" s="316"/>
      <c r="L96" s="316"/>
      <c r="M96" s="316"/>
      <c r="N96" s="316"/>
      <c r="O96" s="316"/>
      <c r="P96" s="316"/>
      <c r="Q96" s="316"/>
      <c r="R96" s="316"/>
      <c r="S96" s="316"/>
      <c r="T96" s="316" t="s">
        <v>281</v>
      </c>
      <c r="U96" s="316"/>
      <c r="V96" s="317"/>
      <c r="W96" s="317"/>
      <c r="X96" s="317"/>
      <c r="Y96" s="324" t="s">
        <v>326</v>
      </c>
      <c r="Z96" s="322">
        <f>100000+433000</f>
        <v>533000</v>
      </c>
      <c r="AA96" s="334">
        <f>564980-34980</f>
        <v>530000</v>
      </c>
      <c r="AB96" s="177"/>
      <c r="AC96" s="177"/>
      <c r="AD96" s="279" t="s">
        <v>326</v>
      </c>
      <c r="AF96" s="274"/>
    </row>
    <row r="97" spans="1:32" ht="18.600000000000001" customHeight="1" x14ac:dyDescent="0.3">
      <c r="A97" s="352" t="s">
        <v>139</v>
      </c>
      <c r="B97" s="302" t="s">
        <v>11</v>
      </c>
      <c r="C97" s="302" t="s">
        <v>127</v>
      </c>
      <c r="D97" s="302" t="s">
        <v>117</v>
      </c>
      <c r="E97" s="302"/>
      <c r="F97" s="302"/>
      <c r="G97" s="302"/>
      <c r="H97" s="302"/>
      <c r="I97" s="302"/>
      <c r="J97" s="302"/>
      <c r="K97" s="302"/>
      <c r="L97" s="302"/>
      <c r="M97" s="302"/>
      <c r="N97" s="302"/>
      <c r="O97" s="302"/>
      <c r="P97" s="302"/>
      <c r="Q97" s="302"/>
      <c r="R97" s="302"/>
      <c r="S97" s="302"/>
      <c r="T97" s="302"/>
      <c r="U97" s="302"/>
      <c r="V97" s="303"/>
      <c r="W97" s="303"/>
      <c r="X97" s="303"/>
      <c r="Y97" s="301" t="s">
        <v>139</v>
      </c>
      <c r="Z97" s="325">
        <f>Z100+Z102+Z106+Z108+Z110+Z112</f>
        <v>1536637.68</v>
      </c>
      <c r="AA97" s="326">
        <f>AA100+AA102+AA106+AA108+AA110+AA112+AA98+AA104</f>
        <v>5399265.6500000004</v>
      </c>
      <c r="AB97" s="178"/>
      <c r="AC97" s="178"/>
      <c r="AD97" s="273" t="s">
        <v>139</v>
      </c>
    </row>
    <row r="98" spans="1:32" ht="102.75" customHeight="1" x14ac:dyDescent="0.3">
      <c r="A98" s="340" t="s">
        <v>834</v>
      </c>
      <c r="B98" s="353" t="s">
        <v>11</v>
      </c>
      <c r="C98" s="216" t="s">
        <v>127</v>
      </c>
      <c r="D98" s="216" t="s">
        <v>117</v>
      </c>
      <c r="E98" s="216" t="s">
        <v>836</v>
      </c>
      <c r="F98" s="302"/>
      <c r="G98" s="302"/>
      <c r="H98" s="302"/>
      <c r="I98" s="302"/>
      <c r="J98" s="302"/>
      <c r="K98" s="302"/>
      <c r="L98" s="302"/>
      <c r="M98" s="302"/>
      <c r="N98" s="302"/>
      <c r="O98" s="302"/>
      <c r="P98" s="302"/>
      <c r="Q98" s="302"/>
      <c r="R98" s="302"/>
      <c r="S98" s="302"/>
      <c r="T98" s="302"/>
      <c r="U98" s="302"/>
      <c r="V98" s="303"/>
      <c r="W98" s="303"/>
      <c r="X98" s="303"/>
      <c r="Y98" s="301"/>
      <c r="Z98" s="325"/>
      <c r="AA98" s="323">
        <f>AA99</f>
        <v>1833265.65</v>
      </c>
      <c r="AB98" s="178"/>
      <c r="AC98" s="178"/>
      <c r="AD98" s="273"/>
    </row>
    <row r="99" spans="1:32" ht="63.75" customHeight="1" x14ac:dyDescent="0.3">
      <c r="A99" s="340" t="s">
        <v>1160</v>
      </c>
      <c r="B99" s="353" t="s">
        <v>11</v>
      </c>
      <c r="C99" s="216" t="s">
        <v>127</v>
      </c>
      <c r="D99" s="216" t="s">
        <v>117</v>
      </c>
      <c r="E99" s="216" t="s">
        <v>836</v>
      </c>
      <c r="F99" s="417"/>
      <c r="G99" s="417"/>
      <c r="H99" s="417"/>
      <c r="I99" s="417"/>
      <c r="J99" s="417"/>
      <c r="K99" s="417"/>
      <c r="L99" s="417"/>
      <c r="M99" s="417"/>
      <c r="N99" s="417"/>
      <c r="O99" s="417"/>
      <c r="P99" s="417"/>
      <c r="Q99" s="417"/>
      <c r="R99" s="417"/>
      <c r="S99" s="417"/>
      <c r="T99" s="216" t="s">
        <v>281</v>
      </c>
      <c r="U99" s="417"/>
      <c r="V99" s="303"/>
      <c r="W99" s="303"/>
      <c r="X99" s="303"/>
      <c r="Y99" s="301"/>
      <c r="Z99" s="325"/>
      <c r="AA99" s="323">
        <f>5400000-2766734.35-800000</f>
        <v>1833265.65</v>
      </c>
      <c r="AB99" s="178"/>
      <c r="AC99" s="178"/>
      <c r="AD99" s="273"/>
    </row>
    <row r="100" spans="1:32" ht="144.75" customHeight="1" x14ac:dyDescent="0.3">
      <c r="A100" s="354" t="s">
        <v>631</v>
      </c>
      <c r="B100" s="216" t="s">
        <v>11</v>
      </c>
      <c r="C100" s="216" t="s">
        <v>127</v>
      </c>
      <c r="D100" s="216" t="s">
        <v>117</v>
      </c>
      <c r="E100" s="216" t="s">
        <v>632</v>
      </c>
      <c r="F100" s="216"/>
      <c r="G100" s="216"/>
      <c r="H100" s="216"/>
      <c r="I100" s="216"/>
      <c r="J100" s="216"/>
      <c r="K100" s="216"/>
      <c r="L100" s="216"/>
      <c r="M100" s="216"/>
      <c r="N100" s="216"/>
      <c r="O100" s="216"/>
      <c r="P100" s="216"/>
      <c r="Q100" s="216"/>
      <c r="R100" s="216"/>
      <c r="S100" s="216"/>
      <c r="T100" s="216"/>
      <c r="U100" s="216"/>
      <c r="V100" s="312"/>
      <c r="W100" s="312"/>
      <c r="X100" s="312"/>
      <c r="Y100" s="311" t="s">
        <v>327</v>
      </c>
      <c r="Z100" s="313">
        <f>Z101</f>
        <v>260000</v>
      </c>
      <c r="AA100" s="314">
        <f>AA101</f>
        <v>2238000</v>
      </c>
      <c r="AB100" s="276"/>
      <c r="AC100" s="276"/>
      <c r="AD100" s="277" t="s">
        <v>327</v>
      </c>
      <c r="AF100" s="274"/>
    </row>
    <row r="101" spans="1:32" ht="93" customHeight="1" x14ac:dyDescent="0.3">
      <c r="A101" s="324" t="s">
        <v>328</v>
      </c>
      <c r="B101" s="316" t="s">
        <v>11</v>
      </c>
      <c r="C101" s="316" t="s">
        <v>127</v>
      </c>
      <c r="D101" s="316" t="s">
        <v>117</v>
      </c>
      <c r="E101" s="216" t="s">
        <v>632</v>
      </c>
      <c r="F101" s="316"/>
      <c r="G101" s="316"/>
      <c r="H101" s="316"/>
      <c r="I101" s="316"/>
      <c r="J101" s="316"/>
      <c r="K101" s="316"/>
      <c r="L101" s="316"/>
      <c r="M101" s="316"/>
      <c r="N101" s="316"/>
      <c r="O101" s="316"/>
      <c r="P101" s="316"/>
      <c r="Q101" s="316"/>
      <c r="R101" s="316"/>
      <c r="S101" s="316"/>
      <c r="T101" s="316" t="s">
        <v>281</v>
      </c>
      <c r="U101" s="316"/>
      <c r="V101" s="317"/>
      <c r="W101" s="317"/>
      <c r="X101" s="317"/>
      <c r="Y101" s="324" t="s">
        <v>328</v>
      </c>
      <c r="Z101" s="322">
        <v>260000</v>
      </c>
      <c r="AA101" s="334">
        <f>300000+1938000</f>
        <v>2238000</v>
      </c>
      <c r="AB101" s="177"/>
      <c r="AC101" s="177"/>
      <c r="AD101" s="279" t="s">
        <v>328</v>
      </c>
      <c r="AF101" s="274"/>
    </row>
    <row r="102" spans="1:32" ht="141.75" customHeight="1" x14ac:dyDescent="0.3">
      <c r="A102" s="311" t="s">
        <v>633</v>
      </c>
      <c r="B102" s="216" t="s">
        <v>11</v>
      </c>
      <c r="C102" s="216" t="s">
        <v>127</v>
      </c>
      <c r="D102" s="216" t="s">
        <v>117</v>
      </c>
      <c r="E102" s="216" t="s">
        <v>634</v>
      </c>
      <c r="F102" s="216"/>
      <c r="G102" s="216"/>
      <c r="H102" s="216"/>
      <c r="I102" s="216"/>
      <c r="J102" s="216"/>
      <c r="K102" s="216"/>
      <c r="L102" s="216"/>
      <c r="M102" s="216"/>
      <c r="N102" s="216"/>
      <c r="O102" s="216"/>
      <c r="P102" s="216"/>
      <c r="Q102" s="216"/>
      <c r="R102" s="216"/>
      <c r="S102" s="216"/>
      <c r="T102" s="216"/>
      <c r="U102" s="216"/>
      <c r="V102" s="312"/>
      <c r="W102" s="312"/>
      <c r="X102" s="312"/>
      <c r="Y102" s="311" t="s">
        <v>329</v>
      </c>
      <c r="Z102" s="313">
        <v>150000</v>
      </c>
      <c r="AA102" s="314">
        <f>AA103</f>
        <v>410000</v>
      </c>
      <c r="AB102" s="276"/>
      <c r="AC102" s="276"/>
      <c r="AD102" s="277" t="s">
        <v>329</v>
      </c>
    </row>
    <row r="103" spans="1:32" ht="111.75" customHeight="1" x14ac:dyDescent="0.3">
      <c r="A103" s="324" t="s">
        <v>330</v>
      </c>
      <c r="B103" s="316" t="s">
        <v>11</v>
      </c>
      <c r="C103" s="316" t="s">
        <v>127</v>
      </c>
      <c r="D103" s="316" t="s">
        <v>117</v>
      </c>
      <c r="E103" s="216" t="s">
        <v>634</v>
      </c>
      <c r="F103" s="316"/>
      <c r="G103" s="316"/>
      <c r="H103" s="316"/>
      <c r="I103" s="316"/>
      <c r="J103" s="316"/>
      <c r="K103" s="316"/>
      <c r="L103" s="316"/>
      <c r="M103" s="316"/>
      <c r="N103" s="316"/>
      <c r="O103" s="316"/>
      <c r="P103" s="316"/>
      <c r="Q103" s="316"/>
      <c r="R103" s="316"/>
      <c r="S103" s="316"/>
      <c r="T103" s="316" t="s">
        <v>281</v>
      </c>
      <c r="U103" s="316"/>
      <c r="V103" s="317"/>
      <c r="W103" s="317"/>
      <c r="X103" s="317"/>
      <c r="Y103" s="324" t="s">
        <v>330</v>
      </c>
      <c r="Z103" s="322">
        <v>150000</v>
      </c>
      <c r="AA103" s="334">
        <f>59000+351000</f>
        <v>410000</v>
      </c>
      <c r="AB103" s="177"/>
      <c r="AC103" s="177"/>
      <c r="AD103" s="279" t="s">
        <v>330</v>
      </c>
      <c r="AF103" s="274"/>
    </row>
    <row r="104" spans="1:32" ht="140.25" customHeight="1" x14ac:dyDescent="0.3">
      <c r="A104" s="311" t="s">
        <v>1161</v>
      </c>
      <c r="B104" s="316" t="s">
        <v>11</v>
      </c>
      <c r="C104" s="316" t="s">
        <v>127</v>
      </c>
      <c r="D104" s="316" t="s">
        <v>117</v>
      </c>
      <c r="E104" s="216" t="s">
        <v>852</v>
      </c>
      <c r="F104" s="316"/>
      <c r="G104" s="316"/>
      <c r="H104" s="316"/>
      <c r="I104" s="316"/>
      <c r="J104" s="316"/>
      <c r="K104" s="316"/>
      <c r="L104" s="316"/>
      <c r="M104" s="316"/>
      <c r="N104" s="316"/>
      <c r="O104" s="316"/>
      <c r="P104" s="316"/>
      <c r="Q104" s="316"/>
      <c r="R104" s="316"/>
      <c r="S104" s="316"/>
      <c r="T104" s="316"/>
      <c r="U104" s="316"/>
      <c r="V104" s="317"/>
      <c r="W104" s="317"/>
      <c r="X104" s="317"/>
      <c r="Y104" s="324"/>
      <c r="Z104" s="322"/>
      <c r="AA104" s="334">
        <f>AA105</f>
        <v>101000</v>
      </c>
      <c r="AB104" s="177"/>
      <c r="AC104" s="177"/>
      <c r="AD104" s="279"/>
      <c r="AF104" s="274"/>
    </row>
    <row r="105" spans="1:32" ht="98.25" customHeight="1" x14ac:dyDescent="0.3">
      <c r="A105" s="324" t="s">
        <v>851</v>
      </c>
      <c r="B105" s="316" t="s">
        <v>11</v>
      </c>
      <c r="C105" s="316" t="s">
        <v>127</v>
      </c>
      <c r="D105" s="316" t="s">
        <v>117</v>
      </c>
      <c r="E105" s="216" t="s">
        <v>852</v>
      </c>
      <c r="F105" s="316"/>
      <c r="G105" s="316"/>
      <c r="H105" s="316"/>
      <c r="I105" s="316"/>
      <c r="J105" s="316"/>
      <c r="K105" s="316"/>
      <c r="L105" s="316"/>
      <c r="M105" s="316"/>
      <c r="N105" s="316"/>
      <c r="O105" s="316"/>
      <c r="P105" s="316"/>
      <c r="Q105" s="316"/>
      <c r="R105" s="316"/>
      <c r="S105" s="316"/>
      <c r="T105" s="316" t="s">
        <v>281</v>
      </c>
      <c r="U105" s="316"/>
      <c r="V105" s="317"/>
      <c r="W105" s="317"/>
      <c r="X105" s="317"/>
      <c r="Y105" s="324"/>
      <c r="Z105" s="322"/>
      <c r="AA105" s="334">
        <f>50000+51000</f>
        <v>101000</v>
      </c>
      <c r="AB105" s="177"/>
      <c r="AC105" s="177"/>
      <c r="AD105" s="279"/>
      <c r="AF105" s="274"/>
    </row>
    <row r="106" spans="1:32" ht="110.25" customHeight="1" x14ac:dyDescent="0.3">
      <c r="A106" s="311" t="s">
        <v>635</v>
      </c>
      <c r="B106" s="216" t="s">
        <v>11</v>
      </c>
      <c r="C106" s="216" t="s">
        <v>127</v>
      </c>
      <c r="D106" s="216" t="s">
        <v>117</v>
      </c>
      <c r="E106" s="216" t="s">
        <v>636</v>
      </c>
      <c r="F106" s="216"/>
      <c r="G106" s="216"/>
      <c r="H106" s="216"/>
      <c r="I106" s="216"/>
      <c r="J106" s="216"/>
      <c r="K106" s="216"/>
      <c r="L106" s="216"/>
      <c r="M106" s="216"/>
      <c r="N106" s="216"/>
      <c r="O106" s="216"/>
      <c r="P106" s="216"/>
      <c r="Q106" s="216"/>
      <c r="R106" s="216"/>
      <c r="S106" s="216"/>
      <c r="T106" s="216"/>
      <c r="U106" s="216"/>
      <c r="V106" s="312"/>
      <c r="W106" s="312"/>
      <c r="X106" s="312"/>
      <c r="Y106" s="311" t="s">
        <v>331</v>
      </c>
      <c r="Z106" s="313">
        <v>100000</v>
      </c>
      <c r="AA106" s="314">
        <f>AA107</f>
        <v>561000</v>
      </c>
      <c r="AB106" s="276"/>
      <c r="AC106" s="276"/>
      <c r="AD106" s="277" t="s">
        <v>331</v>
      </c>
    </row>
    <row r="107" spans="1:32" ht="74.45" customHeight="1" x14ac:dyDescent="0.3">
      <c r="A107" s="324" t="s">
        <v>332</v>
      </c>
      <c r="B107" s="316" t="s">
        <v>11</v>
      </c>
      <c r="C107" s="316" t="s">
        <v>127</v>
      </c>
      <c r="D107" s="316" t="s">
        <v>117</v>
      </c>
      <c r="E107" s="216" t="s">
        <v>636</v>
      </c>
      <c r="F107" s="316"/>
      <c r="G107" s="316"/>
      <c r="H107" s="316"/>
      <c r="I107" s="316"/>
      <c r="J107" s="316"/>
      <c r="K107" s="316"/>
      <c r="L107" s="316"/>
      <c r="M107" s="316"/>
      <c r="N107" s="316"/>
      <c r="O107" s="316"/>
      <c r="P107" s="316"/>
      <c r="Q107" s="316"/>
      <c r="R107" s="316"/>
      <c r="S107" s="316"/>
      <c r="T107" s="316" t="s">
        <v>281</v>
      </c>
      <c r="U107" s="316"/>
      <c r="V107" s="317"/>
      <c r="W107" s="317"/>
      <c r="X107" s="317"/>
      <c r="Y107" s="324" t="s">
        <v>332</v>
      </c>
      <c r="Z107" s="322">
        <v>100000</v>
      </c>
      <c r="AA107" s="319">
        <f>360000+206000-5000</f>
        <v>561000</v>
      </c>
      <c r="AB107" s="177"/>
      <c r="AC107" s="177"/>
      <c r="AD107" s="279" t="s">
        <v>332</v>
      </c>
    </row>
    <row r="108" spans="1:32" ht="138.75" customHeight="1" x14ac:dyDescent="0.3">
      <c r="A108" s="311" t="s">
        <v>637</v>
      </c>
      <c r="B108" s="216" t="s">
        <v>11</v>
      </c>
      <c r="C108" s="216" t="s">
        <v>127</v>
      </c>
      <c r="D108" s="216" t="s">
        <v>117</v>
      </c>
      <c r="E108" s="216" t="s">
        <v>638</v>
      </c>
      <c r="F108" s="216"/>
      <c r="G108" s="216"/>
      <c r="H108" s="216"/>
      <c r="I108" s="216"/>
      <c r="J108" s="216"/>
      <c r="K108" s="216"/>
      <c r="L108" s="216"/>
      <c r="M108" s="216"/>
      <c r="N108" s="216"/>
      <c r="O108" s="216"/>
      <c r="P108" s="216"/>
      <c r="Q108" s="216"/>
      <c r="R108" s="216"/>
      <c r="S108" s="216"/>
      <c r="T108" s="216"/>
      <c r="U108" s="216"/>
      <c r="V108" s="312"/>
      <c r="W108" s="312"/>
      <c r="X108" s="312"/>
      <c r="Y108" s="311" t="s">
        <v>333</v>
      </c>
      <c r="Z108" s="313">
        <f>Z109</f>
        <v>676637.67999999993</v>
      </c>
      <c r="AA108" s="321">
        <f>AA109</f>
        <v>0</v>
      </c>
      <c r="AB108" s="276"/>
      <c r="AC108" s="276"/>
      <c r="AD108" s="277" t="s">
        <v>333</v>
      </c>
    </row>
    <row r="109" spans="1:32" ht="69.75" customHeight="1" x14ac:dyDescent="0.3">
      <c r="A109" s="324" t="s">
        <v>1162</v>
      </c>
      <c r="B109" s="316" t="s">
        <v>11</v>
      </c>
      <c r="C109" s="316" t="s">
        <v>127</v>
      </c>
      <c r="D109" s="316" t="s">
        <v>117</v>
      </c>
      <c r="E109" s="216" t="s">
        <v>638</v>
      </c>
      <c r="F109" s="316"/>
      <c r="G109" s="316"/>
      <c r="H109" s="316"/>
      <c r="I109" s="316"/>
      <c r="J109" s="316"/>
      <c r="K109" s="316"/>
      <c r="L109" s="316"/>
      <c r="M109" s="316"/>
      <c r="N109" s="316"/>
      <c r="O109" s="316"/>
      <c r="P109" s="316"/>
      <c r="Q109" s="316"/>
      <c r="R109" s="316"/>
      <c r="S109" s="316"/>
      <c r="T109" s="316" t="s">
        <v>235</v>
      </c>
      <c r="U109" s="316"/>
      <c r="V109" s="317"/>
      <c r="W109" s="317"/>
      <c r="X109" s="317"/>
      <c r="Y109" s="324"/>
      <c r="Z109" s="322">
        <f>266637.68+250000+160000</f>
        <v>676637.67999999993</v>
      </c>
      <c r="AA109" s="319">
        <f>500000-50000-10000-440000</f>
        <v>0</v>
      </c>
      <c r="AB109" s="177"/>
      <c r="AC109" s="177"/>
      <c r="AD109" s="279"/>
      <c r="AF109" s="274"/>
    </row>
    <row r="110" spans="1:32" ht="137.25" customHeight="1" x14ac:dyDescent="0.3">
      <c r="A110" s="311" t="s">
        <v>639</v>
      </c>
      <c r="B110" s="216" t="s">
        <v>11</v>
      </c>
      <c r="C110" s="216" t="s">
        <v>127</v>
      </c>
      <c r="D110" s="216" t="s">
        <v>117</v>
      </c>
      <c r="E110" s="216" t="s">
        <v>640</v>
      </c>
      <c r="F110" s="216"/>
      <c r="G110" s="216"/>
      <c r="H110" s="216"/>
      <c r="I110" s="216"/>
      <c r="J110" s="216"/>
      <c r="K110" s="216"/>
      <c r="L110" s="216"/>
      <c r="M110" s="216"/>
      <c r="N110" s="216"/>
      <c r="O110" s="216"/>
      <c r="P110" s="216"/>
      <c r="Q110" s="216"/>
      <c r="R110" s="216"/>
      <c r="S110" s="216"/>
      <c r="T110" s="216"/>
      <c r="U110" s="216"/>
      <c r="V110" s="312"/>
      <c r="W110" s="312"/>
      <c r="X110" s="312"/>
      <c r="Y110" s="311" t="s">
        <v>335</v>
      </c>
      <c r="Z110" s="313">
        <v>250000</v>
      </c>
      <c r="AA110" s="321">
        <f>AA111</f>
        <v>150000</v>
      </c>
      <c r="AB110" s="276"/>
      <c r="AC110" s="276"/>
      <c r="AD110" s="277" t="s">
        <v>335</v>
      </c>
    </row>
    <row r="111" spans="1:32" ht="93" customHeight="1" x14ac:dyDescent="0.3">
      <c r="A111" s="324" t="s">
        <v>336</v>
      </c>
      <c r="B111" s="316" t="s">
        <v>11</v>
      </c>
      <c r="C111" s="316" t="s">
        <v>127</v>
      </c>
      <c r="D111" s="316" t="s">
        <v>117</v>
      </c>
      <c r="E111" s="216" t="s">
        <v>640</v>
      </c>
      <c r="F111" s="316"/>
      <c r="G111" s="316"/>
      <c r="H111" s="316"/>
      <c r="I111" s="316"/>
      <c r="J111" s="316"/>
      <c r="K111" s="316"/>
      <c r="L111" s="316"/>
      <c r="M111" s="316"/>
      <c r="N111" s="316"/>
      <c r="O111" s="316"/>
      <c r="P111" s="316"/>
      <c r="Q111" s="316"/>
      <c r="R111" s="316"/>
      <c r="S111" s="316"/>
      <c r="T111" s="316" t="s">
        <v>281</v>
      </c>
      <c r="U111" s="316"/>
      <c r="V111" s="317"/>
      <c r="W111" s="317"/>
      <c r="X111" s="317"/>
      <c r="Y111" s="324" t="s">
        <v>336</v>
      </c>
      <c r="Z111" s="322">
        <v>250000</v>
      </c>
      <c r="AA111" s="319">
        <v>150000</v>
      </c>
      <c r="AB111" s="177"/>
      <c r="AC111" s="177"/>
      <c r="AD111" s="279" t="s">
        <v>336</v>
      </c>
      <c r="AF111" s="274"/>
    </row>
    <row r="112" spans="1:32" ht="219.75" customHeight="1" x14ac:dyDescent="0.3">
      <c r="A112" s="311" t="s">
        <v>641</v>
      </c>
      <c r="B112" s="216" t="s">
        <v>11</v>
      </c>
      <c r="C112" s="216" t="s">
        <v>127</v>
      </c>
      <c r="D112" s="216" t="s">
        <v>117</v>
      </c>
      <c r="E112" s="216" t="s">
        <v>642</v>
      </c>
      <c r="F112" s="216"/>
      <c r="G112" s="216"/>
      <c r="H112" s="216"/>
      <c r="I112" s="216"/>
      <c r="J112" s="216"/>
      <c r="K112" s="216"/>
      <c r="L112" s="216"/>
      <c r="M112" s="216"/>
      <c r="N112" s="216"/>
      <c r="O112" s="216"/>
      <c r="P112" s="216"/>
      <c r="Q112" s="216"/>
      <c r="R112" s="216"/>
      <c r="S112" s="216"/>
      <c r="T112" s="216"/>
      <c r="U112" s="216"/>
      <c r="V112" s="312"/>
      <c r="W112" s="312"/>
      <c r="X112" s="312"/>
      <c r="Y112" s="311" t="s">
        <v>337</v>
      </c>
      <c r="Z112" s="313">
        <v>100000</v>
      </c>
      <c r="AA112" s="321">
        <f>AA113</f>
        <v>106000</v>
      </c>
      <c r="AB112" s="276"/>
      <c r="AC112" s="276"/>
      <c r="AD112" s="277" t="s">
        <v>337</v>
      </c>
    </row>
    <row r="113" spans="1:32" ht="165" customHeight="1" x14ac:dyDescent="0.3">
      <c r="A113" s="315" t="s">
        <v>338</v>
      </c>
      <c r="B113" s="316" t="s">
        <v>11</v>
      </c>
      <c r="C113" s="316" t="s">
        <v>127</v>
      </c>
      <c r="D113" s="316" t="s">
        <v>117</v>
      </c>
      <c r="E113" s="216" t="s">
        <v>642</v>
      </c>
      <c r="F113" s="316"/>
      <c r="G113" s="316"/>
      <c r="H113" s="316"/>
      <c r="I113" s="316"/>
      <c r="J113" s="316"/>
      <c r="K113" s="316"/>
      <c r="L113" s="316"/>
      <c r="M113" s="316"/>
      <c r="N113" s="316"/>
      <c r="O113" s="316"/>
      <c r="P113" s="316"/>
      <c r="Q113" s="316"/>
      <c r="R113" s="316"/>
      <c r="S113" s="316"/>
      <c r="T113" s="316" t="s">
        <v>281</v>
      </c>
      <c r="U113" s="316"/>
      <c r="V113" s="317"/>
      <c r="W113" s="317"/>
      <c r="X113" s="317"/>
      <c r="Y113" s="315" t="s">
        <v>338</v>
      </c>
      <c r="Z113" s="322">
        <v>100000</v>
      </c>
      <c r="AA113" s="319">
        <v>106000</v>
      </c>
      <c r="AB113" s="177"/>
      <c r="AC113" s="177"/>
      <c r="AD113" s="278" t="s">
        <v>338</v>
      </c>
      <c r="AF113" s="274"/>
    </row>
    <row r="114" spans="1:32" ht="55.5" customHeight="1" x14ac:dyDescent="0.3">
      <c r="A114" s="301" t="s">
        <v>532</v>
      </c>
      <c r="B114" s="302" t="s">
        <v>11</v>
      </c>
      <c r="C114" s="302" t="s">
        <v>127</v>
      </c>
      <c r="D114" s="302" t="s">
        <v>118</v>
      </c>
      <c r="E114" s="302"/>
      <c r="F114" s="302"/>
      <c r="G114" s="302"/>
      <c r="H114" s="302"/>
      <c r="I114" s="302"/>
      <c r="J114" s="302"/>
      <c r="K114" s="302"/>
      <c r="L114" s="302"/>
      <c r="M114" s="302"/>
      <c r="N114" s="302"/>
      <c r="O114" s="302"/>
      <c r="P114" s="302"/>
      <c r="Q114" s="302"/>
      <c r="R114" s="302"/>
      <c r="S114" s="302"/>
      <c r="T114" s="302"/>
      <c r="U114" s="302"/>
      <c r="V114" s="303"/>
      <c r="W114" s="303"/>
      <c r="X114" s="303"/>
      <c r="Y114" s="301"/>
      <c r="Z114" s="325">
        <f>Z117+Z119</f>
        <v>4276898.16</v>
      </c>
      <c r="AA114" s="326">
        <f>AA117+AA119+AA115</f>
        <v>3588389.9200000004</v>
      </c>
      <c r="AB114" s="178"/>
      <c r="AC114" s="178"/>
      <c r="AD114" s="279"/>
    </row>
    <row r="115" spans="1:32" ht="107.25" customHeight="1" x14ac:dyDescent="0.3">
      <c r="A115" s="434" t="s">
        <v>1163</v>
      </c>
      <c r="B115" s="216" t="s">
        <v>11</v>
      </c>
      <c r="C115" s="216" t="s">
        <v>127</v>
      </c>
      <c r="D115" s="216" t="s">
        <v>118</v>
      </c>
      <c r="E115" s="216" t="s">
        <v>920</v>
      </c>
      <c r="F115" s="422"/>
      <c r="G115" s="422"/>
      <c r="H115" s="422"/>
      <c r="I115" s="422"/>
      <c r="J115" s="422"/>
      <c r="K115" s="422"/>
      <c r="L115" s="422"/>
      <c r="M115" s="422"/>
      <c r="N115" s="422"/>
      <c r="O115" s="422"/>
      <c r="P115" s="422"/>
      <c r="Q115" s="422"/>
      <c r="R115" s="422"/>
      <c r="S115" s="422"/>
      <c r="T115" s="422"/>
      <c r="U115" s="422"/>
      <c r="V115" s="303"/>
      <c r="W115" s="303"/>
      <c r="X115" s="303"/>
      <c r="Y115" s="301"/>
      <c r="Z115" s="325"/>
      <c r="AA115" s="323">
        <f>AA116</f>
        <v>97617</v>
      </c>
      <c r="AB115" s="178"/>
      <c r="AC115" s="178"/>
      <c r="AD115" s="279"/>
    </row>
    <row r="116" spans="1:32" ht="53.25" customHeight="1" x14ac:dyDescent="0.3">
      <c r="A116" s="435" t="s">
        <v>933</v>
      </c>
      <c r="B116" s="296" t="s">
        <v>11</v>
      </c>
      <c r="C116" s="296" t="s">
        <v>127</v>
      </c>
      <c r="D116" s="296" t="s">
        <v>118</v>
      </c>
      <c r="E116" s="296" t="s">
        <v>920</v>
      </c>
      <c r="F116" s="436"/>
      <c r="G116" s="436"/>
      <c r="H116" s="436"/>
      <c r="I116" s="436"/>
      <c r="J116" s="436"/>
      <c r="K116" s="436"/>
      <c r="L116" s="436"/>
      <c r="M116" s="436"/>
      <c r="N116" s="436"/>
      <c r="O116" s="436"/>
      <c r="P116" s="436"/>
      <c r="Q116" s="436"/>
      <c r="R116" s="436"/>
      <c r="S116" s="436"/>
      <c r="T116" s="296" t="s">
        <v>281</v>
      </c>
      <c r="U116" s="436"/>
      <c r="V116" s="437"/>
      <c r="W116" s="437"/>
      <c r="X116" s="437"/>
      <c r="Y116" s="438"/>
      <c r="Z116" s="439"/>
      <c r="AA116" s="440">
        <v>97617</v>
      </c>
      <c r="AB116" s="178"/>
      <c r="AC116" s="178"/>
      <c r="AD116" s="279"/>
    </row>
    <row r="117" spans="1:32" ht="153.75" customHeight="1" x14ac:dyDescent="0.3">
      <c r="A117" s="311" t="s">
        <v>643</v>
      </c>
      <c r="B117" s="216" t="s">
        <v>11</v>
      </c>
      <c r="C117" s="216" t="s">
        <v>127</v>
      </c>
      <c r="D117" s="216" t="s">
        <v>118</v>
      </c>
      <c r="E117" s="216" t="s">
        <v>644</v>
      </c>
      <c r="F117" s="216"/>
      <c r="G117" s="216"/>
      <c r="H117" s="216"/>
      <c r="I117" s="216"/>
      <c r="J117" s="216"/>
      <c r="K117" s="216"/>
      <c r="L117" s="216"/>
      <c r="M117" s="216"/>
      <c r="N117" s="216"/>
      <c r="O117" s="216"/>
      <c r="P117" s="216"/>
      <c r="Q117" s="216"/>
      <c r="R117" s="216"/>
      <c r="S117" s="216"/>
      <c r="T117" s="216"/>
      <c r="U117" s="216"/>
      <c r="V117" s="312"/>
      <c r="W117" s="312"/>
      <c r="X117" s="312"/>
      <c r="Y117" s="311" t="s">
        <v>339</v>
      </c>
      <c r="Z117" s="313">
        <f>Z118</f>
        <v>2372706</v>
      </c>
      <c r="AA117" s="314">
        <f>AA118</f>
        <v>3490772.9200000004</v>
      </c>
      <c r="AB117" s="276"/>
      <c r="AC117" s="276"/>
      <c r="AD117" s="279"/>
    </row>
    <row r="118" spans="1:32" ht="97.5" customHeight="1" x14ac:dyDescent="0.3">
      <c r="A118" s="324" t="s">
        <v>340</v>
      </c>
      <c r="B118" s="316" t="s">
        <v>11</v>
      </c>
      <c r="C118" s="316" t="s">
        <v>127</v>
      </c>
      <c r="D118" s="316" t="s">
        <v>118</v>
      </c>
      <c r="E118" s="216" t="s">
        <v>644</v>
      </c>
      <c r="F118" s="316"/>
      <c r="G118" s="316"/>
      <c r="H118" s="316"/>
      <c r="I118" s="316"/>
      <c r="J118" s="316"/>
      <c r="K118" s="316"/>
      <c r="L118" s="316"/>
      <c r="M118" s="316"/>
      <c r="N118" s="316"/>
      <c r="O118" s="316"/>
      <c r="P118" s="316"/>
      <c r="Q118" s="316"/>
      <c r="R118" s="316"/>
      <c r="S118" s="316"/>
      <c r="T118" s="316" t="s">
        <v>281</v>
      </c>
      <c r="U118" s="316"/>
      <c r="V118" s="317"/>
      <c r="W118" s="317"/>
      <c r="X118" s="317"/>
      <c r="Y118" s="324" t="s">
        <v>340</v>
      </c>
      <c r="Z118" s="322">
        <f>1372706+1000000-183800+183800</f>
        <v>2372706</v>
      </c>
      <c r="AA118" s="334">
        <f>4966877.4-1076104.48-200000-200000</f>
        <v>3490772.9200000004</v>
      </c>
      <c r="AB118" s="177"/>
      <c r="AC118" s="177"/>
      <c r="AD118" s="279"/>
      <c r="AF118" s="274"/>
    </row>
    <row r="119" spans="1:32" ht="176.25" customHeight="1" x14ac:dyDescent="0.3">
      <c r="A119" s="311" t="s">
        <v>645</v>
      </c>
      <c r="B119" s="216" t="s">
        <v>11</v>
      </c>
      <c r="C119" s="216" t="s">
        <v>127</v>
      </c>
      <c r="D119" s="216" t="s">
        <v>118</v>
      </c>
      <c r="E119" s="216" t="s">
        <v>646</v>
      </c>
      <c r="F119" s="216"/>
      <c r="G119" s="216"/>
      <c r="H119" s="216"/>
      <c r="I119" s="216"/>
      <c r="J119" s="216"/>
      <c r="K119" s="216"/>
      <c r="L119" s="216"/>
      <c r="M119" s="216"/>
      <c r="N119" s="216"/>
      <c r="O119" s="216"/>
      <c r="P119" s="216"/>
      <c r="Q119" s="216"/>
      <c r="R119" s="216"/>
      <c r="S119" s="216"/>
      <c r="T119" s="216"/>
      <c r="U119" s="216"/>
      <c r="V119" s="312"/>
      <c r="W119" s="312"/>
      <c r="X119" s="312"/>
      <c r="Y119" s="311" t="s">
        <v>341</v>
      </c>
      <c r="Z119" s="313">
        <f>Z120</f>
        <v>1904192.1600000001</v>
      </c>
      <c r="AA119" s="314">
        <f>AA120</f>
        <v>0</v>
      </c>
      <c r="AB119" s="276"/>
      <c r="AC119" s="276"/>
      <c r="AD119" s="279"/>
    </row>
    <row r="120" spans="1:32" ht="134.25" customHeight="1" x14ac:dyDescent="0.3">
      <c r="A120" s="324" t="s">
        <v>342</v>
      </c>
      <c r="B120" s="316" t="s">
        <v>11</v>
      </c>
      <c r="C120" s="316" t="s">
        <v>127</v>
      </c>
      <c r="D120" s="316" t="s">
        <v>118</v>
      </c>
      <c r="E120" s="216" t="s">
        <v>646</v>
      </c>
      <c r="F120" s="316"/>
      <c r="G120" s="316"/>
      <c r="H120" s="316"/>
      <c r="I120" s="316"/>
      <c r="J120" s="316"/>
      <c r="K120" s="316"/>
      <c r="L120" s="316"/>
      <c r="M120" s="316"/>
      <c r="N120" s="316"/>
      <c r="O120" s="316"/>
      <c r="P120" s="316"/>
      <c r="Q120" s="316"/>
      <c r="R120" s="316"/>
      <c r="S120" s="316"/>
      <c r="T120" s="316" t="s">
        <v>281</v>
      </c>
      <c r="U120" s="316"/>
      <c r="V120" s="317"/>
      <c r="W120" s="317"/>
      <c r="X120" s="317"/>
      <c r="Y120" s="324" t="s">
        <v>342</v>
      </c>
      <c r="Z120" s="322">
        <f>3404192.16-3404192.16+3404192.16-500000-1000000</f>
        <v>1904192.1600000001</v>
      </c>
      <c r="AA120" s="334">
        <f>3176057.52-2000000-1176057.52</f>
        <v>0</v>
      </c>
      <c r="AB120" s="177"/>
      <c r="AC120" s="177"/>
      <c r="AD120" s="279"/>
      <c r="AF120" s="274"/>
    </row>
    <row r="121" spans="1:32" ht="49.5" customHeight="1" x14ac:dyDescent="0.3">
      <c r="A121" s="301" t="s">
        <v>140</v>
      </c>
      <c r="B121" s="302" t="s">
        <v>11</v>
      </c>
      <c r="C121" s="302" t="s">
        <v>127</v>
      </c>
      <c r="D121" s="302" t="s">
        <v>120</v>
      </c>
      <c r="E121" s="302"/>
      <c r="F121" s="302"/>
      <c r="G121" s="302"/>
      <c r="H121" s="302"/>
      <c r="I121" s="302"/>
      <c r="J121" s="302"/>
      <c r="K121" s="302"/>
      <c r="L121" s="302"/>
      <c r="M121" s="302"/>
      <c r="N121" s="302"/>
      <c r="O121" s="302"/>
      <c r="P121" s="302"/>
      <c r="Q121" s="302"/>
      <c r="R121" s="302"/>
      <c r="S121" s="302"/>
      <c r="T121" s="302"/>
      <c r="U121" s="302"/>
      <c r="V121" s="303"/>
      <c r="W121" s="303"/>
      <c r="X121" s="303"/>
      <c r="Y121" s="301" t="s">
        <v>140</v>
      </c>
      <c r="Z121" s="325">
        <f>Z122+Z126+Z130+Z124+Z128</f>
        <v>220000</v>
      </c>
      <c r="AA121" s="326">
        <f>AA122+AA126+AA130+AA124+AA128</f>
        <v>183000</v>
      </c>
      <c r="AB121" s="178"/>
      <c r="AC121" s="178"/>
      <c r="AD121" s="273" t="s">
        <v>140</v>
      </c>
    </row>
    <row r="122" spans="1:32" ht="12.75" hidden="1" customHeight="1" x14ac:dyDescent="0.3">
      <c r="A122" s="311" t="s">
        <v>343</v>
      </c>
      <c r="B122" s="216" t="s">
        <v>11</v>
      </c>
      <c r="C122" s="216" t="s">
        <v>127</v>
      </c>
      <c r="D122" s="216" t="s">
        <v>120</v>
      </c>
      <c r="E122" s="216" t="s">
        <v>344</v>
      </c>
      <c r="F122" s="216"/>
      <c r="G122" s="216"/>
      <c r="H122" s="216"/>
      <c r="I122" s="216"/>
      <c r="J122" s="216"/>
      <c r="K122" s="216"/>
      <c r="L122" s="216"/>
      <c r="M122" s="216"/>
      <c r="N122" s="216"/>
      <c r="O122" s="216"/>
      <c r="P122" s="216"/>
      <c r="Q122" s="216"/>
      <c r="R122" s="216"/>
      <c r="S122" s="216"/>
      <c r="T122" s="216"/>
      <c r="U122" s="216"/>
      <c r="V122" s="312"/>
      <c r="W122" s="312"/>
      <c r="X122" s="312"/>
      <c r="Y122" s="311" t="s">
        <v>343</v>
      </c>
      <c r="Z122" s="313">
        <f>Z123</f>
        <v>0</v>
      </c>
      <c r="AA122" s="314">
        <f>AA123</f>
        <v>0</v>
      </c>
      <c r="AB122" s="276"/>
      <c r="AC122" s="276"/>
      <c r="AD122" s="277" t="s">
        <v>343</v>
      </c>
      <c r="AF122" s="274"/>
    </row>
    <row r="123" spans="1:32" ht="1.5" customHeight="1" x14ac:dyDescent="0.3">
      <c r="A123" s="324" t="s">
        <v>345</v>
      </c>
      <c r="B123" s="316" t="s">
        <v>11</v>
      </c>
      <c r="C123" s="316" t="s">
        <v>127</v>
      </c>
      <c r="D123" s="316" t="s">
        <v>120</v>
      </c>
      <c r="E123" s="316" t="s">
        <v>344</v>
      </c>
      <c r="F123" s="316"/>
      <c r="G123" s="316"/>
      <c r="H123" s="316"/>
      <c r="I123" s="316"/>
      <c r="J123" s="316"/>
      <c r="K123" s="316"/>
      <c r="L123" s="316"/>
      <c r="M123" s="316"/>
      <c r="N123" s="316"/>
      <c r="O123" s="316"/>
      <c r="P123" s="316"/>
      <c r="Q123" s="316"/>
      <c r="R123" s="316"/>
      <c r="S123" s="316"/>
      <c r="T123" s="316" t="s">
        <v>281</v>
      </c>
      <c r="U123" s="316"/>
      <c r="V123" s="317"/>
      <c r="W123" s="317"/>
      <c r="X123" s="317"/>
      <c r="Y123" s="324" t="s">
        <v>345</v>
      </c>
      <c r="Z123" s="322">
        <f>100000-100000</f>
        <v>0</v>
      </c>
      <c r="AA123" s="319">
        <v>0</v>
      </c>
      <c r="AB123" s="177"/>
      <c r="AC123" s="177"/>
      <c r="AD123" s="279" t="s">
        <v>345</v>
      </c>
      <c r="AF123" s="274"/>
    </row>
    <row r="124" spans="1:32" ht="156.75" customHeight="1" x14ac:dyDescent="0.3">
      <c r="A124" s="311" t="s">
        <v>647</v>
      </c>
      <c r="B124" s="216" t="s">
        <v>11</v>
      </c>
      <c r="C124" s="216" t="s">
        <v>127</v>
      </c>
      <c r="D124" s="216" t="s">
        <v>120</v>
      </c>
      <c r="E124" s="216" t="s">
        <v>648</v>
      </c>
      <c r="F124" s="216"/>
      <c r="G124" s="216"/>
      <c r="H124" s="216"/>
      <c r="I124" s="216"/>
      <c r="J124" s="216"/>
      <c r="K124" s="216"/>
      <c r="L124" s="216"/>
      <c r="M124" s="216"/>
      <c r="N124" s="216"/>
      <c r="O124" s="216"/>
      <c r="P124" s="216"/>
      <c r="Q124" s="216"/>
      <c r="R124" s="216"/>
      <c r="S124" s="216"/>
      <c r="T124" s="216"/>
      <c r="U124" s="216"/>
      <c r="V124" s="312"/>
      <c r="W124" s="312"/>
      <c r="X124" s="312"/>
      <c r="Y124" s="311" t="s">
        <v>343</v>
      </c>
      <c r="Z124" s="313">
        <v>100000</v>
      </c>
      <c r="AA124" s="314">
        <f>AA125</f>
        <v>106000</v>
      </c>
      <c r="AB124" s="276"/>
      <c r="AC124" s="276"/>
      <c r="AD124" s="279"/>
    </row>
    <row r="125" spans="1:32" ht="84.75" customHeight="1" x14ac:dyDescent="0.3">
      <c r="A125" s="324" t="s">
        <v>343</v>
      </c>
      <c r="B125" s="316" t="s">
        <v>11</v>
      </c>
      <c r="C125" s="316" t="s">
        <v>127</v>
      </c>
      <c r="D125" s="316" t="s">
        <v>120</v>
      </c>
      <c r="E125" s="216" t="s">
        <v>648</v>
      </c>
      <c r="F125" s="316"/>
      <c r="G125" s="316"/>
      <c r="H125" s="316"/>
      <c r="I125" s="316"/>
      <c r="J125" s="316"/>
      <c r="K125" s="316"/>
      <c r="L125" s="316"/>
      <c r="M125" s="316"/>
      <c r="N125" s="316"/>
      <c r="O125" s="316"/>
      <c r="P125" s="316"/>
      <c r="Q125" s="316"/>
      <c r="R125" s="316"/>
      <c r="S125" s="316"/>
      <c r="T125" s="316" t="s">
        <v>235</v>
      </c>
      <c r="U125" s="316"/>
      <c r="V125" s="317"/>
      <c r="W125" s="317"/>
      <c r="X125" s="317"/>
      <c r="Y125" s="324" t="s">
        <v>345</v>
      </c>
      <c r="Z125" s="322">
        <v>100000</v>
      </c>
      <c r="AA125" s="334">
        <v>106000</v>
      </c>
      <c r="AB125" s="177"/>
      <c r="AC125" s="177"/>
      <c r="AD125" s="279"/>
    </row>
    <row r="126" spans="1:32" ht="1.5" hidden="1" customHeight="1" x14ac:dyDescent="0.3">
      <c r="A126" s="311" t="s">
        <v>346</v>
      </c>
      <c r="B126" s="216" t="s">
        <v>11</v>
      </c>
      <c r="C126" s="216" t="s">
        <v>127</v>
      </c>
      <c r="D126" s="216" t="s">
        <v>120</v>
      </c>
      <c r="E126" s="216" t="s">
        <v>347</v>
      </c>
      <c r="F126" s="216"/>
      <c r="G126" s="216"/>
      <c r="H126" s="216"/>
      <c r="I126" s="216"/>
      <c r="J126" s="216"/>
      <c r="K126" s="216"/>
      <c r="L126" s="216"/>
      <c r="M126" s="216"/>
      <c r="N126" s="216"/>
      <c r="O126" s="216"/>
      <c r="P126" s="216"/>
      <c r="Q126" s="216"/>
      <c r="R126" s="216"/>
      <c r="S126" s="216"/>
      <c r="T126" s="216"/>
      <c r="U126" s="216"/>
      <c r="V126" s="312"/>
      <c r="W126" s="312"/>
      <c r="X126" s="312"/>
      <c r="Y126" s="311" t="s">
        <v>346</v>
      </c>
      <c r="Z126" s="313">
        <f>Z127</f>
        <v>0</v>
      </c>
      <c r="AA126" s="314"/>
      <c r="AB126" s="276"/>
      <c r="AC126" s="276"/>
      <c r="AD126" s="277" t="s">
        <v>346</v>
      </c>
    </row>
    <row r="127" spans="1:32" ht="186" hidden="1" customHeight="1" x14ac:dyDescent="0.3">
      <c r="A127" s="315" t="s">
        <v>348</v>
      </c>
      <c r="B127" s="316" t="s">
        <v>11</v>
      </c>
      <c r="C127" s="316" t="s">
        <v>127</v>
      </c>
      <c r="D127" s="316" t="s">
        <v>120</v>
      </c>
      <c r="E127" s="316" t="s">
        <v>347</v>
      </c>
      <c r="F127" s="316"/>
      <c r="G127" s="316"/>
      <c r="H127" s="316"/>
      <c r="I127" s="316"/>
      <c r="J127" s="316"/>
      <c r="K127" s="316"/>
      <c r="L127" s="316"/>
      <c r="M127" s="316"/>
      <c r="N127" s="316"/>
      <c r="O127" s="316"/>
      <c r="P127" s="316"/>
      <c r="Q127" s="316"/>
      <c r="R127" s="316"/>
      <c r="S127" s="316"/>
      <c r="T127" s="316" t="s">
        <v>281</v>
      </c>
      <c r="U127" s="316"/>
      <c r="V127" s="317"/>
      <c r="W127" s="317"/>
      <c r="X127" s="317"/>
      <c r="Y127" s="315" t="s">
        <v>348</v>
      </c>
      <c r="Z127" s="322">
        <f>50000-50000</f>
        <v>0</v>
      </c>
      <c r="AA127" s="319"/>
      <c r="AB127" s="177"/>
      <c r="AC127" s="177"/>
      <c r="AD127" s="278" t="s">
        <v>348</v>
      </c>
    </row>
    <row r="128" spans="1:32" ht="204.75" customHeight="1" x14ac:dyDescent="0.3">
      <c r="A128" s="311" t="s">
        <v>649</v>
      </c>
      <c r="B128" s="216" t="s">
        <v>11</v>
      </c>
      <c r="C128" s="216" t="s">
        <v>127</v>
      </c>
      <c r="D128" s="216" t="s">
        <v>120</v>
      </c>
      <c r="E128" s="216" t="s">
        <v>650</v>
      </c>
      <c r="F128" s="216"/>
      <c r="G128" s="216"/>
      <c r="H128" s="216"/>
      <c r="I128" s="216"/>
      <c r="J128" s="216"/>
      <c r="K128" s="216"/>
      <c r="L128" s="216"/>
      <c r="M128" s="216"/>
      <c r="N128" s="216"/>
      <c r="O128" s="216"/>
      <c r="P128" s="216"/>
      <c r="Q128" s="216"/>
      <c r="R128" s="216"/>
      <c r="S128" s="216"/>
      <c r="T128" s="216"/>
      <c r="U128" s="216"/>
      <c r="V128" s="312"/>
      <c r="W128" s="312"/>
      <c r="X128" s="312"/>
      <c r="Y128" s="311" t="s">
        <v>346</v>
      </c>
      <c r="Z128" s="313">
        <v>50000</v>
      </c>
      <c r="AA128" s="314">
        <f>AA129</f>
        <v>53000</v>
      </c>
      <c r="AB128" s="276"/>
      <c r="AC128" s="276"/>
      <c r="AD128" s="278"/>
    </row>
    <row r="129" spans="1:32" ht="137.25" customHeight="1" x14ac:dyDescent="0.3">
      <c r="A129" s="315" t="s">
        <v>346</v>
      </c>
      <c r="B129" s="316" t="s">
        <v>11</v>
      </c>
      <c r="C129" s="316" t="s">
        <v>127</v>
      </c>
      <c r="D129" s="316" t="s">
        <v>120</v>
      </c>
      <c r="E129" s="216" t="s">
        <v>650</v>
      </c>
      <c r="F129" s="316"/>
      <c r="G129" s="316"/>
      <c r="H129" s="316"/>
      <c r="I129" s="316"/>
      <c r="J129" s="316"/>
      <c r="K129" s="316"/>
      <c r="L129" s="316"/>
      <c r="M129" s="316"/>
      <c r="N129" s="316"/>
      <c r="O129" s="316"/>
      <c r="P129" s="316"/>
      <c r="Q129" s="316"/>
      <c r="R129" s="316"/>
      <c r="S129" s="316"/>
      <c r="T129" s="316" t="s">
        <v>235</v>
      </c>
      <c r="U129" s="316"/>
      <c r="V129" s="317"/>
      <c r="W129" s="317"/>
      <c r="X129" s="317"/>
      <c r="Y129" s="315" t="s">
        <v>348</v>
      </c>
      <c r="Z129" s="322">
        <v>50000</v>
      </c>
      <c r="AA129" s="334">
        <v>53000</v>
      </c>
      <c r="AB129" s="177"/>
      <c r="AC129" s="177"/>
      <c r="AD129" s="278"/>
      <c r="AF129" s="274"/>
    </row>
    <row r="130" spans="1:32" ht="165.75" customHeight="1" x14ac:dyDescent="0.3">
      <c r="A130" s="311" t="s">
        <v>651</v>
      </c>
      <c r="B130" s="216" t="s">
        <v>11</v>
      </c>
      <c r="C130" s="216" t="s">
        <v>127</v>
      </c>
      <c r="D130" s="216" t="s">
        <v>120</v>
      </c>
      <c r="E130" s="216" t="s">
        <v>652</v>
      </c>
      <c r="F130" s="216"/>
      <c r="G130" s="216"/>
      <c r="H130" s="216"/>
      <c r="I130" s="216"/>
      <c r="J130" s="216"/>
      <c r="K130" s="216"/>
      <c r="L130" s="216"/>
      <c r="M130" s="216"/>
      <c r="N130" s="216"/>
      <c r="O130" s="216"/>
      <c r="P130" s="216"/>
      <c r="Q130" s="216"/>
      <c r="R130" s="216"/>
      <c r="S130" s="216"/>
      <c r="T130" s="216"/>
      <c r="U130" s="216"/>
      <c r="V130" s="312"/>
      <c r="W130" s="312"/>
      <c r="X130" s="312"/>
      <c r="Y130" s="311" t="s">
        <v>349</v>
      </c>
      <c r="Z130" s="313">
        <f>Z131</f>
        <v>70000</v>
      </c>
      <c r="AA130" s="314">
        <f>AA131</f>
        <v>24000</v>
      </c>
      <c r="AB130" s="276"/>
      <c r="AC130" s="276"/>
      <c r="AD130" s="277" t="s">
        <v>349</v>
      </c>
    </row>
    <row r="131" spans="1:32" ht="136.5" customHeight="1" x14ac:dyDescent="0.3">
      <c r="A131" s="324" t="s">
        <v>350</v>
      </c>
      <c r="B131" s="316" t="s">
        <v>11</v>
      </c>
      <c r="C131" s="316" t="s">
        <v>127</v>
      </c>
      <c r="D131" s="316" t="s">
        <v>120</v>
      </c>
      <c r="E131" s="216" t="s">
        <v>652</v>
      </c>
      <c r="F131" s="316"/>
      <c r="G131" s="316"/>
      <c r="H131" s="316"/>
      <c r="I131" s="316"/>
      <c r="J131" s="316"/>
      <c r="K131" s="316"/>
      <c r="L131" s="316"/>
      <c r="M131" s="316"/>
      <c r="N131" s="316"/>
      <c r="O131" s="316"/>
      <c r="P131" s="316"/>
      <c r="Q131" s="316"/>
      <c r="R131" s="316"/>
      <c r="S131" s="316"/>
      <c r="T131" s="316" t="s">
        <v>281</v>
      </c>
      <c r="U131" s="316"/>
      <c r="V131" s="317"/>
      <c r="W131" s="317"/>
      <c r="X131" s="317"/>
      <c r="Y131" s="324" t="s">
        <v>350</v>
      </c>
      <c r="Z131" s="322">
        <f>50000+20000</f>
        <v>70000</v>
      </c>
      <c r="AA131" s="334">
        <v>24000</v>
      </c>
      <c r="AB131" s="177"/>
      <c r="AC131" s="177"/>
      <c r="AD131" s="279" t="s">
        <v>350</v>
      </c>
      <c r="AF131" s="274"/>
    </row>
    <row r="132" spans="1:32" ht="45" customHeight="1" x14ac:dyDescent="0.3">
      <c r="A132" s="301" t="s">
        <v>352</v>
      </c>
      <c r="B132" s="302" t="s">
        <v>11</v>
      </c>
      <c r="C132" s="302" t="s">
        <v>115</v>
      </c>
      <c r="D132" s="302" t="s">
        <v>124</v>
      </c>
      <c r="E132" s="302"/>
      <c r="F132" s="302"/>
      <c r="G132" s="302"/>
      <c r="H132" s="302"/>
      <c r="I132" s="302"/>
      <c r="J132" s="302"/>
      <c r="K132" s="302"/>
      <c r="L132" s="302"/>
      <c r="M132" s="302"/>
      <c r="N132" s="302"/>
      <c r="O132" s="302"/>
      <c r="P132" s="302"/>
      <c r="Q132" s="302"/>
      <c r="R132" s="302"/>
      <c r="S132" s="302"/>
      <c r="T132" s="302"/>
      <c r="U132" s="302"/>
      <c r="V132" s="303"/>
      <c r="W132" s="303"/>
      <c r="X132" s="303"/>
      <c r="Y132" s="301" t="s">
        <v>352</v>
      </c>
      <c r="Z132" s="325">
        <f>Z133+Z142+Z151</f>
        <v>94255858.640000001</v>
      </c>
      <c r="AA132" s="305">
        <f>AA133+AA142+AA151</f>
        <v>297461936.67000002</v>
      </c>
      <c r="AB132" s="178"/>
      <c r="AC132" s="178"/>
      <c r="AD132" s="273" t="s">
        <v>352</v>
      </c>
      <c r="AF132" s="274"/>
    </row>
    <row r="133" spans="1:32" ht="36.75" customHeight="1" x14ac:dyDescent="0.3">
      <c r="A133" s="301" t="s">
        <v>141</v>
      </c>
      <c r="B133" s="302" t="s">
        <v>11</v>
      </c>
      <c r="C133" s="302" t="s">
        <v>115</v>
      </c>
      <c r="D133" s="302" t="s">
        <v>113</v>
      </c>
      <c r="E133" s="302"/>
      <c r="F133" s="302"/>
      <c r="G133" s="302"/>
      <c r="H133" s="302"/>
      <c r="I133" s="302"/>
      <c r="J133" s="302"/>
      <c r="K133" s="302"/>
      <c r="L133" s="302"/>
      <c r="M133" s="302"/>
      <c r="N133" s="302"/>
      <c r="O133" s="302"/>
      <c r="P133" s="302"/>
      <c r="Q133" s="302"/>
      <c r="R133" s="302"/>
      <c r="S133" s="302"/>
      <c r="T133" s="302"/>
      <c r="U133" s="302"/>
      <c r="V133" s="303"/>
      <c r="W133" s="303"/>
      <c r="X133" s="303"/>
      <c r="Y133" s="301" t="s">
        <v>141</v>
      </c>
      <c r="Z133" s="325">
        <f>Z134</f>
        <v>5723000</v>
      </c>
      <c r="AA133" s="326">
        <f>AA134+AA140+AA138+AA136</f>
        <v>188341055.84999999</v>
      </c>
      <c r="AB133" s="178"/>
      <c r="AC133" s="178"/>
      <c r="AD133" s="273" t="s">
        <v>141</v>
      </c>
    </row>
    <row r="134" spans="1:32" ht="235.5" customHeight="1" x14ac:dyDescent="0.3">
      <c r="A134" s="311" t="s">
        <v>653</v>
      </c>
      <c r="B134" s="216" t="s">
        <v>11</v>
      </c>
      <c r="C134" s="216" t="s">
        <v>115</v>
      </c>
      <c r="D134" s="216" t="s">
        <v>113</v>
      </c>
      <c r="E134" s="216" t="s">
        <v>654</v>
      </c>
      <c r="F134" s="216"/>
      <c r="G134" s="216"/>
      <c r="H134" s="216"/>
      <c r="I134" s="216"/>
      <c r="J134" s="216"/>
      <c r="K134" s="216"/>
      <c r="L134" s="216"/>
      <c r="M134" s="216"/>
      <c r="N134" s="216"/>
      <c r="O134" s="216"/>
      <c r="P134" s="216"/>
      <c r="Q134" s="216"/>
      <c r="R134" s="216"/>
      <c r="S134" s="216"/>
      <c r="T134" s="216"/>
      <c r="U134" s="216"/>
      <c r="V134" s="312"/>
      <c r="W134" s="312"/>
      <c r="X134" s="312"/>
      <c r="Y134" s="311" t="s">
        <v>353</v>
      </c>
      <c r="Z134" s="313">
        <v>5723000</v>
      </c>
      <c r="AA134" s="314">
        <f>AA135</f>
        <v>2500000</v>
      </c>
      <c r="AB134" s="276"/>
      <c r="AC134" s="276"/>
      <c r="AD134" s="277" t="s">
        <v>353</v>
      </c>
    </row>
    <row r="135" spans="1:32" ht="145.5" customHeight="1" x14ac:dyDescent="0.3">
      <c r="A135" s="339" t="s">
        <v>354</v>
      </c>
      <c r="B135" s="337" t="s">
        <v>11</v>
      </c>
      <c r="C135" s="337" t="s">
        <v>115</v>
      </c>
      <c r="D135" s="337" t="s">
        <v>113</v>
      </c>
      <c r="E135" s="356" t="s">
        <v>654</v>
      </c>
      <c r="F135" s="337"/>
      <c r="G135" s="337"/>
      <c r="H135" s="337"/>
      <c r="I135" s="337"/>
      <c r="J135" s="337"/>
      <c r="K135" s="337"/>
      <c r="L135" s="337"/>
      <c r="M135" s="337"/>
      <c r="N135" s="337"/>
      <c r="O135" s="337"/>
      <c r="P135" s="337"/>
      <c r="Q135" s="337"/>
      <c r="R135" s="337"/>
      <c r="S135" s="337"/>
      <c r="T135" s="337" t="s">
        <v>355</v>
      </c>
      <c r="U135" s="337"/>
      <c r="V135" s="338"/>
      <c r="W135" s="338"/>
      <c r="X135" s="338"/>
      <c r="Y135" s="339" t="s">
        <v>354</v>
      </c>
      <c r="Z135" s="318">
        <v>5723000</v>
      </c>
      <c r="AA135" s="357">
        <v>2500000</v>
      </c>
      <c r="AB135" s="177"/>
      <c r="AC135" s="177"/>
      <c r="AD135" s="279" t="s">
        <v>354</v>
      </c>
      <c r="AF135" s="274"/>
    </row>
    <row r="136" spans="1:32" ht="264.75" customHeight="1" x14ac:dyDescent="0.3">
      <c r="A136" s="358" t="s">
        <v>955</v>
      </c>
      <c r="B136" s="359" t="s">
        <v>11</v>
      </c>
      <c r="C136" s="359" t="s">
        <v>115</v>
      </c>
      <c r="D136" s="359" t="s">
        <v>113</v>
      </c>
      <c r="E136" s="360" t="s">
        <v>876</v>
      </c>
      <c r="F136" s="359"/>
      <c r="G136" s="359"/>
      <c r="H136" s="359"/>
      <c r="I136" s="359"/>
      <c r="J136" s="359"/>
      <c r="K136" s="359"/>
      <c r="L136" s="359"/>
      <c r="M136" s="359"/>
      <c r="N136" s="359"/>
      <c r="O136" s="359"/>
      <c r="P136" s="359"/>
      <c r="Q136" s="359"/>
      <c r="R136" s="359"/>
      <c r="S136" s="359"/>
      <c r="T136" s="359"/>
      <c r="U136" s="361"/>
      <c r="V136" s="362"/>
      <c r="W136" s="362"/>
      <c r="X136" s="362"/>
      <c r="Y136" s="363"/>
      <c r="Z136" s="364"/>
      <c r="AA136" s="357">
        <f>AA137</f>
        <v>162460538.59</v>
      </c>
      <c r="AB136" s="177"/>
      <c r="AC136" s="177"/>
      <c r="AD136" s="279"/>
      <c r="AF136" s="274"/>
    </row>
    <row r="137" spans="1:32" ht="72" customHeight="1" x14ac:dyDescent="0.3">
      <c r="A137" s="358" t="s">
        <v>530</v>
      </c>
      <c r="B137" s="359" t="s">
        <v>11</v>
      </c>
      <c r="C137" s="359" t="s">
        <v>115</v>
      </c>
      <c r="D137" s="359" t="s">
        <v>113</v>
      </c>
      <c r="E137" s="360" t="s">
        <v>876</v>
      </c>
      <c r="F137" s="359"/>
      <c r="G137" s="359"/>
      <c r="H137" s="359"/>
      <c r="I137" s="359"/>
      <c r="J137" s="359"/>
      <c r="K137" s="359"/>
      <c r="L137" s="359"/>
      <c r="M137" s="359"/>
      <c r="N137" s="359"/>
      <c r="O137" s="359"/>
      <c r="P137" s="359"/>
      <c r="Q137" s="359"/>
      <c r="R137" s="359"/>
      <c r="S137" s="359"/>
      <c r="T137" s="359" t="s">
        <v>355</v>
      </c>
      <c r="U137" s="361"/>
      <c r="V137" s="362"/>
      <c r="W137" s="362"/>
      <c r="X137" s="362"/>
      <c r="Y137" s="363"/>
      <c r="Z137" s="364"/>
      <c r="AA137" s="357">
        <f>7065202.59+155395336</f>
        <v>162460538.59</v>
      </c>
      <c r="AB137" s="177"/>
      <c r="AC137" s="177"/>
      <c r="AD137" s="279"/>
      <c r="AF137" s="274"/>
    </row>
    <row r="138" spans="1:32" ht="270.75" customHeight="1" x14ac:dyDescent="0.3">
      <c r="A138" s="365" t="s">
        <v>837</v>
      </c>
      <c r="B138" s="359" t="s">
        <v>11</v>
      </c>
      <c r="C138" s="359" t="s">
        <v>115</v>
      </c>
      <c r="D138" s="359" t="s">
        <v>113</v>
      </c>
      <c r="E138" s="360" t="s">
        <v>874</v>
      </c>
      <c r="F138" s="359"/>
      <c r="G138" s="359"/>
      <c r="H138" s="359"/>
      <c r="I138" s="359"/>
      <c r="J138" s="359"/>
      <c r="K138" s="359"/>
      <c r="L138" s="359"/>
      <c r="M138" s="359"/>
      <c r="N138" s="359"/>
      <c r="O138" s="359"/>
      <c r="P138" s="359"/>
      <c r="Q138" s="359"/>
      <c r="R138" s="359"/>
      <c r="S138" s="359"/>
      <c r="T138" s="359"/>
      <c r="U138" s="359"/>
      <c r="V138" s="366"/>
      <c r="W138" s="366"/>
      <c r="X138" s="366"/>
      <c r="Y138" s="336"/>
      <c r="Z138" s="319"/>
      <c r="AA138" s="334">
        <f>AA139</f>
        <v>23051599.059999999</v>
      </c>
      <c r="AB138" s="177"/>
      <c r="AC138" s="177"/>
      <c r="AD138" s="279"/>
      <c r="AF138" s="274"/>
    </row>
    <row r="139" spans="1:32" ht="163.5" customHeight="1" x14ac:dyDescent="0.3">
      <c r="A139" s="345" t="s">
        <v>354</v>
      </c>
      <c r="B139" s="359" t="s">
        <v>11</v>
      </c>
      <c r="C139" s="359" t="s">
        <v>115</v>
      </c>
      <c r="D139" s="359" t="s">
        <v>113</v>
      </c>
      <c r="E139" s="360" t="s">
        <v>874</v>
      </c>
      <c r="F139" s="359"/>
      <c r="G139" s="359"/>
      <c r="H139" s="359"/>
      <c r="I139" s="359"/>
      <c r="J139" s="359"/>
      <c r="K139" s="359"/>
      <c r="L139" s="359"/>
      <c r="M139" s="359"/>
      <c r="N139" s="359"/>
      <c r="O139" s="359"/>
      <c r="P139" s="359"/>
      <c r="Q139" s="359"/>
      <c r="R139" s="359"/>
      <c r="S139" s="359"/>
      <c r="T139" s="359" t="s">
        <v>355</v>
      </c>
      <c r="U139" s="359"/>
      <c r="V139" s="366"/>
      <c r="W139" s="366"/>
      <c r="X139" s="366"/>
      <c r="Y139" s="336"/>
      <c r="Z139" s="319"/>
      <c r="AA139" s="334">
        <f>18304436.83+5535587.23-788425</f>
        <v>23051599.059999999</v>
      </c>
      <c r="AB139" s="177"/>
      <c r="AC139" s="177"/>
      <c r="AD139" s="279"/>
      <c r="AF139" s="274"/>
    </row>
    <row r="140" spans="1:32" ht="75" customHeight="1" x14ac:dyDescent="0.3">
      <c r="A140" s="367" t="s">
        <v>581</v>
      </c>
      <c r="B140" s="368" t="s">
        <v>11</v>
      </c>
      <c r="C140" s="368" t="s">
        <v>115</v>
      </c>
      <c r="D140" s="369" t="s">
        <v>113</v>
      </c>
      <c r="E140" s="234" t="s">
        <v>655</v>
      </c>
      <c r="F140" s="370"/>
      <c r="G140" s="370"/>
      <c r="H140" s="370"/>
      <c r="I140" s="370"/>
      <c r="J140" s="370"/>
      <c r="K140" s="370"/>
      <c r="L140" s="370"/>
      <c r="M140" s="370"/>
      <c r="N140" s="370"/>
      <c r="O140" s="370"/>
      <c r="P140" s="370"/>
      <c r="Q140" s="370"/>
      <c r="R140" s="370"/>
      <c r="S140" s="370"/>
      <c r="T140" s="370"/>
      <c r="U140" s="370"/>
      <c r="V140" s="371"/>
      <c r="W140" s="371"/>
      <c r="X140" s="371"/>
      <c r="Y140" s="372"/>
      <c r="Z140" s="373"/>
      <c r="AA140" s="374">
        <f>AA141</f>
        <v>328918.2</v>
      </c>
      <c r="AB140" s="177"/>
      <c r="AC140" s="177"/>
      <c r="AD140" s="279"/>
    </row>
    <row r="141" spans="1:32" ht="48" customHeight="1" x14ac:dyDescent="0.3">
      <c r="A141" s="358" t="s">
        <v>582</v>
      </c>
      <c r="B141" s="359" t="s">
        <v>11</v>
      </c>
      <c r="C141" s="359" t="s">
        <v>115</v>
      </c>
      <c r="D141" s="375" t="s">
        <v>113</v>
      </c>
      <c r="E141" s="216" t="s">
        <v>655</v>
      </c>
      <c r="F141" s="316"/>
      <c r="G141" s="316"/>
      <c r="H141" s="316"/>
      <c r="I141" s="316"/>
      <c r="J141" s="316"/>
      <c r="K141" s="316"/>
      <c r="L141" s="316"/>
      <c r="M141" s="316"/>
      <c r="N141" s="316"/>
      <c r="O141" s="316"/>
      <c r="P141" s="316"/>
      <c r="Q141" s="316"/>
      <c r="R141" s="316"/>
      <c r="S141" s="316"/>
      <c r="T141" s="316" t="s">
        <v>281</v>
      </c>
      <c r="U141" s="316"/>
      <c r="V141" s="317"/>
      <c r="W141" s="317"/>
      <c r="X141" s="317"/>
      <c r="Y141" s="324"/>
      <c r="Z141" s="322"/>
      <c r="AA141" s="319">
        <v>328918.2</v>
      </c>
      <c r="AB141" s="177"/>
      <c r="AC141" s="177"/>
      <c r="AD141" s="279"/>
    </row>
    <row r="142" spans="1:32" ht="21.75" customHeight="1" x14ac:dyDescent="0.3">
      <c r="A142" s="349" t="s">
        <v>142</v>
      </c>
      <c r="B142" s="350" t="s">
        <v>11</v>
      </c>
      <c r="C142" s="350" t="s">
        <v>115</v>
      </c>
      <c r="D142" s="302" t="s">
        <v>123</v>
      </c>
      <c r="E142" s="302"/>
      <c r="F142" s="302"/>
      <c r="G142" s="302"/>
      <c r="H142" s="302"/>
      <c r="I142" s="302"/>
      <c r="J142" s="302"/>
      <c r="K142" s="302"/>
      <c r="L142" s="302"/>
      <c r="M142" s="302"/>
      <c r="N142" s="302"/>
      <c r="O142" s="302"/>
      <c r="P142" s="302"/>
      <c r="Q142" s="302"/>
      <c r="R142" s="302"/>
      <c r="S142" s="302"/>
      <c r="T142" s="302"/>
      <c r="U142" s="302"/>
      <c r="V142" s="303"/>
      <c r="W142" s="303"/>
      <c r="X142" s="303"/>
      <c r="Y142" s="301" t="s">
        <v>142</v>
      </c>
      <c r="Z142" s="325">
        <f>Z143+Z147</f>
        <v>87955169.219999999</v>
      </c>
      <c r="AA142" s="305">
        <f>AA143+AA147+AA145+AA149</f>
        <v>106536371.84</v>
      </c>
      <c r="AB142" s="178"/>
      <c r="AC142" s="178"/>
      <c r="AD142" s="273" t="s">
        <v>142</v>
      </c>
    </row>
    <row r="143" spans="1:32" ht="113.25" customHeight="1" x14ac:dyDescent="0.3">
      <c r="A143" s="311" t="s">
        <v>656</v>
      </c>
      <c r="B143" s="216" t="s">
        <v>11</v>
      </c>
      <c r="C143" s="216" t="s">
        <v>115</v>
      </c>
      <c r="D143" s="216" t="s">
        <v>123</v>
      </c>
      <c r="E143" s="216" t="s">
        <v>657</v>
      </c>
      <c r="F143" s="216"/>
      <c r="G143" s="216"/>
      <c r="H143" s="216"/>
      <c r="I143" s="216"/>
      <c r="J143" s="216"/>
      <c r="K143" s="216"/>
      <c r="L143" s="216"/>
      <c r="M143" s="216"/>
      <c r="N143" s="216"/>
      <c r="O143" s="216"/>
      <c r="P143" s="216"/>
      <c r="Q143" s="216"/>
      <c r="R143" s="216"/>
      <c r="S143" s="216"/>
      <c r="T143" s="216"/>
      <c r="U143" s="216"/>
      <c r="V143" s="312"/>
      <c r="W143" s="312"/>
      <c r="X143" s="312"/>
      <c r="Y143" s="311"/>
      <c r="Z143" s="313">
        <f>Z144</f>
        <v>847994</v>
      </c>
      <c r="AA143" s="314">
        <f>AA144</f>
        <v>7477126.8700000001</v>
      </c>
      <c r="AB143" s="276"/>
      <c r="AC143" s="276"/>
      <c r="AD143" s="273"/>
    </row>
    <row r="144" spans="1:32" ht="89.25" customHeight="1" x14ac:dyDescent="0.3">
      <c r="A144" s="324" t="s">
        <v>351</v>
      </c>
      <c r="B144" s="216" t="s">
        <v>11</v>
      </c>
      <c r="C144" s="216" t="s">
        <v>115</v>
      </c>
      <c r="D144" s="216" t="s">
        <v>123</v>
      </c>
      <c r="E144" s="216" t="s">
        <v>657</v>
      </c>
      <c r="F144" s="216"/>
      <c r="G144" s="216"/>
      <c r="H144" s="216"/>
      <c r="I144" s="216"/>
      <c r="J144" s="216"/>
      <c r="K144" s="216"/>
      <c r="L144" s="216"/>
      <c r="M144" s="216"/>
      <c r="N144" s="216"/>
      <c r="O144" s="216"/>
      <c r="P144" s="216"/>
      <c r="Q144" s="216"/>
      <c r="R144" s="216"/>
      <c r="S144" s="216"/>
      <c r="T144" s="216" t="s">
        <v>281</v>
      </c>
      <c r="U144" s="216"/>
      <c r="V144" s="312"/>
      <c r="W144" s="312"/>
      <c r="X144" s="312"/>
      <c r="Y144" s="311"/>
      <c r="Z144" s="313">
        <f>548000+299994</f>
        <v>847994</v>
      </c>
      <c r="AA144" s="321">
        <f>500000+3500000+1429771+788425+1000000+1000000-340368.47-200700.66-200000</f>
        <v>7477126.8700000001</v>
      </c>
      <c r="AB144" s="276"/>
      <c r="AC144" s="276"/>
      <c r="AD144" s="273"/>
    </row>
    <row r="145" spans="1:32" ht="65.25" customHeight="1" x14ac:dyDescent="0.3">
      <c r="A145" s="324" t="s">
        <v>831</v>
      </c>
      <c r="B145" s="216" t="s">
        <v>11</v>
      </c>
      <c r="C145" s="216" t="s">
        <v>115</v>
      </c>
      <c r="D145" s="216" t="s">
        <v>123</v>
      </c>
      <c r="E145" s="216" t="s">
        <v>833</v>
      </c>
      <c r="F145" s="216"/>
      <c r="G145" s="216"/>
      <c r="H145" s="216"/>
      <c r="I145" s="216"/>
      <c r="J145" s="216"/>
      <c r="K145" s="216"/>
      <c r="L145" s="216"/>
      <c r="M145" s="216"/>
      <c r="N145" s="216"/>
      <c r="O145" s="216"/>
      <c r="P145" s="216"/>
      <c r="Q145" s="216"/>
      <c r="R145" s="216"/>
      <c r="S145" s="216"/>
      <c r="T145" s="216"/>
      <c r="U145" s="216"/>
      <c r="V145" s="312"/>
      <c r="W145" s="312"/>
      <c r="X145" s="312"/>
      <c r="Y145" s="311"/>
      <c r="Z145" s="313"/>
      <c r="AA145" s="321">
        <f>AA146</f>
        <v>11142506.66</v>
      </c>
      <c r="AB145" s="276"/>
      <c r="AC145" s="276"/>
      <c r="AD145" s="273"/>
    </row>
    <row r="146" spans="1:32" ht="225.75" customHeight="1" x14ac:dyDescent="0.3">
      <c r="A146" s="355" t="s">
        <v>832</v>
      </c>
      <c r="B146" s="296" t="s">
        <v>11</v>
      </c>
      <c r="C146" s="296" t="s">
        <v>115</v>
      </c>
      <c r="D146" s="296" t="s">
        <v>123</v>
      </c>
      <c r="E146" s="296" t="s">
        <v>833</v>
      </c>
      <c r="F146" s="296"/>
      <c r="G146" s="296"/>
      <c r="H146" s="296"/>
      <c r="I146" s="296"/>
      <c r="J146" s="296"/>
      <c r="K146" s="296"/>
      <c r="L146" s="296"/>
      <c r="M146" s="296"/>
      <c r="N146" s="296"/>
      <c r="O146" s="296"/>
      <c r="P146" s="296"/>
      <c r="Q146" s="296"/>
      <c r="R146" s="296"/>
      <c r="S146" s="296"/>
      <c r="T146" s="296" t="s">
        <v>281</v>
      </c>
      <c r="U146" s="296"/>
      <c r="V146" s="424"/>
      <c r="W146" s="424"/>
      <c r="X146" s="424"/>
      <c r="Y146" s="423"/>
      <c r="Z146" s="425"/>
      <c r="AA146" s="450">
        <f>5300000+85000-924000+1504587.33-780000-1000000-240000-135921.51+1000000-140447.23+10000+6903288.07-400000-40000</f>
        <v>11142506.66</v>
      </c>
      <c r="AB146" s="276"/>
      <c r="AC146" s="276"/>
      <c r="AD146" s="273"/>
    </row>
    <row r="147" spans="1:32" ht="250.5" customHeight="1" x14ac:dyDescent="0.3">
      <c r="A147" s="331" t="s">
        <v>219</v>
      </c>
      <c r="B147" s="216" t="s">
        <v>11</v>
      </c>
      <c r="C147" s="216" t="s">
        <v>115</v>
      </c>
      <c r="D147" s="216" t="s">
        <v>123</v>
      </c>
      <c r="E147" s="216" t="s">
        <v>658</v>
      </c>
      <c r="F147" s="216"/>
      <c r="G147" s="216"/>
      <c r="H147" s="216"/>
      <c r="I147" s="216"/>
      <c r="J147" s="216"/>
      <c r="K147" s="216"/>
      <c r="L147" s="216"/>
      <c r="M147" s="216"/>
      <c r="N147" s="216"/>
      <c r="O147" s="216"/>
      <c r="P147" s="216"/>
      <c r="Q147" s="216"/>
      <c r="R147" s="216"/>
      <c r="S147" s="216"/>
      <c r="T147" s="216"/>
      <c r="U147" s="216"/>
      <c r="V147" s="312"/>
      <c r="W147" s="312"/>
      <c r="X147" s="312"/>
      <c r="Y147" s="331" t="s">
        <v>219</v>
      </c>
      <c r="Z147" s="313">
        <f>Z148</f>
        <v>87107175.219999999</v>
      </c>
      <c r="AA147" s="321">
        <f>AA148</f>
        <v>84116738.310000002</v>
      </c>
      <c r="AB147" s="177"/>
      <c r="AC147" s="177"/>
      <c r="AD147" s="278"/>
    </row>
    <row r="148" spans="1:32" ht="288" customHeight="1" x14ac:dyDescent="0.3">
      <c r="A148" s="315" t="s">
        <v>550</v>
      </c>
      <c r="B148" s="316" t="s">
        <v>11</v>
      </c>
      <c r="C148" s="316" t="s">
        <v>115</v>
      </c>
      <c r="D148" s="316" t="s">
        <v>123</v>
      </c>
      <c r="E148" s="216" t="s">
        <v>658</v>
      </c>
      <c r="F148" s="316"/>
      <c r="G148" s="316"/>
      <c r="H148" s="316"/>
      <c r="I148" s="316"/>
      <c r="J148" s="316"/>
      <c r="K148" s="316"/>
      <c r="L148" s="316"/>
      <c r="M148" s="316"/>
      <c r="N148" s="316"/>
      <c r="O148" s="316"/>
      <c r="P148" s="316"/>
      <c r="Q148" s="316"/>
      <c r="R148" s="316"/>
      <c r="S148" s="316"/>
      <c r="T148" s="316" t="s">
        <v>235</v>
      </c>
      <c r="U148" s="316"/>
      <c r="V148" s="317"/>
      <c r="W148" s="317"/>
      <c r="X148" s="317"/>
      <c r="Y148" s="315" t="s">
        <v>356</v>
      </c>
      <c r="Z148" s="322">
        <f>97665700-21-10558503.78</f>
        <v>87107175.219999999</v>
      </c>
      <c r="AA148" s="319">
        <f>87107200-24.78-4760796.84+1770359.93</f>
        <v>84116738.310000002</v>
      </c>
      <c r="AB148" s="177"/>
      <c r="AC148" s="177"/>
      <c r="AD148" s="278"/>
      <c r="AF148" s="274"/>
    </row>
    <row r="149" spans="1:32" ht="50.25" customHeight="1" x14ac:dyDescent="0.3">
      <c r="A149" s="315" t="s">
        <v>868</v>
      </c>
      <c r="B149" s="316" t="s">
        <v>11</v>
      </c>
      <c r="C149" s="316" t="s">
        <v>115</v>
      </c>
      <c r="D149" s="316" t="s">
        <v>123</v>
      </c>
      <c r="E149" s="216" t="s">
        <v>870</v>
      </c>
      <c r="F149" s="316"/>
      <c r="G149" s="316"/>
      <c r="H149" s="316"/>
      <c r="I149" s="316"/>
      <c r="J149" s="316"/>
      <c r="K149" s="316"/>
      <c r="L149" s="316"/>
      <c r="M149" s="316"/>
      <c r="N149" s="316"/>
      <c r="O149" s="316"/>
      <c r="P149" s="316"/>
      <c r="Q149" s="316"/>
      <c r="R149" s="316"/>
      <c r="S149" s="316"/>
      <c r="T149" s="316"/>
      <c r="U149" s="316"/>
      <c r="V149" s="317"/>
      <c r="W149" s="317"/>
      <c r="X149" s="317"/>
      <c r="Y149" s="315"/>
      <c r="Z149" s="322"/>
      <c r="AA149" s="332">
        <f>AA150</f>
        <v>3800000</v>
      </c>
      <c r="AB149" s="177"/>
      <c r="AC149" s="177"/>
      <c r="AD149" s="278"/>
      <c r="AF149" s="274"/>
    </row>
    <row r="150" spans="1:32" ht="262.5" customHeight="1" x14ac:dyDescent="0.3">
      <c r="A150" s="315" t="s">
        <v>869</v>
      </c>
      <c r="B150" s="316" t="s">
        <v>11</v>
      </c>
      <c r="C150" s="316" t="s">
        <v>115</v>
      </c>
      <c r="D150" s="316" t="s">
        <v>123</v>
      </c>
      <c r="E150" s="216" t="s">
        <v>870</v>
      </c>
      <c r="F150" s="316"/>
      <c r="G150" s="316"/>
      <c r="H150" s="316"/>
      <c r="I150" s="316"/>
      <c r="J150" s="316"/>
      <c r="K150" s="316"/>
      <c r="L150" s="316"/>
      <c r="M150" s="316"/>
      <c r="N150" s="316"/>
      <c r="O150" s="316"/>
      <c r="P150" s="316"/>
      <c r="Q150" s="316"/>
      <c r="R150" s="316"/>
      <c r="S150" s="316"/>
      <c r="T150" s="316" t="s">
        <v>281</v>
      </c>
      <c r="U150" s="316"/>
      <c r="V150" s="317"/>
      <c r="W150" s="317"/>
      <c r="X150" s="317"/>
      <c r="Y150" s="315"/>
      <c r="Z150" s="322"/>
      <c r="AA150" s="332">
        <f>2300000+1500000</f>
        <v>3800000</v>
      </c>
      <c r="AB150" s="177"/>
      <c r="AC150" s="177"/>
      <c r="AD150" s="278"/>
      <c r="AF150" s="274"/>
    </row>
    <row r="151" spans="1:32" ht="39.75" customHeight="1" x14ac:dyDescent="0.3">
      <c r="A151" s="301" t="s">
        <v>143</v>
      </c>
      <c r="B151" s="302" t="s">
        <v>11</v>
      </c>
      <c r="C151" s="302" t="s">
        <v>115</v>
      </c>
      <c r="D151" s="302" t="s">
        <v>114</v>
      </c>
      <c r="E151" s="302"/>
      <c r="F151" s="302"/>
      <c r="G151" s="302"/>
      <c r="H151" s="302"/>
      <c r="I151" s="302"/>
      <c r="J151" s="302"/>
      <c r="K151" s="302"/>
      <c r="L151" s="302"/>
      <c r="M151" s="302"/>
      <c r="N151" s="302"/>
      <c r="O151" s="302"/>
      <c r="P151" s="302"/>
      <c r="Q151" s="302"/>
      <c r="R151" s="302"/>
      <c r="S151" s="302"/>
      <c r="T151" s="302"/>
      <c r="U151" s="302"/>
      <c r="V151" s="303"/>
      <c r="W151" s="303"/>
      <c r="X151" s="303"/>
      <c r="Y151" s="301" t="s">
        <v>143</v>
      </c>
      <c r="Z151" s="325">
        <f>Z152+Z154+Z158+Z162+Z164+Z166</f>
        <v>577689.42000000004</v>
      </c>
      <c r="AA151" s="326">
        <f>AA152+AA154+AA158+AA162+AA164+AA166+AA160+AA156</f>
        <v>2584508.98</v>
      </c>
      <c r="AB151" s="178"/>
      <c r="AC151" s="178"/>
      <c r="AD151" s="273" t="s">
        <v>143</v>
      </c>
    </row>
    <row r="152" spans="1:32" ht="232.5" customHeight="1" x14ac:dyDescent="0.3">
      <c r="A152" s="376" t="s">
        <v>909</v>
      </c>
      <c r="B152" s="216" t="s">
        <v>11</v>
      </c>
      <c r="C152" s="216" t="s">
        <v>115</v>
      </c>
      <c r="D152" s="216" t="s">
        <v>114</v>
      </c>
      <c r="E152" s="216" t="s">
        <v>660</v>
      </c>
      <c r="F152" s="216"/>
      <c r="G152" s="216"/>
      <c r="H152" s="216"/>
      <c r="I152" s="216"/>
      <c r="J152" s="216"/>
      <c r="K152" s="216"/>
      <c r="L152" s="216"/>
      <c r="M152" s="216"/>
      <c r="N152" s="216"/>
      <c r="O152" s="216"/>
      <c r="P152" s="216"/>
      <c r="Q152" s="216"/>
      <c r="R152" s="216"/>
      <c r="S152" s="216"/>
      <c r="T152" s="216"/>
      <c r="U152" s="216"/>
      <c r="V152" s="312"/>
      <c r="W152" s="312"/>
      <c r="X152" s="312"/>
      <c r="Y152" s="311" t="s">
        <v>357</v>
      </c>
      <c r="Z152" s="313">
        <f>Z153</f>
        <v>0</v>
      </c>
      <c r="AA152" s="314">
        <f>AA153</f>
        <v>279990</v>
      </c>
      <c r="AB152" s="276"/>
      <c r="AC152" s="276"/>
      <c r="AD152" s="277" t="s">
        <v>357</v>
      </c>
    </row>
    <row r="153" spans="1:32" ht="186.75" customHeight="1" x14ac:dyDescent="0.3">
      <c r="A153" s="324" t="s">
        <v>910</v>
      </c>
      <c r="B153" s="316" t="s">
        <v>11</v>
      </c>
      <c r="C153" s="316" t="s">
        <v>115</v>
      </c>
      <c r="D153" s="316" t="s">
        <v>114</v>
      </c>
      <c r="E153" s="216" t="s">
        <v>660</v>
      </c>
      <c r="F153" s="316"/>
      <c r="G153" s="316"/>
      <c r="H153" s="316"/>
      <c r="I153" s="316"/>
      <c r="J153" s="316"/>
      <c r="K153" s="316"/>
      <c r="L153" s="316"/>
      <c r="M153" s="316"/>
      <c r="N153" s="316"/>
      <c r="O153" s="316"/>
      <c r="P153" s="316"/>
      <c r="Q153" s="316"/>
      <c r="R153" s="316"/>
      <c r="S153" s="316"/>
      <c r="T153" s="316" t="s">
        <v>281</v>
      </c>
      <c r="U153" s="316"/>
      <c r="V153" s="317"/>
      <c r="W153" s="317"/>
      <c r="X153" s="317"/>
      <c r="Y153" s="324" t="s">
        <v>358</v>
      </c>
      <c r="Z153" s="322">
        <f>100000+800000-114403-785597</f>
        <v>0</v>
      </c>
      <c r="AA153" s="334">
        <f>273000+519000+8000-800000+279990</f>
        <v>279990</v>
      </c>
      <c r="AB153" s="177"/>
      <c r="AC153" s="177"/>
      <c r="AD153" s="279" t="s">
        <v>358</v>
      </c>
      <c r="AF153" s="274"/>
    </row>
    <row r="154" spans="1:32" ht="138" customHeight="1" x14ac:dyDescent="0.3">
      <c r="A154" s="311" t="s">
        <v>661</v>
      </c>
      <c r="B154" s="216" t="s">
        <v>11</v>
      </c>
      <c r="C154" s="216" t="s">
        <v>115</v>
      </c>
      <c r="D154" s="216" t="s">
        <v>114</v>
      </c>
      <c r="E154" s="216" t="s">
        <v>662</v>
      </c>
      <c r="F154" s="216"/>
      <c r="G154" s="216"/>
      <c r="H154" s="216"/>
      <c r="I154" s="216"/>
      <c r="J154" s="216"/>
      <c r="K154" s="216"/>
      <c r="L154" s="216"/>
      <c r="M154" s="216"/>
      <c r="N154" s="216"/>
      <c r="O154" s="216"/>
      <c r="P154" s="216"/>
      <c r="Q154" s="216"/>
      <c r="R154" s="216"/>
      <c r="S154" s="216"/>
      <c r="T154" s="216"/>
      <c r="U154" s="216"/>
      <c r="V154" s="312"/>
      <c r="W154" s="312"/>
      <c r="X154" s="312"/>
      <c r="Y154" s="311" t="s">
        <v>359</v>
      </c>
      <c r="Z154" s="313">
        <f>Z155</f>
        <v>537689.42000000004</v>
      </c>
      <c r="AA154" s="314">
        <f>AA155</f>
        <v>0</v>
      </c>
      <c r="AB154" s="276"/>
      <c r="AC154" s="276"/>
      <c r="AD154" s="277" t="s">
        <v>359</v>
      </c>
    </row>
    <row r="155" spans="1:32" ht="74.45" customHeight="1" x14ac:dyDescent="0.3">
      <c r="A155" s="324" t="s">
        <v>360</v>
      </c>
      <c r="B155" s="316" t="s">
        <v>11</v>
      </c>
      <c r="C155" s="316" t="s">
        <v>115</v>
      </c>
      <c r="D155" s="316" t="s">
        <v>114</v>
      </c>
      <c r="E155" s="216" t="s">
        <v>662</v>
      </c>
      <c r="F155" s="316"/>
      <c r="G155" s="316"/>
      <c r="H155" s="316"/>
      <c r="I155" s="316"/>
      <c r="J155" s="316"/>
      <c r="K155" s="316"/>
      <c r="L155" s="316"/>
      <c r="M155" s="316"/>
      <c r="N155" s="316"/>
      <c r="O155" s="316"/>
      <c r="P155" s="316"/>
      <c r="Q155" s="316"/>
      <c r="R155" s="316"/>
      <c r="S155" s="316"/>
      <c r="T155" s="316" t="s">
        <v>281</v>
      </c>
      <c r="U155" s="316"/>
      <c r="V155" s="317"/>
      <c r="W155" s="317"/>
      <c r="X155" s="317"/>
      <c r="Y155" s="324" t="s">
        <v>360</v>
      </c>
      <c r="Z155" s="322">
        <f>50000+300000+114403-100000+173286.42</f>
        <v>537689.42000000004</v>
      </c>
      <c r="AA155" s="334">
        <f>380449.21-380449.21</f>
        <v>0</v>
      </c>
      <c r="AB155" s="177"/>
      <c r="AC155" s="177"/>
      <c r="AD155" s="279" t="s">
        <v>360</v>
      </c>
      <c r="AF155" s="274"/>
    </row>
    <row r="156" spans="1:32" ht="45" customHeight="1" x14ac:dyDescent="0.3">
      <c r="A156" s="311" t="s">
        <v>860</v>
      </c>
      <c r="B156" s="316" t="s">
        <v>11</v>
      </c>
      <c r="C156" s="316" t="s">
        <v>115</v>
      </c>
      <c r="D156" s="316" t="s">
        <v>114</v>
      </c>
      <c r="E156" s="216" t="s">
        <v>859</v>
      </c>
      <c r="F156" s="316"/>
      <c r="G156" s="316"/>
      <c r="H156" s="316"/>
      <c r="I156" s="316"/>
      <c r="J156" s="316"/>
      <c r="K156" s="316"/>
      <c r="L156" s="316"/>
      <c r="M156" s="316"/>
      <c r="N156" s="316"/>
      <c r="O156" s="316"/>
      <c r="P156" s="316"/>
      <c r="Q156" s="316"/>
      <c r="R156" s="316"/>
      <c r="S156" s="316"/>
      <c r="T156" s="316"/>
      <c r="U156" s="316"/>
      <c r="V156" s="317"/>
      <c r="W156" s="317"/>
      <c r="X156" s="317"/>
      <c r="Y156" s="324"/>
      <c r="Z156" s="322"/>
      <c r="AA156" s="334">
        <f>AA157</f>
        <v>78000</v>
      </c>
      <c r="AB156" s="177"/>
      <c r="AC156" s="177"/>
      <c r="AD156" s="279"/>
      <c r="AF156" s="274"/>
    </row>
    <row r="157" spans="1:32" ht="123" customHeight="1" x14ac:dyDescent="0.3">
      <c r="A157" s="324" t="s">
        <v>861</v>
      </c>
      <c r="B157" s="316" t="s">
        <v>11</v>
      </c>
      <c r="C157" s="316" t="s">
        <v>115</v>
      </c>
      <c r="D157" s="316" t="s">
        <v>114</v>
      </c>
      <c r="E157" s="216" t="s">
        <v>859</v>
      </c>
      <c r="F157" s="316"/>
      <c r="G157" s="316"/>
      <c r="H157" s="316"/>
      <c r="I157" s="316"/>
      <c r="J157" s="316"/>
      <c r="K157" s="316"/>
      <c r="L157" s="316"/>
      <c r="M157" s="316"/>
      <c r="N157" s="316"/>
      <c r="O157" s="316"/>
      <c r="P157" s="316"/>
      <c r="Q157" s="316"/>
      <c r="R157" s="316"/>
      <c r="S157" s="316"/>
      <c r="T157" s="316" t="s">
        <v>281</v>
      </c>
      <c r="U157" s="316"/>
      <c r="V157" s="317"/>
      <c r="W157" s="317"/>
      <c r="X157" s="317"/>
      <c r="Y157" s="324"/>
      <c r="Z157" s="322"/>
      <c r="AA157" s="334">
        <v>78000</v>
      </c>
      <c r="AB157" s="177"/>
      <c r="AC157" s="177"/>
      <c r="AD157" s="279"/>
      <c r="AF157" s="274"/>
    </row>
    <row r="158" spans="1:32" ht="124.5" customHeight="1" x14ac:dyDescent="0.3">
      <c r="A158" s="311" t="s">
        <v>663</v>
      </c>
      <c r="B158" s="216" t="s">
        <v>11</v>
      </c>
      <c r="C158" s="216" t="s">
        <v>115</v>
      </c>
      <c r="D158" s="216" t="s">
        <v>114</v>
      </c>
      <c r="E158" s="216" t="s">
        <v>664</v>
      </c>
      <c r="F158" s="216"/>
      <c r="G158" s="216"/>
      <c r="H158" s="216"/>
      <c r="I158" s="216"/>
      <c r="J158" s="216"/>
      <c r="K158" s="216"/>
      <c r="L158" s="216"/>
      <c r="M158" s="216"/>
      <c r="N158" s="216"/>
      <c r="O158" s="216"/>
      <c r="P158" s="216"/>
      <c r="Q158" s="216"/>
      <c r="R158" s="216"/>
      <c r="S158" s="216"/>
      <c r="T158" s="216"/>
      <c r="U158" s="216"/>
      <c r="V158" s="312"/>
      <c r="W158" s="312"/>
      <c r="X158" s="312"/>
      <c r="Y158" s="311" t="s">
        <v>361</v>
      </c>
      <c r="Z158" s="313">
        <f>Z159</f>
        <v>0</v>
      </c>
      <c r="AA158" s="314">
        <f>AA159</f>
        <v>50000</v>
      </c>
      <c r="AB158" s="276"/>
      <c r="AC158" s="276"/>
      <c r="AD158" s="277" t="s">
        <v>361</v>
      </c>
    </row>
    <row r="159" spans="1:32" ht="93" customHeight="1" x14ac:dyDescent="0.3">
      <c r="A159" s="324" t="s">
        <v>362</v>
      </c>
      <c r="B159" s="316" t="s">
        <v>11</v>
      </c>
      <c r="C159" s="316" t="s">
        <v>115</v>
      </c>
      <c r="D159" s="316" t="s">
        <v>114</v>
      </c>
      <c r="E159" s="216" t="s">
        <v>664</v>
      </c>
      <c r="F159" s="316"/>
      <c r="G159" s="316"/>
      <c r="H159" s="316"/>
      <c r="I159" s="316"/>
      <c r="J159" s="316"/>
      <c r="K159" s="316"/>
      <c r="L159" s="316"/>
      <c r="M159" s="316"/>
      <c r="N159" s="316"/>
      <c r="O159" s="316"/>
      <c r="P159" s="316"/>
      <c r="Q159" s="316"/>
      <c r="R159" s="316"/>
      <c r="S159" s="316"/>
      <c r="T159" s="316" t="s">
        <v>281</v>
      </c>
      <c r="U159" s="316"/>
      <c r="V159" s="317"/>
      <c r="W159" s="317"/>
      <c r="X159" s="317"/>
      <c r="Y159" s="324" t="s">
        <v>362</v>
      </c>
      <c r="Z159" s="322">
        <f>100000-100000</f>
        <v>0</v>
      </c>
      <c r="AA159" s="334">
        <f>100000-50000</f>
        <v>50000</v>
      </c>
      <c r="AB159" s="177"/>
      <c r="AC159" s="177"/>
      <c r="AD159" s="279" t="s">
        <v>362</v>
      </c>
      <c r="AF159" s="274"/>
    </row>
    <row r="160" spans="1:32" ht="40.5" customHeight="1" x14ac:dyDescent="0.3">
      <c r="A160" s="311" t="s">
        <v>839</v>
      </c>
      <c r="B160" s="316" t="s">
        <v>11</v>
      </c>
      <c r="C160" s="316" t="s">
        <v>115</v>
      </c>
      <c r="D160" s="316" t="s">
        <v>114</v>
      </c>
      <c r="E160" s="216" t="s">
        <v>841</v>
      </c>
      <c r="F160" s="316"/>
      <c r="G160" s="316"/>
      <c r="H160" s="316"/>
      <c r="I160" s="316"/>
      <c r="J160" s="316"/>
      <c r="K160" s="316"/>
      <c r="L160" s="316"/>
      <c r="M160" s="316"/>
      <c r="N160" s="316"/>
      <c r="O160" s="316"/>
      <c r="P160" s="316"/>
      <c r="Q160" s="316"/>
      <c r="R160" s="316"/>
      <c r="S160" s="316"/>
      <c r="T160" s="316"/>
      <c r="U160" s="316"/>
      <c r="V160" s="317"/>
      <c r="W160" s="317"/>
      <c r="X160" s="317"/>
      <c r="Y160" s="324"/>
      <c r="Z160" s="322"/>
      <c r="AA160" s="334">
        <f>AA161</f>
        <v>1826518.98</v>
      </c>
      <c r="AB160" s="177"/>
      <c r="AC160" s="177"/>
      <c r="AD160" s="279"/>
      <c r="AF160" s="274"/>
    </row>
    <row r="161" spans="1:32" ht="75" customHeight="1" x14ac:dyDescent="0.3">
      <c r="A161" s="324" t="s">
        <v>840</v>
      </c>
      <c r="B161" s="316" t="s">
        <v>11</v>
      </c>
      <c r="C161" s="316" t="s">
        <v>115</v>
      </c>
      <c r="D161" s="316" t="s">
        <v>114</v>
      </c>
      <c r="E161" s="216" t="s">
        <v>841</v>
      </c>
      <c r="F161" s="316"/>
      <c r="G161" s="316"/>
      <c r="H161" s="316"/>
      <c r="I161" s="316"/>
      <c r="J161" s="316"/>
      <c r="K161" s="316"/>
      <c r="L161" s="316"/>
      <c r="M161" s="316"/>
      <c r="N161" s="316"/>
      <c r="O161" s="316"/>
      <c r="P161" s="316"/>
      <c r="Q161" s="316"/>
      <c r="R161" s="316"/>
      <c r="S161" s="316"/>
      <c r="T161" s="316" t="s">
        <v>281</v>
      </c>
      <c r="U161" s="316"/>
      <c r="V161" s="317"/>
      <c r="W161" s="317"/>
      <c r="X161" s="317"/>
      <c r="Y161" s="324"/>
      <c r="Z161" s="322"/>
      <c r="AA161" s="334">
        <f>3500000-1429771-243710.02</f>
        <v>1826518.98</v>
      </c>
      <c r="AB161" s="177"/>
      <c r="AC161" s="177"/>
      <c r="AD161" s="279"/>
      <c r="AF161" s="274"/>
    </row>
    <row r="162" spans="1:32" ht="140.25" customHeight="1" x14ac:dyDescent="0.3">
      <c r="A162" s="311" t="s">
        <v>665</v>
      </c>
      <c r="B162" s="216" t="s">
        <v>11</v>
      </c>
      <c r="C162" s="216" t="s">
        <v>115</v>
      </c>
      <c r="D162" s="216" t="s">
        <v>114</v>
      </c>
      <c r="E162" s="216" t="s">
        <v>666</v>
      </c>
      <c r="F162" s="216"/>
      <c r="G162" s="216"/>
      <c r="H162" s="216"/>
      <c r="I162" s="216"/>
      <c r="J162" s="216"/>
      <c r="K162" s="216"/>
      <c r="L162" s="216"/>
      <c r="M162" s="216"/>
      <c r="N162" s="216"/>
      <c r="O162" s="216"/>
      <c r="P162" s="216"/>
      <c r="Q162" s="216"/>
      <c r="R162" s="216"/>
      <c r="S162" s="216"/>
      <c r="T162" s="216"/>
      <c r="U162" s="216"/>
      <c r="V162" s="312"/>
      <c r="W162" s="312"/>
      <c r="X162" s="312"/>
      <c r="Y162" s="311" t="s">
        <v>363</v>
      </c>
      <c r="Z162" s="313">
        <f>Z163</f>
        <v>0</v>
      </c>
      <c r="AA162" s="314">
        <f>AA163</f>
        <v>200000</v>
      </c>
      <c r="AB162" s="276"/>
      <c r="AC162" s="276"/>
      <c r="AD162" s="277" t="s">
        <v>363</v>
      </c>
    </row>
    <row r="163" spans="1:32" ht="93" customHeight="1" x14ac:dyDescent="0.3">
      <c r="A163" s="324" t="s">
        <v>364</v>
      </c>
      <c r="B163" s="316" t="s">
        <v>11</v>
      </c>
      <c r="C163" s="316" t="s">
        <v>115</v>
      </c>
      <c r="D163" s="316" t="s">
        <v>114</v>
      </c>
      <c r="E163" s="216" t="s">
        <v>666</v>
      </c>
      <c r="F163" s="316"/>
      <c r="G163" s="316"/>
      <c r="H163" s="316"/>
      <c r="I163" s="316"/>
      <c r="J163" s="316"/>
      <c r="K163" s="316"/>
      <c r="L163" s="316"/>
      <c r="M163" s="316"/>
      <c r="N163" s="316"/>
      <c r="O163" s="316"/>
      <c r="P163" s="316"/>
      <c r="Q163" s="316"/>
      <c r="R163" s="316"/>
      <c r="S163" s="316"/>
      <c r="T163" s="316" t="s">
        <v>281</v>
      </c>
      <c r="U163" s="316"/>
      <c r="V163" s="317"/>
      <c r="W163" s="317"/>
      <c r="X163" s="317"/>
      <c r="Y163" s="324" t="s">
        <v>364</v>
      </c>
      <c r="Z163" s="322">
        <f>200000-40000-160000</f>
        <v>0</v>
      </c>
      <c r="AA163" s="334">
        <v>200000</v>
      </c>
      <c r="AB163" s="177"/>
      <c r="AC163" s="177"/>
      <c r="AD163" s="279" t="s">
        <v>364</v>
      </c>
      <c r="AF163" s="274"/>
    </row>
    <row r="164" spans="1:32" ht="123" customHeight="1" x14ac:dyDescent="0.3">
      <c r="A164" s="311" t="s">
        <v>667</v>
      </c>
      <c r="B164" s="216" t="s">
        <v>11</v>
      </c>
      <c r="C164" s="216" t="s">
        <v>115</v>
      </c>
      <c r="D164" s="216" t="s">
        <v>114</v>
      </c>
      <c r="E164" s="216" t="s">
        <v>668</v>
      </c>
      <c r="F164" s="216"/>
      <c r="G164" s="216"/>
      <c r="H164" s="216"/>
      <c r="I164" s="216"/>
      <c r="J164" s="216"/>
      <c r="K164" s="216"/>
      <c r="L164" s="216"/>
      <c r="M164" s="216"/>
      <c r="N164" s="216"/>
      <c r="O164" s="216"/>
      <c r="P164" s="216"/>
      <c r="Q164" s="216"/>
      <c r="R164" s="216"/>
      <c r="S164" s="216"/>
      <c r="T164" s="216"/>
      <c r="U164" s="216"/>
      <c r="V164" s="312"/>
      <c r="W164" s="312"/>
      <c r="X164" s="312"/>
      <c r="Y164" s="311" t="s">
        <v>365</v>
      </c>
      <c r="Z164" s="313">
        <f>Z165</f>
        <v>40000</v>
      </c>
      <c r="AA164" s="314">
        <f>AA165</f>
        <v>0</v>
      </c>
      <c r="AB164" s="276"/>
      <c r="AC164" s="276"/>
      <c r="AD164" s="277" t="s">
        <v>365</v>
      </c>
    </row>
    <row r="165" spans="1:32" ht="74.45" customHeight="1" x14ac:dyDescent="0.3">
      <c r="A165" s="324" t="s">
        <v>366</v>
      </c>
      <c r="B165" s="316" t="s">
        <v>11</v>
      </c>
      <c r="C165" s="316" t="s">
        <v>115</v>
      </c>
      <c r="D165" s="316" t="s">
        <v>114</v>
      </c>
      <c r="E165" s="216" t="s">
        <v>668</v>
      </c>
      <c r="F165" s="316"/>
      <c r="G165" s="316"/>
      <c r="H165" s="316"/>
      <c r="I165" s="316"/>
      <c r="J165" s="316"/>
      <c r="K165" s="316"/>
      <c r="L165" s="316"/>
      <c r="M165" s="316"/>
      <c r="N165" s="316"/>
      <c r="O165" s="316"/>
      <c r="P165" s="316"/>
      <c r="Q165" s="316"/>
      <c r="R165" s="316"/>
      <c r="S165" s="316"/>
      <c r="T165" s="316" t="s">
        <v>281</v>
      </c>
      <c r="U165" s="316"/>
      <c r="V165" s="317"/>
      <c r="W165" s="317"/>
      <c r="X165" s="317"/>
      <c r="Y165" s="324" t="s">
        <v>366</v>
      </c>
      <c r="Z165" s="322">
        <f>80000-40000</f>
        <v>40000</v>
      </c>
      <c r="AA165" s="334">
        <f>40000-40000</f>
        <v>0</v>
      </c>
      <c r="AB165" s="177"/>
      <c r="AC165" s="177"/>
      <c r="AD165" s="279" t="s">
        <v>366</v>
      </c>
      <c r="AF165" s="274"/>
    </row>
    <row r="166" spans="1:32" ht="138.75" customHeight="1" x14ac:dyDescent="0.3">
      <c r="A166" s="311" t="s">
        <v>994</v>
      </c>
      <c r="B166" s="216" t="s">
        <v>11</v>
      </c>
      <c r="C166" s="216" t="s">
        <v>115</v>
      </c>
      <c r="D166" s="216" t="s">
        <v>114</v>
      </c>
      <c r="E166" s="216" t="s">
        <v>670</v>
      </c>
      <c r="F166" s="216"/>
      <c r="G166" s="216"/>
      <c r="H166" s="216"/>
      <c r="I166" s="216"/>
      <c r="J166" s="216"/>
      <c r="K166" s="216"/>
      <c r="L166" s="216"/>
      <c r="M166" s="216"/>
      <c r="N166" s="216"/>
      <c r="O166" s="216"/>
      <c r="P166" s="216"/>
      <c r="Q166" s="216"/>
      <c r="R166" s="216"/>
      <c r="S166" s="216"/>
      <c r="T166" s="216"/>
      <c r="U166" s="216"/>
      <c r="V166" s="312"/>
      <c r="W166" s="312"/>
      <c r="X166" s="312"/>
      <c r="Y166" s="311" t="s">
        <v>367</v>
      </c>
      <c r="Z166" s="313">
        <f>Z167</f>
        <v>0</v>
      </c>
      <c r="AA166" s="314">
        <f>AA167</f>
        <v>150000</v>
      </c>
      <c r="AB166" s="276"/>
      <c r="AC166" s="276"/>
      <c r="AD166" s="277" t="s">
        <v>367</v>
      </c>
    </row>
    <row r="167" spans="1:32" ht="93" customHeight="1" x14ac:dyDescent="0.3">
      <c r="A167" s="324" t="s">
        <v>368</v>
      </c>
      <c r="B167" s="316" t="s">
        <v>11</v>
      </c>
      <c r="C167" s="316" t="s">
        <v>115</v>
      </c>
      <c r="D167" s="316" t="s">
        <v>114</v>
      </c>
      <c r="E167" s="216" t="s">
        <v>670</v>
      </c>
      <c r="F167" s="316"/>
      <c r="G167" s="316"/>
      <c r="H167" s="316"/>
      <c r="I167" s="316"/>
      <c r="J167" s="316"/>
      <c r="K167" s="316"/>
      <c r="L167" s="316"/>
      <c r="M167" s="316"/>
      <c r="N167" s="316"/>
      <c r="O167" s="316"/>
      <c r="P167" s="316"/>
      <c r="Q167" s="316"/>
      <c r="R167" s="316"/>
      <c r="S167" s="316"/>
      <c r="T167" s="316" t="s">
        <v>281</v>
      </c>
      <c r="U167" s="316"/>
      <c r="V167" s="317"/>
      <c r="W167" s="317"/>
      <c r="X167" s="317"/>
      <c r="Y167" s="324" t="s">
        <v>368</v>
      </c>
      <c r="Z167" s="322">
        <f>100000-100000</f>
        <v>0</v>
      </c>
      <c r="AA167" s="334">
        <f>100000+50000</f>
        <v>150000</v>
      </c>
      <c r="AB167" s="177"/>
      <c r="AC167" s="177"/>
      <c r="AD167" s="279" t="s">
        <v>368</v>
      </c>
      <c r="AF167" s="274"/>
    </row>
    <row r="168" spans="1:32" ht="31.5" customHeight="1" x14ac:dyDescent="0.3">
      <c r="A168" s="301" t="s">
        <v>369</v>
      </c>
      <c r="B168" s="302" t="s">
        <v>11</v>
      </c>
      <c r="C168" s="302" t="s">
        <v>129</v>
      </c>
      <c r="D168" s="302" t="s">
        <v>124</v>
      </c>
      <c r="E168" s="302"/>
      <c r="F168" s="302"/>
      <c r="G168" s="302"/>
      <c r="H168" s="302"/>
      <c r="I168" s="302"/>
      <c r="J168" s="302"/>
      <c r="K168" s="302"/>
      <c r="L168" s="302"/>
      <c r="M168" s="302"/>
      <c r="N168" s="302"/>
      <c r="O168" s="302"/>
      <c r="P168" s="302"/>
      <c r="Q168" s="302"/>
      <c r="R168" s="302"/>
      <c r="S168" s="302"/>
      <c r="T168" s="302"/>
      <c r="U168" s="302"/>
      <c r="V168" s="303"/>
      <c r="W168" s="303"/>
      <c r="X168" s="303"/>
      <c r="Y168" s="301" t="s">
        <v>369</v>
      </c>
      <c r="Z168" s="325">
        <f>Z169+Z172+Z183</f>
        <v>8770397.0999999996</v>
      </c>
      <c r="AA168" s="326">
        <f>AA169+AA172+AA183</f>
        <v>9018131.5</v>
      </c>
      <c r="AB168" s="178"/>
      <c r="AC168" s="178"/>
      <c r="AD168" s="273" t="s">
        <v>369</v>
      </c>
    </row>
    <row r="169" spans="1:32" ht="41.25" customHeight="1" x14ac:dyDescent="0.3">
      <c r="A169" s="301" t="s">
        <v>147</v>
      </c>
      <c r="B169" s="302" t="s">
        <v>11</v>
      </c>
      <c r="C169" s="302" t="s">
        <v>129</v>
      </c>
      <c r="D169" s="302" t="s">
        <v>123</v>
      </c>
      <c r="E169" s="302"/>
      <c r="F169" s="302"/>
      <c r="G169" s="302"/>
      <c r="H169" s="302"/>
      <c r="I169" s="302"/>
      <c r="J169" s="302"/>
      <c r="K169" s="302"/>
      <c r="L169" s="302"/>
      <c r="M169" s="302"/>
      <c r="N169" s="302"/>
      <c r="O169" s="302"/>
      <c r="P169" s="302"/>
      <c r="Q169" s="302"/>
      <c r="R169" s="302"/>
      <c r="S169" s="302"/>
      <c r="T169" s="302"/>
      <c r="U169" s="302"/>
      <c r="V169" s="303"/>
      <c r="W169" s="303"/>
      <c r="X169" s="303"/>
      <c r="Y169" s="301" t="s">
        <v>147</v>
      </c>
      <c r="Z169" s="325">
        <f>Z170</f>
        <v>8000000</v>
      </c>
      <c r="AA169" s="377">
        <f>AA170</f>
        <v>8000000</v>
      </c>
      <c r="AB169" s="178"/>
      <c r="AC169" s="178"/>
      <c r="AD169" s="273" t="s">
        <v>147</v>
      </c>
    </row>
    <row r="170" spans="1:32" ht="138.75" customHeight="1" x14ac:dyDescent="0.3">
      <c r="A170" s="311" t="s">
        <v>671</v>
      </c>
      <c r="B170" s="216" t="s">
        <v>11</v>
      </c>
      <c r="C170" s="216" t="s">
        <v>129</v>
      </c>
      <c r="D170" s="216" t="s">
        <v>123</v>
      </c>
      <c r="E170" s="216" t="s">
        <v>672</v>
      </c>
      <c r="F170" s="216"/>
      <c r="G170" s="216"/>
      <c r="H170" s="216"/>
      <c r="I170" s="216"/>
      <c r="J170" s="216"/>
      <c r="K170" s="216"/>
      <c r="L170" s="216"/>
      <c r="M170" s="216"/>
      <c r="N170" s="216"/>
      <c r="O170" s="216"/>
      <c r="P170" s="216"/>
      <c r="Q170" s="216"/>
      <c r="R170" s="216"/>
      <c r="S170" s="216"/>
      <c r="T170" s="216"/>
      <c r="U170" s="216"/>
      <c r="V170" s="312"/>
      <c r="W170" s="312"/>
      <c r="X170" s="312"/>
      <c r="Y170" s="311" t="s">
        <v>370</v>
      </c>
      <c r="Z170" s="313">
        <f>Z171</f>
        <v>8000000</v>
      </c>
      <c r="AA170" s="314">
        <f>AA171</f>
        <v>8000000</v>
      </c>
      <c r="AB170" s="276"/>
      <c r="AC170" s="276"/>
      <c r="AD170" s="277" t="s">
        <v>370</v>
      </c>
    </row>
    <row r="171" spans="1:32" ht="93" customHeight="1" x14ac:dyDescent="0.3">
      <c r="A171" s="324" t="s">
        <v>371</v>
      </c>
      <c r="B171" s="316" t="s">
        <v>11</v>
      </c>
      <c r="C171" s="316" t="s">
        <v>129</v>
      </c>
      <c r="D171" s="316" t="s">
        <v>123</v>
      </c>
      <c r="E171" s="216" t="s">
        <v>672</v>
      </c>
      <c r="F171" s="316"/>
      <c r="G171" s="316"/>
      <c r="H171" s="316"/>
      <c r="I171" s="316"/>
      <c r="J171" s="316"/>
      <c r="K171" s="316"/>
      <c r="L171" s="316"/>
      <c r="M171" s="316"/>
      <c r="N171" s="316"/>
      <c r="O171" s="316"/>
      <c r="P171" s="316"/>
      <c r="Q171" s="316"/>
      <c r="R171" s="316"/>
      <c r="S171" s="316"/>
      <c r="T171" s="316" t="s">
        <v>281</v>
      </c>
      <c r="U171" s="316"/>
      <c r="V171" s="317"/>
      <c r="W171" s="317"/>
      <c r="X171" s="317"/>
      <c r="Y171" s="324" t="s">
        <v>371</v>
      </c>
      <c r="Z171" s="322">
        <f>6000000+2000000</f>
        <v>8000000</v>
      </c>
      <c r="AA171" s="334">
        <v>8000000</v>
      </c>
      <c r="AB171" s="177"/>
      <c r="AC171" s="177"/>
      <c r="AD171" s="279" t="s">
        <v>371</v>
      </c>
      <c r="AF171" s="274"/>
    </row>
    <row r="172" spans="1:32" ht="57" customHeight="1" x14ac:dyDescent="0.3">
      <c r="A172" s="301" t="s">
        <v>148</v>
      </c>
      <c r="B172" s="302" t="s">
        <v>11</v>
      </c>
      <c r="C172" s="302" t="s">
        <v>129</v>
      </c>
      <c r="D172" s="302" t="s">
        <v>129</v>
      </c>
      <c r="E172" s="302"/>
      <c r="F172" s="302"/>
      <c r="G172" s="302"/>
      <c r="H172" s="302"/>
      <c r="I172" s="302"/>
      <c r="J172" s="302"/>
      <c r="K172" s="302"/>
      <c r="L172" s="302"/>
      <c r="M172" s="302"/>
      <c r="N172" s="302"/>
      <c r="O172" s="302"/>
      <c r="P172" s="302"/>
      <c r="Q172" s="302"/>
      <c r="R172" s="302"/>
      <c r="S172" s="302"/>
      <c r="T172" s="302"/>
      <c r="U172" s="302"/>
      <c r="V172" s="303"/>
      <c r="W172" s="303"/>
      <c r="X172" s="303"/>
      <c r="Y172" s="301" t="s">
        <v>148</v>
      </c>
      <c r="Z172" s="325">
        <f>Z173+Z175+Z177+Z181</f>
        <v>197000</v>
      </c>
      <c r="AA172" s="305">
        <f>AA173+AA175+AA177+AA181+AA179</f>
        <v>444734.4</v>
      </c>
      <c r="AB172" s="178"/>
      <c r="AC172" s="178"/>
      <c r="AD172" s="273" t="s">
        <v>148</v>
      </c>
      <c r="AE172" s="282"/>
    </row>
    <row r="173" spans="1:32" ht="139.5" customHeight="1" x14ac:dyDescent="0.3">
      <c r="A173" s="311" t="s">
        <v>674</v>
      </c>
      <c r="B173" s="216" t="s">
        <v>11</v>
      </c>
      <c r="C173" s="216" t="s">
        <v>129</v>
      </c>
      <c r="D173" s="216" t="s">
        <v>129</v>
      </c>
      <c r="E173" s="216" t="s">
        <v>673</v>
      </c>
      <c r="F173" s="216"/>
      <c r="G173" s="216"/>
      <c r="H173" s="216"/>
      <c r="I173" s="216"/>
      <c r="J173" s="216"/>
      <c r="K173" s="216"/>
      <c r="L173" s="216"/>
      <c r="M173" s="216"/>
      <c r="N173" s="216"/>
      <c r="O173" s="216"/>
      <c r="P173" s="216"/>
      <c r="Q173" s="216"/>
      <c r="R173" s="216"/>
      <c r="S173" s="216"/>
      <c r="T173" s="216"/>
      <c r="U173" s="216"/>
      <c r="V173" s="312"/>
      <c r="W173" s="312"/>
      <c r="X173" s="312"/>
      <c r="Y173" s="311" t="s">
        <v>372</v>
      </c>
      <c r="Z173" s="313">
        <f>Z174</f>
        <v>47000</v>
      </c>
      <c r="AA173" s="314">
        <f>AA174</f>
        <v>50000</v>
      </c>
      <c r="AB173" s="276"/>
      <c r="AC173" s="276"/>
      <c r="AD173" s="277" t="s">
        <v>372</v>
      </c>
    </row>
    <row r="174" spans="1:32" ht="111.75" customHeight="1" x14ac:dyDescent="0.3">
      <c r="A174" s="324" t="s">
        <v>373</v>
      </c>
      <c r="B174" s="316" t="s">
        <v>11</v>
      </c>
      <c r="C174" s="316" t="s">
        <v>129</v>
      </c>
      <c r="D174" s="316" t="s">
        <v>129</v>
      </c>
      <c r="E174" s="216" t="s">
        <v>673</v>
      </c>
      <c r="F174" s="316"/>
      <c r="G174" s="316"/>
      <c r="H174" s="316"/>
      <c r="I174" s="316"/>
      <c r="J174" s="316"/>
      <c r="K174" s="316"/>
      <c r="L174" s="316"/>
      <c r="M174" s="316"/>
      <c r="N174" s="316"/>
      <c r="O174" s="316"/>
      <c r="P174" s="316"/>
      <c r="Q174" s="316"/>
      <c r="R174" s="316"/>
      <c r="S174" s="316"/>
      <c r="T174" s="316" t="s">
        <v>281</v>
      </c>
      <c r="U174" s="316"/>
      <c r="V174" s="317"/>
      <c r="W174" s="317"/>
      <c r="X174" s="317"/>
      <c r="Y174" s="324" t="s">
        <v>373</v>
      </c>
      <c r="Z174" s="322">
        <f>100000-53000</f>
        <v>47000</v>
      </c>
      <c r="AA174" s="334">
        <v>50000</v>
      </c>
      <c r="AB174" s="177"/>
      <c r="AC174" s="177"/>
      <c r="AD174" s="279" t="s">
        <v>373</v>
      </c>
      <c r="AF174" s="274"/>
    </row>
    <row r="175" spans="1:32" ht="234.75" customHeight="1" x14ac:dyDescent="0.3">
      <c r="A175" s="311" t="s">
        <v>675</v>
      </c>
      <c r="B175" s="216" t="s">
        <v>11</v>
      </c>
      <c r="C175" s="216" t="s">
        <v>129</v>
      </c>
      <c r="D175" s="216" t="s">
        <v>129</v>
      </c>
      <c r="E175" s="216" t="s">
        <v>676</v>
      </c>
      <c r="F175" s="216"/>
      <c r="G175" s="216"/>
      <c r="H175" s="216"/>
      <c r="I175" s="216"/>
      <c r="J175" s="216"/>
      <c r="K175" s="216"/>
      <c r="L175" s="216"/>
      <c r="M175" s="216"/>
      <c r="N175" s="216"/>
      <c r="O175" s="216"/>
      <c r="P175" s="216"/>
      <c r="Q175" s="216"/>
      <c r="R175" s="216"/>
      <c r="S175" s="216"/>
      <c r="T175" s="216"/>
      <c r="U175" s="216"/>
      <c r="V175" s="312"/>
      <c r="W175" s="312"/>
      <c r="X175" s="312"/>
      <c r="Y175" s="311" t="s">
        <v>374</v>
      </c>
      <c r="Z175" s="313">
        <v>50000</v>
      </c>
      <c r="AA175" s="314">
        <f>AA176</f>
        <v>0</v>
      </c>
      <c r="AB175" s="276"/>
      <c r="AC175" s="276"/>
      <c r="AD175" s="277" t="s">
        <v>374</v>
      </c>
    </row>
    <row r="176" spans="1:32" ht="123" customHeight="1" x14ac:dyDescent="0.3">
      <c r="A176" s="324" t="s">
        <v>375</v>
      </c>
      <c r="B176" s="316" t="s">
        <v>11</v>
      </c>
      <c r="C176" s="316" t="s">
        <v>129</v>
      </c>
      <c r="D176" s="316" t="s">
        <v>129</v>
      </c>
      <c r="E176" s="216" t="s">
        <v>676</v>
      </c>
      <c r="F176" s="316"/>
      <c r="G176" s="316"/>
      <c r="H176" s="316"/>
      <c r="I176" s="316"/>
      <c r="J176" s="316"/>
      <c r="K176" s="316"/>
      <c r="L176" s="316"/>
      <c r="M176" s="316"/>
      <c r="N176" s="316"/>
      <c r="O176" s="316"/>
      <c r="P176" s="316"/>
      <c r="Q176" s="316"/>
      <c r="R176" s="316"/>
      <c r="S176" s="316"/>
      <c r="T176" s="316" t="s">
        <v>281</v>
      </c>
      <c r="U176" s="316"/>
      <c r="V176" s="317"/>
      <c r="W176" s="317"/>
      <c r="X176" s="317"/>
      <c r="Y176" s="324" t="s">
        <v>375</v>
      </c>
      <c r="Z176" s="322">
        <v>50000</v>
      </c>
      <c r="AA176" s="334">
        <f>50000-50000</f>
        <v>0</v>
      </c>
      <c r="AB176" s="177"/>
      <c r="AC176" s="177"/>
      <c r="AD176" s="279" t="s">
        <v>375</v>
      </c>
      <c r="AF176" s="274"/>
    </row>
    <row r="177" spans="1:32" ht="198" customHeight="1" x14ac:dyDescent="0.3">
      <c r="A177" s="311" t="s">
        <v>677</v>
      </c>
      <c r="B177" s="216" t="s">
        <v>11</v>
      </c>
      <c r="C177" s="216" t="s">
        <v>129</v>
      </c>
      <c r="D177" s="216" t="s">
        <v>129</v>
      </c>
      <c r="E177" s="216" t="s">
        <v>678</v>
      </c>
      <c r="F177" s="216"/>
      <c r="G177" s="216"/>
      <c r="H177" s="216"/>
      <c r="I177" s="216"/>
      <c r="J177" s="216"/>
      <c r="K177" s="216"/>
      <c r="L177" s="216"/>
      <c r="M177" s="216"/>
      <c r="N177" s="216"/>
      <c r="O177" s="216"/>
      <c r="P177" s="216"/>
      <c r="Q177" s="216"/>
      <c r="R177" s="216"/>
      <c r="S177" s="216"/>
      <c r="T177" s="216"/>
      <c r="U177" s="216"/>
      <c r="V177" s="312"/>
      <c r="W177" s="312"/>
      <c r="X177" s="312"/>
      <c r="Y177" s="311" t="s">
        <v>376</v>
      </c>
      <c r="Z177" s="313">
        <v>50000</v>
      </c>
      <c r="AA177" s="314">
        <f>AA178</f>
        <v>0</v>
      </c>
      <c r="AB177" s="276"/>
      <c r="AC177" s="276"/>
      <c r="AD177" s="277" t="s">
        <v>376</v>
      </c>
    </row>
    <row r="178" spans="1:32" ht="82.5" customHeight="1" x14ac:dyDescent="0.3">
      <c r="A178" s="324" t="s">
        <v>377</v>
      </c>
      <c r="B178" s="316" t="s">
        <v>11</v>
      </c>
      <c r="C178" s="316" t="s">
        <v>129</v>
      </c>
      <c r="D178" s="316" t="s">
        <v>129</v>
      </c>
      <c r="E178" s="216" t="s">
        <v>678</v>
      </c>
      <c r="F178" s="316"/>
      <c r="G178" s="316"/>
      <c r="H178" s="316"/>
      <c r="I178" s="316"/>
      <c r="J178" s="316"/>
      <c r="K178" s="316"/>
      <c r="L178" s="316"/>
      <c r="M178" s="316"/>
      <c r="N178" s="316"/>
      <c r="O178" s="316"/>
      <c r="P178" s="316"/>
      <c r="Q178" s="316"/>
      <c r="R178" s="316"/>
      <c r="S178" s="316"/>
      <c r="T178" s="316" t="s">
        <v>281</v>
      </c>
      <c r="U178" s="316"/>
      <c r="V178" s="317"/>
      <c r="W178" s="317"/>
      <c r="X178" s="317"/>
      <c r="Y178" s="324" t="s">
        <v>377</v>
      </c>
      <c r="Z178" s="322">
        <v>50000</v>
      </c>
      <c r="AA178" s="334">
        <f>53000-53000</f>
        <v>0</v>
      </c>
      <c r="AB178" s="177"/>
      <c r="AC178" s="177"/>
      <c r="AD178" s="279" t="s">
        <v>377</v>
      </c>
      <c r="AF178" s="274"/>
    </row>
    <row r="179" spans="1:32" ht="222" customHeight="1" x14ac:dyDescent="0.3">
      <c r="A179" s="311" t="s">
        <v>679</v>
      </c>
      <c r="B179" s="316" t="s">
        <v>11</v>
      </c>
      <c r="C179" s="316" t="s">
        <v>129</v>
      </c>
      <c r="D179" s="316" t="s">
        <v>129</v>
      </c>
      <c r="E179" s="216" t="s">
        <v>680</v>
      </c>
      <c r="F179" s="316"/>
      <c r="G179" s="316"/>
      <c r="H179" s="316"/>
      <c r="I179" s="316"/>
      <c r="J179" s="316"/>
      <c r="K179" s="316"/>
      <c r="L179" s="316"/>
      <c r="M179" s="316"/>
      <c r="N179" s="316"/>
      <c r="O179" s="316"/>
      <c r="P179" s="316"/>
      <c r="Q179" s="316"/>
      <c r="R179" s="316"/>
      <c r="S179" s="316"/>
      <c r="T179" s="316"/>
      <c r="U179" s="316"/>
      <c r="V179" s="317"/>
      <c r="W179" s="317"/>
      <c r="X179" s="317"/>
      <c r="Y179" s="324"/>
      <c r="Z179" s="322"/>
      <c r="AA179" s="319">
        <f>AA180</f>
        <v>30000</v>
      </c>
      <c r="AB179" s="177"/>
      <c r="AC179" s="177"/>
      <c r="AD179" s="279"/>
      <c r="AF179" s="274"/>
    </row>
    <row r="180" spans="1:32" ht="255.75" customHeight="1" x14ac:dyDescent="0.3">
      <c r="A180" s="311" t="s">
        <v>583</v>
      </c>
      <c r="B180" s="316" t="s">
        <v>11</v>
      </c>
      <c r="C180" s="316" t="s">
        <v>129</v>
      </c>
      <c r="D180" s="316" t="s">
        <v>129</v>
      </c>
      <c r="E180" s="216" t="s">
        <v>680</v>
      </c>
      <c r="F180" s="316"/>
      <c r="G180" s="316"/>
      <c r="H180" s="316"/>
      <c r="I180" s="316"/>
      <c r="J180" s="316"/>
      <c r="K180" s="316"/>
      <c r="L180" s="316"/>
      <c r="M180" s="316"/>
      <c r="N180" s="316"/>
      <c r="O180" s="316"/>
      <c r="P180" s="316"/>
      <c r="Q180" s="316"/>
      <c r="R180" s="316"/>
      <c r="S180" s="316"/>
      <c r="T180" s="316" t="s">
        <v>281</v>
      </c>
      <c r="U180" s="316"/>
      <c r="V180" s="317"/>
      <c r="W180" s="317"/>
      <c r="X180" s="317"/>
      <c r="Y180" s="324"/>
      <c r="Z180" s="322"/>
      <c r="AA180" s="319">
        <v>30000</v>
      </c>
      <c r="AB180" s="177"/>
      <c r="AC180" s="177"/>
      <c r="AD180" s="279"/>
      <c r="AF180" s="274"/>
    </row>
    <row r="181" spans="1:32" ht="145.5" customHeight="1" x14ac:dyDescent="0.3">
      <c r="A181" s="311" t="s">
        <v>681</v>
      </c>
      <c r="B181" s="216" t="s">
        <v>11</v>
      </c>
      <c r="C181" s="216" t="s">
        <v>129</v>
      </c>
      <c r="D181" s="216" t="s">
        <v>129</v>
      </c>
      <c r="E181" s="216" t="s">
        <v>682</v>
      </c>
      <c r="F181" s="216"/>
      <c r="G181" s="216"/>
      <c r="H181" s="216"/>
      <c r="I181" s="216"/>
      <c r="J181" s="216"/>
      <c r="K181" s="216"/>
      <c r="L181" s="216"/>
      <c r="M181" s="216"/>
      <c r="N181" s="216"/>
      <c r="O181" s="216"/>
      <c r="P181" s="216"/>
      <c r="Q181" s="216"/>
      <c r="R181" s="216"/>
      <c r="S181" s="216"/>
      <c r="T181" s="216"/>
      <c r="U181" s="216"/>
      <c r="V181" s="312"/>
      <c r="W181" s="312"/>
      <c r="X181" s="312"/>
      <c r="Y181" s="311" t="s">
        <v>378</v>
      </c>
      <c r="Z181" s="313">
        <v>50000</v>
      </c>
      <c r="AA181" s="314">
        <f>AA182</f>
        <v>364734.4</v>
      </c>
      <c r="AB181" s="276"/>
      <c r="AC181" s="276"/>
      <c r="AD181" s="277" t="s">
        <v>378</v>
      </c>
    </row>
    <row r="182" spans="1:32" ht="111.75" customHeight="1" x14ac:dyDescent="0.3">
      <c r="A182" s="324" t="s">
        <v>379</v>
      </c>
      <c r="B182" s="316" t="s">
        <v>11</v>
      </c>
      <c r="C182" s="316" t="s">
        <v>129</v>
      </c>
      <c r="D182" s="316" t="s">
        <v>129</v>
      </c>
      <c r="E182" s="216" t="s">
        <v>682</v>
      </c>
      <c r="F182" s="316"/>
      <c r="G182" s="316"/>
      <c r="H182" s="316"/>
      <c r="I182" s="316"/>
      <c r="J182" s="316"/>
      <c r="K182" s="316"/>
      <c r="L182" s="316"/>
      <c r="M182" s="316"/>
      <c r="N182" s="316"/>
      <c r="O182" s="316"/>
      <c r="P182" s="316"/>
      <c r="Q182" s="316"/>
      <c r="R182" s="316"/>
      <c r="S182" s="316"/>
      <c r="T182" s="316" t="s">
        <v>281</v>
      </c>
      <c r="U182" s="316"/>
      <c r="V182" s="317"/>
      <c r="W182" s="317"/>
      <c r="X182" s="317"/>
      <c r="Y182" s="324" t="s">
        <v>379</v>
      </c>
      <c r="Z182" s="322">
        <v>50000</v>
      </c>
      <c r="AA182" s="334">
        <f>114734.4+167128.87-37128.87+120000</f>
        <v>364734.4</v>
      </c>
      <c r="AB182" s="177"/>
      <c r="AC182" s="177"/>
      <c r="AD182" s="279" t="s">
        <v>379</v>
      </c>
    </row>
    <row r="183" spans="1:32" ht="37.15" customHeight="1" x14ac:dyDescent="0.3">
      <c r="A183" s="301" t="s">
        <v>149</v>
      </c>
      <c r="B183" s="302" t="s">
        <v>11</v>
      </c>
      <c r="C183" s="302" t="s">
        <v>129</v>
      </c>
      <c r="D183" s="302" t="s">
        <v>118</v>
      </c>
      <c r="E183" s="302"/>
      <c r="F183" s="302"/>
      <c r="G183" s="302"/>
      <c r="H183" s="302"/>
      <c r="I183" s="302"/>
      <c r="J183" s="302"/>
      <c r="K183" s="302"/>
      <c r="L183" s="302"/>
      <c r="M183" s="302"/>
      <c r="N183" s="302"/>
      <c r="O183" s="302"/>
      <c r="P183" s="302"/>
      <c r="Q183" s="302"/>
      <c r="R183" s="302"/>
      <c r="S183" s="302"/>
      <c r="T183" s="302"/>
      <c r="U183" s="302"/>
      <c r="V183" s="303"/>
      <c r="W183" s="303"/>
      <c r="X183" s="303"/>
      <c r="Y183" s="301" t="s">
        <v>149</v>
      </c>
      <c r="Z183" s="325">
        <f>Z184</f>
        <v>573397.1</v>
      </c>
      <c r="AA183" s="326">
        <f>AA184</f>
        <v>573397.1</v>
      </c>
      <c r="AB183" s="178"/>
      <c r="AC183" s="178"/>
      <c r="AD183" s="273" t="s">
        <v>149</v>
      </c>
    </row>
    <row r="184" spans="1:32" ht="132.75" customHeight="1" x14ac:dyDescent="0.3">
      <c r="A184" s="311" t="s">
        <v>228</v>
      </c>
      <c r="B184" s="216" t="s">
        <v>11</v>
      </c>
      <c r="C184" s="216" t="s">
        <v>129</v>
      </c>
      <c r="D184" s="216" t="s">
        <v>118</v>
      </c>
      <c r="E184" s="216" t="s">
        <v>683</v>
      </c>
      <c r="F184" s="216"/>
      <c r="G184" s="216"/>
      <c r="H184" s="216"/>
      <c r="I184" s="216"/>
      <c r="J184" s="216"/>
      <c r="K184" s="216"/>
      <c r="L184" s="216"/>
      <c r="M184" s="216"/>
      <c r="N184" s="216"/>
      <c r="O184" s="216"/>
      <c r="P184" s="216"/>
      <c r="Q184" s="216"/>
      <c r="R184" s="216"/>
      <c r="S184" s="216"/>
      <c r="T184" s="216"/>
      <c r="U184" s="216"/>
      <c r="V184" s="312"/>
      <c r="W184" s="312"/>
      <c r="X184" s="312"/>
      <c r="Y184" s="311" t="s">
        <v>228</v>
      </c>
      <c r="Z184" s="313">
        <f>Z185+Z186</f>
        <v>573397.1</v>
      </c>
      <c r="AA184" s="314">
        <f>AA185+AA186</f>
        <v>573397.1</v>
      </c>
      <c r="AB184" s="276"/>
      <c r="AC184" s="276"/>
      <c r="AD184" s="277" t="s">
        <v>228</v>
      </c>
    </row>
    <row r="185" spans="1:32" ht="253.5" customHeight="1" x14ac:dyDescent="0.3">
      <c r="A185" s="315" t="s">
        <v>380</v>
      </c>
      <c r="B185" s="316" t="s">
        <v>11</v>
      </c>
      <c r="C185" s="316" t="s">
        <v>129</v>
      </c>
      <c r="D185" s="316" t="s">
        <v>118</v>
      </c>
      <c r="E185" s="216" t="s">
        <v>683</v>
      </c>
      <c r="F185" s="316"/>
      <c r="G185" s="316"/>
      <c r="H185" s="316"/>
      <c r="I185" s="316"/>
      <c r="J185" s="316"/>
      <c r="K185" s="316"/>
      <c r="L185" s="316"/>
      <c r="M185" s="316"/>
      <c r="N185" s="316"/>
      <c r="O185" s="316"/>
      <c r="P185" s="316"/>
      <c r="Q185" s="316"/>
      <c r="R185" s="316"/>
      <c r="S185" s="316"/>
      <c r="T185" s="316" t="s">
        <v>29</v>
      </c>
      <c r="U185" s="316"/>
      <c r="V185" s="317"/>
      <c r="W185" s="317"/>
      <c r="X185" s="317"/>
      <c r="Y185" s="315" t="s">
        <v>380</v>
      </c>
      <c r="Z185" s="322">
        <v>539684</v>
      </c>
      <c r="AA185" s="319">
        <f>408359.44+123324.56+1400+5835.2+764.8+2.9-2.9</f>
        <v>539684</v>
      </c>
      <c r="AB185" s="177"/>
      <c r="AC185" s="177"/>
      <c r="AD185" s="278" t="s">
        <v>380</v>
      </c>
      <c r="AF185" s="274"/>
    </row>
    <row r="186" spans="1:32" ht="183" customHeight="1" x14ac:dyDescent="0.3">
      <c r="A186" s="315" t="s">
        <v>381</v>
      </c>
      <c r="B186" s="316" t="s">
        <v>11</v>
      </c>
      <c r="C186" s="316" t="s">
        <v>129</v>
      </c>
      <c r="D186" s="316" t="s">
        <v>118</v>
      </c>
      <c r="E186" s="216" t="s">
        <v>683</v>
      </c>
      <c r="F186" s="316"/>
      <c r="G186" s="316"/>
      <c r="H186" s="316"/>
      <c r="I186" s="316"/>
      <c r="J186" s="316"/>
      <c r="K186" s="316"/>
      <c r="L186" s="316"/>
      <c r="M186" s="316"/>
      <c r="N186" s="316"/>
      <c r="O186" s="316"/>
      <c r="P186" s="316"/>
      <c r="Q186" s="316"/>
      <c r="R186" s="316"/>
      <c r="S186" s="316"/>
      <c r="T186" s="316" t="s">
        <v>281</v>
      </c>
      <c r="U186" s="316"/>
      <c r="V186" s="317"/>
      <c r="W186" s="317"/>
      <c r="X186" s="317"/>
      <c r="Y186" s="315" t="s">
        <v>381</v>
      </c>
      <c r="Z186" s="322">
        <f>33716-2.9</f>
        <v>33713.1</v>
      </c>
      <c r="AA186" s="319">
        <f>20400+2000+11313.1</f>
        <v>33713.1</v>
      </c>
      <c r="AB186" s="177"/>
      <c r="AC186" s="177"/>
      <c r="AD186" s="278" t="s">
        <v>381</v>
      </c>
      <c r="AF186" s="274"/>
    </row>
    <row r="187" spans="1:32" ht="36.75" customHeight="1" x14ac:dyDescent="0.3">
      <c r="A187" s="301" t="s">
        <v>382</v>
      </c>
      <c r="B187" s="302" t="s">
        <v>11</v>
      </c>
      <c r="C187" s="302" t="s">
        <v>117</v>
      </c>
      <c r="D187" s="302" t="s">
        <v>124</v>
      </c>
      <c r="E187" s="302"/>
      <c r="F187" s="302"/>
      <c r="G187" s="302"/>
      <c r="H187" s="302"/>
      <c r="I187" s="302"/>
      <c r="J187" s="302"/>
      <c r="K187" s="302"/>
      <c r="L187" s="302"/>
      <c r="M187" s="302"/>
      <c r="N187" s="302"/>
      <c r="O187" s="302"/>
      <c r="P187" s="302"/>
      <c r="Q187" s="302"/>
      <c r="R187" s="302"/>
      <c r="S187" s="302"/>
      <c r="T187" s="302"/>
      <c r="U187" s="302"/>
      <c r="V187" s="303"/>
      <c r="W187" s="303"/>
      <c r="X187" s="303"/>
      <c r="Y187" s="301" t="s">
        <v>382</v>
      </c>
      <c r="Z187" s="325">
        <f>Z188</f>
        <v>1325500</v>
      </c>
      <c r="AA187" s="305">
        <f>AA188</f>
        <v>1947890</v>
      </c>
      <c r="AB187" s="178"/>
      <c r="AC187" s="178"/>
      <c r="AD187" s="273" t="s">
        <v>382</v>
      </c>
    </row>
    <row r="188" spans="1:32" ht="34.5" customHeight="1" x14ac:dyDescent="0.3">
      <c r="A188" s="301" t="s">
        <v>150</v>
      </c>
      <c r="B188" s="302" t="s">
        <v>11</v>
      </c>
      <c r="C188" s="302" t="s">
        <v>117</v>
      </c>
      <c r="D188" s="302" t="s">
        <v>113</v>
      </c>
      <c r="E188" s="302"/>
      <c r="F188" s="302"/>
      <c r="G188" s="302"/>
      <c r="H188" s="302"/>
      <c r="I188" s="302"/>
      <c r="J188" s="302"/>
      <c r="K188" s="302"/>
      <c r="L188" s="302"/>
      <c r="M188" s="302"/>
      <c r="N188" s="302"/>
      <c r="O188" s="302"/>
      <c r="P188" s="302"/>
      <c r="Q188" s="302"/>
      <c r="R188" s="302"/>
      <c r="S188" s="302"/>
      <c r="T188" s="302"/>
      <c r="U188" s="302"/>
      <c r="V188" s="303"/>
      <c r="W188" s="303"/>
      <c r="X188" s="303"/>
      <c r="Y188" s="301" t="s">
        <v>150</v>
      </c>
      <c r="Z188" s="325">
        <f>Z189+Z191+Z193+Z195+Z197</f>
        <v>1325500</v>
      </c>
      <c r="AA188" s="326">
        <f>AA189+AA191+AA193+AA195+AA197</f>
        <v>1947890</v>
      </c>
      <c r="AB188" s="178"/>
      <c r="AC188" s="178"/>
      <c r="AD188" s="273" t="s">
        <v>150</v>
      </c>
    </row>
    <row r="189" spans="1:32" ht="144.75" customHeight="1" x14ac:dyDescent="0.3">
      <c r="A189" s="311" t="s">
        <v>684</v>
      </c>
      <c r="B189" s="216" t="s">
        <v>11</v>
      </c>
      <c r="C189" s="216" t="s">
        <v>117</v>
      </c>
      <c r="D189" s="216" t="s">
        <v>113</v>
      </c>
      <c r="E189" s="216" t="s">
        <v>685</v>
      </c>
      <c r="F189" s="216"/>
      <c r="G189" s="216"/>
      <c r="H189" s="216"/>
      <c r="I189" s="216"/>
      <c r="J189" s="216"/>
      <c r="K189" s="216"/>
      <c r="L189" s="216"/>
      <c r="M189" s="216"/>
      <c r="N189" s="216"/>
      <c r="O189" s="216"/>
      <c r="P189" s="216"/>
      <c r="Q189" s="216"/>
      <c r="R189" s="216"/>
      <c r="S189" s="216"/>
      <c r="T189" s="216"/>
      <c r="U189" s="216"/>
      <c r="V189" s="312"/>
      <c r="W189" s="312"/>
      <c r="X189" s="312"/>
      <c r="Y189" s="311" t="s">
        <v>383</v>
      </c>
      <c r="Z189" s="313">
        <v>50000</v>
      </c>
      <c r="AA189" s="314">
        <f>AA190</f>
        <v>0</v>
      </c>
      <c r="AB189" s="276"/>
      <c r="AC189" s="276"/>
      <c r="AD189" s="277" t="s">
        <v>383</v>
      </c>
    </row>
    <row r="190" spans="1:32" ht="111.75" customHeight="1" x14ac:dyDescent="0.3">
      <c r="A190" s="324" t="s">
        <v>384</v>
      </c>
      <c r="B190" s="316" t="s">
        <v>11</v>
      </c>
      <c r="C190" s="316" t="s">
        <v>117</v>
      </c>
      <c r="D190" s="316" t="s">
        <v>113</v>
      </c>
      <c r="E190" s="216" t="s">
        <v>685</v>
      </c>
      <c r="F190" s="316"/>
      <c r="G190" s="316"/>
      <c r="H190" s="316"/>
      <c r="I190" s="316"/>
      <c r="J190" s="316"/>
      <c r="K190" s="316"/>
      <c r="L190" s="316"/>
      <c r="M190" s="316"/>
      <c r="N190" s="316"/>
      <c r="O190" s="316"/>
      <c r="P190" s="316"/>
      <c r="Q190" s="316"/>
      <c r="R190" s="316"/>
      <c r="S190" s="316"/>
      <c r="T190" s="316" t="s">
        <v>281</v>
      </c>
      <c r="U190" s="316"/>
      <c r="V190" s="317"/>
      <c r="W190" s="317"/>
      <c r="X190" s="317"/>
      <c r="Y190" s="324" t="s">
        <v>384</v>
      </c>
      <c r="Z190" s="322">
        <v>50000</v>
      </c>
      <c r="AA190" s="334">
        <f>53000-53000</f>
        <v>0</v>
      </c>
      <c r="AB190" s="177"/>
      <c r="AC190" s="177"/>
      <c r="AD190" s="279" t="s">
        <v>384</v>
      </c>
      <c r="AF190" s="274"/>
    </row>
    <row r="191" spans="1:32" ht="145.5" customHeight="1" x14ac:dyDescent="0.3">
      <c r="A191" s="311" t="s">
        <v>686</v>
      </c>
      <c r="B191" s="216" t="s">
        <v>11</v>
      </c>
      <c r="C191" s="216" t="s">
        <v>117</v>
      </c>
      <c r="D191" s="216" t="s">
        <v>113</v>
      </c>
      <c r="E191" s="216" t="s">
        <v>687</v>
      </c>
      <c r="F191" s="216"/>
      <c r="G191" s="216"/>
      <c r="H191" s="216"/>
      <c r="I191" s="216"/>
      <c r="J191" s="216"/>
      <c r="K191" s="216"/>
      <c r="L191" s="216"/>
      <c r="M191" s="216"/>
      <c r="N191" s="216"/>
      <c r="O191" s="216"/>
      <c r="P191" s="216"/>
      <c r="Q191" s="216"/>
      <c r="R191" s="216"/>
      <c r="S191" s="216"/>
      <c r="T191" s="216"/>
      <c r="U191" s="216"/>
      <c r="V191" s="312"/>
      <c r="W191" s="312"/>
      <c r="X191" s="312"/>
      <c r="Y191" s="311" t="s">
        <v>383</v>
      </c>
      <c r="Z191" s="313">
        <v>100000</v>
      </c>
      <c r="AA191" s="314">
        <f>AA192</f>
        <v>0</v>
      </c>
      <c r="AB191" s="276"/>
      <c r="AC191" s="276"/>
      <c r="AD191" s="277" t="s">
        <v>383</v>
      </c>
    </row>
    <row r="192" spans="1:32" ht="90" customHeight="1" x14ac:dyDescent="0.3">
      <c r="A192" s="324" t="s">
        <v>384</v>
      </c>
      <c r="B192" s="316" t="s">
        <v>11</v>
      </c>
      <c r="C192" s="316" t="s">
        <v>117</v>
      </c>
      <c r="D192" s="316" t="s">
        <v>113</v>
      </c>
      <c r="E192" s="216" t="s">
        <v>687</v>
      </c>
      <c r="F192" s="316"/>
      <c r="G192" s="316"/>
      <c r="H192" s="316"/>
      <c r="I192" s="316"/>
      <c r="J192" s="316"/>
      <c r="K192" s="316"/>
      <c r="L192" s="316"/>
      <c r="M192" s="316"/>
      <c r="N192" s="316"/>
      <c r="O192" s="316"/>
      <c r="P192" s="316"/>
      <c r="Q192" s="316"/>
      <c r="R192" s="316"/>
      <c r="S192" s="316"/>
      <c r="T192" s="316" t="s">
        <v>281</v>
      </c>
      <c r="U192" s="316"/>
      <c r="V192" s="317"/>
      <c r="W192" s="317"/>
      <c r="X192" s="317"/>
      <c r="Y192" s="324" t="s">
        <v>384</v>
      </c>
      <c r="Z192" s="322">
        <v>100000</v>
      </c>
      <c r="AA192" s="334">
        <f>106000-106000</f>
        <v>0</v>
      </c>
      <c r="AB192" s="177"/>
      <c r="AC192" s="177"/>
      <c r="AD192" s="279" t="s">
        <v>384</v>
      </c>
      <c r="AF192" s="274"/>
    </row>
    <row r="193" spans="1:32" ht="183.75" customHeight="1" x14ac:dyDescent="0.3">
      <c r="A193" s="311" t="s">
        <v>688</v>
      </c>
      <c r="B193" s="216" t="s">
        <v>11</v>
      </c>
      <c r="C193" s="216" t="s">
        <v>117</v>
      </c>
      <c r="D193" s="216" t="s">
        <v>113</v>
      </c>
      <c r="E193" s="216" t="s">
        <v>689</v>
      </c>
      <c r="F193" s="216"/>
      <c r="G193" s="216"/>
      <c r="H193" s="216"/>
      <c r="I193" s="216"/>
      <c r="J193" s="216"/>
      <c r="K193" s="216"/>
      <c r="L193" s="216"/>
      <c r="M193" s="216"/>
      <c r="N193" s="216"/>
      <c r="O193" s="216"/>
      <c r="P193" s="216"/>
      <c r="Q193" s="216"/>
      <c r="R193" s="216"/>
      <c r="S193" s="216"/>
      <c r="T193" s="216"/>
      <c r="U193" s="216"/>
      <c r="V193" s="312"/>
      <c r="W193" s="312"/>
      <c r="X193" s="312"/>
      <c r="Y193" s="311" t="s">
        <v>385</v>
      </c>
      <c r="Z193" s="313">
        <f>Z194</f>
        <v>0</v>
      </c>
      <c r="AA193" s="314">
        <f>AA194</f>
        <v>100000</v>
      </c>
      <c r="AB193" s="276"/>
      <c r="AC193" s="276"/>
      <c r="AD193" s="277" t="s">
        <v>385</v>
      </c>
    </row>
    <row r="194" spans="1:32" ht="111.75" customHeight="1" x14ac:dyDescent="0.3">
      <c r="A194" s="324" t="s">
        <v>386</v>
      </c>
      <c r="B194" s="316" t="s">
        <v>11</v>
      </c>
      <c r="C194" s="316" t="s">
        <v>117</v>
      </c>
      <c r="D194" s="316" t="s">
        <v>113</v>
      </c>
      <c r="E194" s="216" t="s">
        <v>689</v>
      </c>
      <c r="F194" s="316"/>
      <c r="G194" s="316"/>
      <c r="H194" s="316"/>
      <c r="I194" s="316"/>
      <c r="J194" s="316"/>
      <c r="K194" s="316"/>
      <c r="L194" s="316"/>
      <c r="M194" s="316"/>
      <c r="N194" s="316"/>
      <c r="O194" s="316"/>
      <c r="P194" s="316"/>
      <c r="Q194" s="316"/>
      <c r="R194" s="316"/>
      <c r="S194" s="316"/>
      <c r="T194" s="316" t="s">
        <v>281</v>
      </c>
      <c r="U194" s="316"/>
      <c r="V194" s="317"/>
      <c r="W194" s="317"/>
      <c r="X194" s="317"/>
      <c r="Y194" s="324" t="s">
        <v>386</v>
      </c>
      <c r="Z194" s="322">
        <f>100000-100000</f>
        <v>0</v>
      </c>
      <c r="AA194" s="334">
        <v>100000</v>
      </c>
      <c r="AB194" s="177"/>
      <c r="AC194" s="177"/>
      <c r="AD194" s="279" t="s">
        <v>386</v>
      </c>
      <c r="AF194" s="274"/>
    </row>
    <row r="195" spans="1:32" ht="161.25" customHeight="1" x14ac:dyDescent="0.3">
      <c r="A195" s="311" t="s">
        <v>690</v>
      </c>
      <c r="B195" s="216" t="s">
        <v>11</v>
      </c>
      <c r="C195" s="216" t="s">
        <v>117</v>
      </c>
      <c r="D195" s="216" t="s">
        <v>113</v>
      </c>
      <c r="E195" s="216" t="s">
        <v>691</v>
      </c>
      <c r="F195" s="216"/>
      <c r="G195" s="216"/>
      <c r="H195" s="216"/>
      <c r="I195" s="216"/>
      <c r="J195" s="216"/>
      <c r="K195" s="216"/>
      <c r="L195" s="216"/>
      <c r="M195" s="216"/>
      <c r="N195" s="216"/>
      <c r="O195" s="216"/>
      <c r="P195" s="216"/>
      <c r="Q195" s="216"/>
      <c r="R195" s="216"/>
      <c r="S195" s="216"/>
      <c r="T195" s="216"/>
      <c r="U195" s="216"/>
      <c r="V195" s="312"/>
      <c r="W195" s="312"/>
      <c r="X195" s="312"/>
      <c r="Y195" s="311" t="s">
        <v>387</v>
      </c>
      <c r="Z195" s="313">
        <f>Z196</f>
        <v>200000</v>
      </c>
      <c r="AA195" s="314">
        <f>AA196</f>
        <v>0</v>
      </c>
      <c r="AB195" s="276"/>
      <c r="AC195" s="276"/>
      <c r="AD195" s="277" t="s">
        <v>387</v>
      </c>
    </row>
    <row r="196" spans="1:32" ht="98.25" customHeight="1" x14ac:dyDescent="0.3">
      <c r="A196" s="324" t="s">
        <v>388</v>
      </c>
      <c r="B196" s="316" t="s">
        <v>11</v>
      </c>
      <c r="C196" s="316" t="s">
        <v>117</v>
      </c>
      <c r="D196" s="316" t="s">
        <v>113</v>
      </c>
      <c r="E196" s="216" t="s">
        <v>691</v>
      </c>
      <c r="F196" s="316"/>
      <c r="G196" s="316"/>
      <c r="H196" s="316"/>
      <c r="I196" s="316"/>
      <c r="J196" s="316"/>
      <c r="K196" s="316"/>
      <c r="L196" s="316"/>
      <c r="M196" s="316"/>
      <c r="N196" s="316"/>
      <c r="O196" s="316"/>
      <c r="P196" s="316"/>
      <c r="Q196" s="316"/>
      <c r="R196" s="316"/>
      <c r="S196" s="316"/>
      <c r="T196" s="316" t="s">
        <v>281</v>
      </c>
      <c r="U196" s="316"/>
      <c r="V196" s="317"/>
      <c r="W196" s="317"/>
      <c r="X196" s="317"/>
      <c r="Y196" s="324" t="s">
        <v>388</v>
      </c>
      <c r="Z196" s="322">
        <f>500000-300000</f>
        <v>200000</v>
      </c>
      <c r="AA196" s="334">
        <f>212000-212000</f>
        <v>0</v>
      </c>
      <c r="AB196" s="177"/>
      <c r="AC196" s="177"/>
      <c r="AD196" s="279" t="s">
        <v>388</v>
      </c>
      <c r="AF196" s="274"/>
    </row>
    <row r="197" spans="1:32" ht="108" customHeight="1" x14ac:dyDescent="0.3">
      <c r="A197" s="311" t="s">
        <v>234</v>
      </c>
      <c r="B197" s="216" t="s">
        <v>11</v>
      </c>
      <c r="C197" s="216" t="s">
        <v>117</v>
      </c>
      <c r="D197" s="216" t="s">
        <v>113</v>
      </c>
      <c r="E197" s="216" t="s">
        <v>692</v>
      </c>
      <c r="F197" s="216"/>
      <c r="G197" s="216"/>
      <c r="H197" s="216"/>
      <c r="I197" s="216"/>
      <c r="J197" s="216"/>
      <c r="K197" s="216"/>
      <c r="L197" s="216"/>
      <c r="M197" s="216"/>
      <c r="N197" s="216"/>
      <c r="O197" s="216"/>
      <c r="P197" s="216"/>
      <c r="Q197" s="216"/>
      <c r="R197" s="216"/>
      <c r="S197" s="216"/>
      <c r="T197" s="216"/>
      <c r="U197" s="216"/>
      <c r="V197" s="312"/>
      <c r="W197" s="312"/>
      <c r="X197" s="312"/>
      <c r="Y197" s="311" t="s">
        <v>234</v>
      </c>
      <c r="Z197" s="313">
        <f>Z198</f>
        <v>975500</v>
      </c>
      <c r="AA197" s="314">
        <f>AA198</f>
        <v>1847890</v>
      </c>
      <c r="AB197" s="276"/>
      <c r="AC197" s="276"/>
      <c r="AD197" s="277" t="s">
        <v>234</v>
      </c>
    </row>
    <row r="198" spans="1:32" ht="141.75" customHeight="1" x14ac:dyDescent="0.3">
      <c r="A198" s="324" t="s">
        <v>389</v>
      </c>
      <c r="B198" s="316" t="s">
        <v>11</v>
      </c>
      <c r="C198" s="316" t="s">
        <v>117</v>
      </c>
      <c r="D198" s="316" t="s">
        <v>113</v>
      </c>
      <c r="E198" s="216" t="s">
        <v>692</v>
      </c>
      <c r="F198" s="316"/>
      <c r="G198" s="316"/>
      <c r="H198" s="316"/>
      <c r="I198" s="316"/>
      <c r="J198" s="316"/>
      <c r="K198" s="316"/>
      <c r="L198" s="316"/>
      <c r="M198" s="316"/>
      <c r="N198" s="316"/>
      <c r="O198" s="316"/>
      <c r="P198" s="316"/>
      <c r="Q198" s="316"/>
      <c r="R198" s="316"/>
      <c r="S198" s="316"/>
      <c r="T198" s="316" t="s">
        <v>281</v>
      </c>
      <c r="U198" s="316"/>
      <c r="V198" s="317"/>
      <c r="W198" s="317"/>
      <c r="X198" s="317"/>
      <c r="Y198" s="324" t="s">
        <v>389</v>
      </c>
      <c r="Z198" s="322">
        <f>525500+150000+300000</f>
        <v>975500</v>
      </c>
      <c r="AA198" s="334">
        <f>1022890+25000+800000</f>
        <v>1847890</v>
      </c>
      <c r="AB198" s="177"/>
      <c r="AC198" s="177"/>
      <c r="AD198" s="279" t="s">
        <v>389</v>
      </c>
      <c r="AF198" s="274"/>
    </row>
    <row r="199" spans="1:32" ht="38.25" customHeight="1" x14ac:dyDescent="0.3">
      <c r="A199" s="301" t="s">
        <v>390</v>
      </c>
      <c r="B199" s="302" t="s">
        <v>11</v>
      </c>
      <c r="C199" s="302" t="s">
        <v>118</v>
      </c>
      <c r="D199" s="302" t="s">
        <v>124</v>
      </c>
      <c r="E199" s="302"/>
      <c r="F199" s="302"/>
      <c r="G199" s="302"/>
      <c r="H199" s="302"/>
      <c r="I199" s="302"/>
      <c r="J199" s="302"/>
      <c r="K199" s="302"/>
      <c r="L199" s="302"/>
      <c r="M199" s="302"/>
      <c r="N199" s="302"/>
      <c r="O199" s="302"/>
      <c r="P199" s="302"/>
      <c r="Q199" s="302"/>
      <c r="R199" s="302"/>
      <c r="S199" s="302"/>
      <c r="T199" s="302"/>
      <c r="U199" s="302"/>
      <c r="V199" s="303"/>
      <c r="W199" s="303"/>
      <c r="X199" s="303"/>
      <c r="Y199" s="301" t="s">
        <v>390</v>
      </c>
      <c r="Z199" s="325">
        <f>Z200</f>
        <v>573397.05000000005</v>
      </c>
      <c r="AA199" s="310">
        <f>AA200</f>
        <v>573397.05000000005</v>
      </c>
      <c r="AB199" s="178"/>
      <c r="AC199" s="178"/>
      <c r="AD199" s="273" t="s">
        <v>390</v>
      </c>
    </row>
    <row r="200" spans="1:32" ht="53.25" customHeight="1" x14ac:dyDescent="0.3">
      <c r="A200" s="301" t="s">
        <v>152</v>
      </c>
      <c r="B200" s="302" t="s">
        <v>11</v>
      </c>
      <c r="C200" s="302" t="s">
        <v>118</v>
      </c>
      <c r="D200" s="302" t="s">
        <v>118</v>
      </c>
      <c r="E200" s="302"/>
      <c r="F200" s="302"/>
      <c r="G200" s="302"/>
      <c r="H200" s="302"/>
      <c r="I200" s="302"/>
      <c r="J200" s="302"/>
      <c r="K200" s="302"/>
      <c r="L200" s="302"/>
      <c r="M200" s="302"/>
      <c r="N200" s="302"/>
      <c r="O200" s="302"/>
      <c r="P200" s="302"/>
      <c r="Q200" s="302"/>
      <c r="R200" s="302"/>
      <c r="S200" s="302"/>
      <c r="T200" s="302"/>
      <c r="U200" s="302"/>
      <c r="V200" s="303"/>
      <c r="W200" s="303"/>
      <c r="X200" s="303"/>
      <c r="Y200" s="301" t="s">
        <v>152</v>
      </c>
      <c r="Z200" s="325">
        <f>Z201</f>
        <v>573397.05000000005</v>
      </c>
      <c r="AA200" s="310">
        <f>AA201</f>
        <v>573397.05000000005</v>
      </c>
      <c r="AB200" s="178"/>
      <c r="AC200" s="178"/>
      <c r="AD200" s="273" t="s">
        <v>152</v>
      </c>
    </row>
    <row r="201" spans="1:32" ht="276.75" customHeight="1" x14ac:dyDescent="0.3">
      <c r="A201" s="331" t="s">
        <v>220</v>
      </c>
      <c r="B201" s="216" t="s">
        <v>11</v>
      </c>
      <c r="C201" s="216" t="s">
        <v>118</v>
      </c>
      <c r="D201" s="216" t="s">
        <v>118</v>
      </c>
      <c r="E201" s="216" t="s">
        <v>693</v>
      </c>
      <c r="F201" s="216"/>
      <c r="G201" s="216"/>
      <c r="H201" s="216"/>
      <c r="I201" s="216"/>
      <c r="J201" s="216"/>
      <c r="K201" s="216"/>
      <c r="L201" s="216"/>
      <c r="M201" s="216"/>
      <c r="N201" s="216"/>
      <c r="O201" s="216"/>
      <c r="P201" s="216"/>
      <c r="Q201" s="216"/>
      <c r="R201" s="216"/>
      <c r="S201" s="216"/>
      <c r="T201" s="216"/>
      <c r="U201" s="216"/>
      <c r="V201" s="312"/>
      <c r="W201" s="312"/>
      <c r="X201" s="312"/>
      <c r="Y201" s="331" t="s">
        <v>220</v>
      </c>
      <c r="Z201" s="313">
        <f>Z202+Z203</f>
        <v>573397.05000000005</v>
      </c>
      <c r="AA201" s="314">
        <f>AA202+AA203</f>
        <v>573397.05000000005</v>
      </c>
      <c r="AB201" s="276"/>
      <c r="AC201" s="276"/>
      <c r="AD201" s="281" t="s">
        <v>220</v>
      </c>
    </row>
    <row r="202" spans="1:32" ht="402.75" customHeight="1" x14ac:dyDescent="0.3">
      <c r="A202" s="315" t="s">
        <v>391</v>
      </c>
      <c r="B202" s="316" t="s">
        <v>11</v>
      </c>
      <c r="C202" s="316" t="s">
        <v>118</v>
      </c>
      <c r="D202" s="316" t="s">
        <v>118</v>
      </c>
      <c r="E202" s="216" t="s">
        <v>693</v>
      </c>
      <c r="F202" s="316"/>
      <c r="G202" s="316"/>
      <c r="H202" s="316"/>
      <c r="I202" s="316"/>
      <c r="J202" s="316"/>
      <c r="K202" s="316"/>
      <c r="L202" s="316"/>
      <c r="M202" s="316"/>
      <c r="N202" s="316"/>
      <c r="O202" s="316"/>
      <c r="P202" s="316"/>
      <c r="Q202" s="316"/>
      <c r="R202" s="316"/>
      <c r="S202" s="316"/>
      <c r="T202" s="316" t="s">
        <v>29</v>
      </c>
      <c r="U202" s="316"/>
      <c r="V202" s="317"/>
      <c r="W202" s="317"/>
      <c r="X202" s="317"/>
      <c r="Y202" s="315" t="s">
        <v>391</v>
      </c>
      <c r="Z202" s="322">
        <f>540519.58-2.95</f>
        <v>540516.63</v>
      </c>
      <c r="AA202" s="319">
        <f>408356.49+123324.56+200+9400+2.95-2.95</f>
        <v>541281.05000000005</v>
      </c>
      <c r="AB202" s="177"/>
      <c r="AC202" s="177"/>
      <c r="AD202" s="278" t="s">
        <v>391</v>
      </c>
      <c r="AF202" s="274"/>
    </row>
    <row r="203" spans="1:32" ht="336" customHeight="1" x14ac:dyDescent="0.3">
      <c r="A203" s="315" t="s">
        <v>392</v>
      </c>
      <c r="B203" s="316" t="s">
        <v>11</v>
      </c>
      <c r="C203" s="316" t="s">
        <v>118</v>
      </c>
      <c r="D203" s="316" t="s">
        <v>118</v>
      </c>
      <c r="E203" s="216" t="s">
        <v>693</v>
      </c>
      <c r="F203" s="316"/>
      <c r="G203" s="316"/>
      <c r="H203" s="316"/>
      <c r="I203" s="316"/>
      <c r="J203" s="316"/>
      <c r="K203" s="316"/>
      <c r="L203" s="316"/>
      <c r="M203" s="316"/>
      <c r="N203" s="316"/>
      <c r="O203" s="316"/>
      <c r="P203" s="316"/>
      <c r="Q203" s="316"/>
      <c r="R203" s="316"/>
      <c r="S203" s="316"/>
      <c r="T203" s="316" t="s">
        <v>281</v>
      </c>
      <c r="U203" s="316"/>
      <c r="V203" s="317"/>
      <c r="W203" s="317"/>
      <c r="X203" s="317"/>
      <c r="Y203" s="315" t="s">
        <v>392</v>
      </c>
      <c r="Z203" s="322">
        <v>32880.42</v>
      </c>
      <c r="AA203" s="319">
        <f>827+9000+10000+12289</f>
        <v>32116</v>
      </c>
      <c r="AB203" s="177"/>
      <c r="AC203" s="177"/>
      <c r="AD203" s="278" t="s">
        <v>392</v>
      </c>
      <c r="AF203" s="274"/>
    </row>
    <row r="204" spans="1:32" ht="29.25" customHeight="1" x14ac:dyDescent="0.3">
      <c r="A204" s="301" t="s">
        <v>393</v>
      </c>
      <c r="B204" s="302" t="s">
        <v>11</v>
      </c>
      <c r="C204" s="302" t="s">
        <v>134</v>
      </c>
      <c r="D204" s="302" t="s">
        <v>124</v>
      </c>
      <c r="E204" s="302"/>
      <c r="F204" s="302"/>
      <c r="G204" s="302"/>
      <c r="H204" s="302"/>
      <c r="I204" s="302"/>
      <c r="J204" s="302"/>
      <c r="K204" s="302"/>
      <c r="L204" s="302"/>
      <c r="M204" s="302"/>
      <c r="N204" s="302"/>
      <c r="O204" s="302"/>
      <c r="P204" s="302"/>
      <c r="Q204" s="302"/>
      <c r="R204" s="302"/>
      <c r="S204" s="302"/>
      <c r="T204" s="302"/>
      <c r="U204" s="302"/>
      <c r="V204" s="303"/>
      <c r="W204" s="303"/>
      <c r="X204" s="303"/>
      <c r="Y204" s="301" t="s">
        <v>393</v>
      </c>
      <c r="Z204" s="325">
        <f>Z205+Z210+Z228</f>
        <v>13736706.15</v>
      </c>
      <c r="AA204" s="305">
        <f>AA205+AA210+AA228</f>
        <v>12677724.51</v>
      </c>
      <c r="AB204" s="178"/>
      <c r="AC204" s="178"/>
      <c r="AD204" s="273" t="s">
        <v>393</v>
      </c>
    </row>
    <row r="205" spans="1:32" ht="23.25" customHeight="1" x14ac:dyDescent="0.3">
      <c r="A205" s="301" t="s">
        <v>153</v>
      </c>
      <c r="B205" s="302" t="s">
        <v>11</v>
      </c>
      <c r="C205" s="302" t="s">
        <v>134</v>
      </c>
      <c r="D205" s="302" t="s">
        <v>113</v>
      </c>
      <c r="E205" s="302"/>
      <c r="F205" s="302"/>
      <c r="G205" s="302"/>
      <c r="H205" s="302"/>
      <c r="I205" s="302"/>
      <c r="J205" s="302"/>
      <c r="K205" s="302"/>
      <c r="L205" s="302"/>
      <c r="M205" s="302"/>
      <c r="N205" s="302"/>
      <c r="O205" s="302"/>
      <c r="P205" s="302"/>
      <c r="Q205" s="302"/>
      <c r="R205" s="302"/>
      <c r="S205" s="302"/>
      <c r="T205" s="302"/>
      <c r="U205" s="302"/>
      <c r="V205" s="303"/>
      <c r="W205" s="303"/>
      <c r="X205" s="303"/>
      <c r="Y205" s="301" t="s">
        <v>153</v>
      </c>
      <c r="Z205" s="325">
        <v>1294537.72</v>
      </c>
      <c r="AA205" s="310">
        <f>AA206+AA208</f>
        <v>1487409.98</v>
      </c>
      <c r="AB205" s="178"/>
      <c r="AC205" s="178"/>
      <c r="AD205" s="273" t="s">
        <v>153</v>
      </c>
      <c r="AF205" s="274"/>
    </row>
    <row r="206" spans="1:32" ht="102.75" customHeight="1" x14ac:dyDescent="0.3">
      <c r="A206" s="311" t="s">
        <v>394</v>
      </c>
      <c r="B206" s="216" t="s">
        <v>11</v>
      </c>
      <c r="C206" s="216" t="s">
        <v>134</v>
      </c>
      <c r="D206" s="216" t="s">
        <v>113</v>
      </c>
      <c r="E206" s="216" t="s">
        <v>694</v>
      </c>
      <c r="F206" s="216"/>
      <c r="G206" s="216"/>
      <c r="H206" s="216"/>
      <c r="I206" s="216"/>
      <c r="J206" s="216"/>
      <c r="K206" s="216"/>
      <c r="L206" s="216"/>
      <c r="M206" s="216"/>
      <c r="N206" s="216"/>
      <c r="O206" s="216"/>
      <c r="P206" s="216"/>
      <c r="Q206" s="216"/>
      <c r="R206" s="216"/>
      <c r="S206" s="216"/>
      <c r="T206" s="216"/>
      <c r="U206" s="216"/>
      <c r="V206" s="312"/>
      <c r="W206" s="312"/>
      <c r="X206" s="312"/>
      <c r="Y206" s="311" t="s">
        <v>394</v>
      </c>
      <c r="Z206" s="313">
        <v>1294537.72</v>
      </c>
      <c r="AA206" s="321">
        <f>AA207</f>
        <v>1372209.98</v>
      </c>
      <c r="AB206" s="276"/>
      <c r="AC206" s="276"/>
      <c r="AD206" s="277" t="s">
        <v>394</v>
      </c>
    </row>
    <row r="207" spans="1:32" ht="139.5" customHeight="1" x14ac:dyDescent="0.3">
      <c r="A207" s="324" t="s">
        <v>395</v>
      </c>
      <c r="B207" s="316" t="s">
        <v>11</v>
      </c>
      <c r="C207" s="316" t="s">
        <v>134</v>
      </c>
      <c r="D207" s="316" t="s">
        <v>113</v>
      </c>
      <c r="E207" s="216" t="s">
        <v>694</v>
      </c>
      <c r="F207" s="316"/>
      <c r="G207" s="316"/>
      <c r="H207" s="316"/>
      <c r="I207" s="316"/>
      <c r="J207" s="316"/>
      <c r="K207" s="316"/>
      <c r="L207" s="316"/>
      <c r="M207" s="316"/>
      <c r="N207" s="316"/>
      <c r="O207" s="316"/>
      <c r="P207" s="316"/>
      <c r="Q207" s="316"/>
      <c r="R207" s="316"/>
      <c r="S207" s="316"/>
      <c r="T207" s="316" t="s">
        <v>396</v>
      </c>
      <c r="U207" s="316"/>
      <c r="V207" s="317"/>
      <c r="W207" s="317"/>
      <c r="X207" s="317"/>
      <c r="Y207" s="324" t="s">
        <v>395</v>
      </c>
      <c r="Z207" s="322">
        <v>1294537.72</v>
      </c>
      <c r="AA207" s="334">
        <v>1372209.98</v>
      </c>
      <c r="AB207" s="177"/>
      <c r="AC207" s="177"/>
      <c r="AD207" s="279" t="s">
        <v>395</v>
      </c>
      <c r="AF207" s="274"/>
    </row>
    <row r="208" spans="1:32" ht="202.5" customHeight="1" x14ac:dyDescent="0.3">
      <c r="A208" s="331" t="s">
        <v>481</v>
      </c>
      <c r="B208" s="316" t="s">
        <v>11</v>
      </c>
      <c r="C208" s="316" t="s">
        <v>134</v>
      </c>
      <c r="D208" s="316" t="s">
        <v>113</v>
      </c>
      <c r="E208" s="216" t="s">
        <v>695</v>
      </c>
      <c r="F208" s="316"/>
      <c r="G208" s="316"/>
      <c r="H208" s="316"/>
      <c r="I208" s="316"/>
      <c r="J208" s="316"/>
      <c r="K208" s="316"/>
      <c r="L208" s="316"/>
      <c r="M208" s="316"/>
      <c r="N208" s="316"/>
      <c r="O208" s="316"/>
      <c r="P208" s="316"/>
      <c r="Q208" s="316"/>
      <c r="R208" s="316"/>
      <c r="S208" s="316"/>
      <c r="T208" s="316"/>
      <c r="U208" s="316"/>
      <c r="V208" s="317"/>
      <c r="W208" s="317"/>
      <c r="X208" s="317"/>
      <c r="Y208" s="324"/>
      <c r="Z208" s="322"/>
      <c r="AA208" s="319">
        <f>AA209</f>
        <v>115200</v>
      </c>
      <c r="AB208" s="177"/>
      <c r="AC208" s="177"/>
      <c r="AD208" s="279"/>
      <c r="AF208" s="274"/>
    </row>
    <row r="209" spans="1:32" ht="246.75" customHeight="1" x14ac:dyDescent="0.3">
      <c r="A209" s="315" t="s">
        <v>483</v>
      </c>
      <c r="B209" s="316" t="s">
        <v>11</v>
      </c>
      <c r="C209" s="316" t="s">
        <v>134</v>
      </c>
      <c r="D209" s="316" t="s">
        <v>113</v>
      </c>
      <c r="E209" s="216" t="s">
        <v>695</v>
      </c>
      <c r="F209" s="316"/>
      <c r="G209" s="316"/>
      <c r="H209" s="316"/>
      <c r="I209" s="316"/>
      <c r="J209" s="316"/>
      <c r="K209" s="316"/>
      <c r="L209" s="316"/>
      <c r="M209" s="316"/>
      <c r="N209" s="316"/>
      <c r="O209" s="316"/>
      <c r="P209" s="316"/>
      <c r="Q209" s="316"/>
      <c r="R209" s="316"/>
      <c r="S209" s="316"/>
      <c r="T209" s="316" t="s">
        <v>396</v>
      </c>
      <c r="U209" s="316"/>
      <c r="V209" s="317"/>
      <c r="W209" s="317"/>
      <c r="X209" s="317"/>
      <c r="Y209" s="324"/>
      <c r="Z209" s="322"/>
      <c r="AA209" s="334">
        <v>115200</v>
      </c>
      <c r="AB209" s="177"/>
      <c r="AC209" s="177"/>
      <c r="AD209" s="279"/>
      <c r="AF209" s="274"/>
    </row>
    <row r="210" spans="1:32" ht="37.15" customHeight="1" x14ac:dyDescent="0.3">
      <c r="A210" s="301" t="s">
        <v>154</v>
      </c>
      <c r="B210" s="302" t="s">
        <v>11</v>
      </c>
      <c r="C210" s="302" t="s">
        <v>134</v>
      </c>
      <c r="D210" s="302" t="s">
        <v>114</v>
      </c>
      <c r="E210" s="302"/>
      <c r="F210" s="302"/>
      <c r="G210" s="302"/>
      <c r="H210" s="302"/>
      <c r="I210" s="302"/>
      <c r="J210" s="302"/>
      <c r="K210" s="302"/>
      <c r="L210" s="302"/>
      <c r="M210" s="302"/>
      <c r="N210" s="302"/>
      <c r="O210" s="302"/>
      <c r="P210" s="302"/>
      <c r="Q210" s="302"/>
      <c r="R210" s="302"/>
      <c r="S210" s="302"/>
      <c r="T210" s="302"/>
      <c r="U210" s="302"/>
      <c r="V210" s="303"/>
      <c r="W210" s="303"/>
      <c r="X210" s="303"/>
      <c r="Y210" s="301" t="s">
        <v>154</v>
      </c>
      <c r="Z210" s="325">
        <f>Z211+Z213+Z221+Z223</f>
        <v>1552168.43</v>
      </c>
      <c r="AA210" s="326">
        <f>AA211+AA213+AA221+AA223+AA226+AA215+AA219+AA217</f>
        <v>3668698.5300000003</v>
      </c>
      <c r="AB210" s="178"/>
      <c r="AC210" s="178"/>
      <c r="AD210" s="273" t="s">
        <v>154</v>
      </c>
    </row>
    <row r="211" spans="1:32" ht="181.5" customHeight="1" x14ac:dyDescent="0.3">
      <c r="A211" s="311" t="s">
        <v>696</v>
      </c>
      <c r="B211" s="216" t="s">
        <v>11</v>
      </c>
      <c r="C211" s="216" t="s">
        <v>134</v>
      </c>
      <c r="D211" s="216" t="s">
        <v>114</v>
      </c>
      <c r="E211" s="216" t="s">
        <v>697</v>
      </c>
      <c r="F211" s="216"/>
      <c r="G211" s="216"/>
      <c r="H211" s="216"/>
      <c r="I211" s="216"/>
      <c r="J211" s="216"/>
      <c r="K211" s="216"/>
      <c r="L211" s="216"/>
      <c r="M211" s="216"/>
      <c r="N211" s="216"/>
      <c r="O211" s="216"/>
      <c r="P211" s="216"/>
      <c r="Q211" s="216"/>
      <c r="R211" s="216"/>
      <c r="S211" s="216"/>
      <c r="T211" s="216"/>
      <c r="U211" s="216"/>
      <c r="V211" s="312"/>
      <c r="W211" s="312"/>
      <c r="X211" s="312"/>
      <c r="Y211" s="311" t="s">
        <v>397</v>
      </c>
      <c r="Z211" s="313">
        <v>50000</v>
      </c>
      <c r="AA211" s="314">
        <f>AA212</f>
        <v>53000</v>
      </c>
      <c r="AB211" s="276"/>
      <c r="AC211" s="276"/>
      <c r="AD211" s="277" t="s">
        <v>397</v>
      </c>
    </row>
    <row r="212" spans="1:32" ht="111.75" customHeight="1" x14ac:dyDescent="0.3">
      <c r="A212" s="324" t="s">
        <v>398</v>
      </c>
      <c r="B212" s="316" t="s">
        <v>11</v>
      </c>
      <c r="C212" s="316" t="s">
        <v>134</v>
      </c>
      <c r="D212" s="316" t="s">
        <v>114</v>
      </c>
      <c r="E212" s="216" t="s">
        <v>697</v>
      </c>
      <c r="F212" s="316"/>
      <c r="G212" s="316"/>
      <c r="H212" s="316"/>
      <c r="I212" s="316"/>
      <c r="J212" s="316"/>
      <c r="K212" s="316"/>
      <c r="L212" s="316"/>
      <c r="M212" s="316"/>
      <c r="N212" s="316"/>
      <c r="O212" s="316"/>
      <c r="P212" s="316"/>
      <c r="Q212" s="316"/>
      <c r="R212" s="316"/>
      <c r="S212" s="316"/>
      <c r="T212" s="316" t="s">
        <v>281</v>
      </c>
      <c r="U212" s="316"/>
      <c r="V212" s="317"/>
      <c r="W212" s="317"/>
      <c r="X212" s="317"/>
      <c r="Y212" s="324" t="s">
        <v>398</v>
      </c>
      <c r="Z212" s="322">
        <v>50000</v>
      </c>
      <c r="AA212" s="334">
        <v>53000</v>
      </c>
      <c r="AB212" s="177"/>
      <c r="AC212" s="177"/>
      <c r="AD212" s="279" t="s">
        <v>398</v>
      </c>
      <c r="AF212" s="274"/>
    </row>
    <row r="213" spans="1:32" ht="147" customHeight="1" x14ac:dyDescent="0.3">
      <c r="A213" s="311" t="s">
        <v>698</v>
      </c>
      <c r="B213" s="216" t="s">
        <v>11</v>
      </c>
      <c r="C213" s="216" t="s">
        <v>134</v>
      </c>
      <c r="D213" s="216" t="s">
        <v>114</v>
      </c>
      <c r="E213" s="216" t="s">
        <v>699</v>
      </c>
      <c r="F213" s="216"/>
      <c r="G213" s="216"/>
      <c r="H213" s="216"/>
      <c r="I213" s="216"/>
      <c r="J213" s="216"/>
      <c r="K213" s="216"/>
      <c r="L213" s="216"/>
      <c r="M213" s="216"/>
      <c r="N213" s="216"/>
      <c r="O213" s="216"/>
      <c r="P213" s="216"/>
      <c r="Q213" s="216"/>
      <c r="R213" s="216"/>
      <c r="S213" s="216"/>
      <c r="T213" s="216"/>
      <c r="U213" s="216"/>
      <c r="V213" s="312"/>
      <c r="W213" s="312"/>
      <c r="X213" s="312"/>
      <c r="Y213" s="311" t="s">
        <v>399</v>
      </c>
      <c r="Z213" s="313">
        <v>500000</v>
      </c>
      <c r="AA213" s="314">
        <f>AA214</f>
        <v>1000000</v>
      </c>
      <c r="AB213" s="276"/>
      <c r="AC213" s="276"/>
      <c r="AD213" s="277" t="s">
        <v>399</v>
      </c>
    </row>
    <row r="214" spans="1:32" ht="93" customHeight="1" x14ac:dyDescent="0.3">
      <c r="A214" s="339" t="s">
        <v>400</v>
      </c>
      <c r="B214" s="337" t="s">
        <v>11</v>
      </c>
      <c r="C214" s="337" t="s">
        <v>134</v>
      </c>
      <c r="D214" s="337" t="s">
        <v>114</v>
      </c>
      <c r="E214" s="216" t="s">
        <v>699</v>
      </c>
      <c r="F214" s="337"/>
      <c r="G214" s="337"/>
      <c r="H214" s="337"/>
      <c r="I214" s="337"/>
      <c r="J214" s="337"/>
      <c r="K214" s="337"/>
      <c r="L214" s="337"/>
      <c r="M214" s="337"/>
      <c r="N214" s="337"/>
      <c r="O214" s="337"/>
      <c r="P214" s="337"/>
      <c r="Q214" s="337"/>
      <c r="R214" s="337"/>
      <c r="S214" s="337"/>
      <c r="T214" s="337" t="s">
        <v>396</v>
      </c>
      <c r="U214" s="337"/>
      <c r="V214" s="338"/>
      <c r="W214" s="338"/>
      <c r="X214" s="338"/>
      <c r="Y214" s="339" t="s">
        <v>400</v>
      </c>
      <c r="Z214" s="318">
        <v>500000</v>
      </c>
      <c r="AA214" s="348">
        <v>1000000</v>
      </c>
      <c r="AB214" s="177"/>
      <c r="AC214" s="177"/>
      <c r="AD214" s="279" t="s">
        <v>400</v>
      </c>
      <c r="AF214" s="274"/>
    </row>
    <row r="215" spans="1:32" ht="135.75" customHeight="1" x14ac:dyDescent="0.3">
      <c r="A215" s="365" t="s">
        <v>925</v>
      </c>
      <c r="B215" s="337" t="s">
        <v>11</v>
      </c>
      <c r="C215" s="337" t="s">
        <v>134</v>
      </c>
      <c r="D215" s="337" t="s">
        <v>114</v>
      </c>
      <c r="E215" s="216" t="s">
        <v>928</v>
      </c>
      <c r="F215" s="337"/>
      <c r="G215" s="337"/>
      <c r="H215" s="337"/>
      <c r="I215" s="337"/>
      <c r="J215" s="337"/>
      <c r="K215" s="337"/>
      <c r="L215" s="337"/>
      <c r="M215" s="337"/>
      <c r="N215" s="337"/>
      <c r="O215" s="337"/>
      <c r="P215" s="337"/>
      <c r="Q215" s="337"/>
      <c r="R215" s="337"/>
      <c r="S215" s="337"/>
      <c r="T215" s="337"/>
      <c r="U215" s="337"/>
      <c r="V215" s="338"/>
      <c r="W215" s="338"/>
      <c r="X215" s="338"/>
      <c r="Y215" s="339"/>
      <c r="Z215" s="318"/>
      <c r="AA215" s="348">
        <f>AA216</f>
        <v>471100</v>
      </c>
      <c r="AB215" s="177"/>
      <c r="AC215" s="177"/>
      <c r="AD215" s="279"/>
      <c r="AF215" s="274"/>
    </row>
    <row r="216" spans="1:32" ht="38.25" customHeight="1" x14ac:dyDescent="0.3">
      <c r="A216" s="324" t="s">
        <v>926</v>
      </c>
      <c r="B216" s="337" t="s">
        <v>11</v>
      </c>
      <c r="C216" s="337" t="s">
        <v>134</v>
      </c>
      <c r="D216" s="337" t="s">
        <v>114</v>
      </c>
      <c r="E216" s="216" t="s">
        <v>928</v>
      </c>
      <c r="F216" s="337"/>
      <c r="G216" s="337"/>
      <c r="H216" s="337"/>
      <c r="I216" s="337"/>
      <c r="J216" s="337"/>
      <c r="K216" s="337"/>
      <c r="L216" s="337"/>
      <c r="M216" s="337"/>
      <c r="N216" s="337"/>
      <c r="O216" s="337"/>
      <c r="P216" s="337"/>
      <c r="Q216" s="337"/>
      <c r="R216" s="337"/>
      <c r="S216" s="337"/>
      <c r="T216" s="337" t="s">
        <v>396</v>
      </c>
      <c r="U216" s="337"/>
      <c r="V216" s="338"/>
      <c r="W216" s="338"/>
      <c r="X216" s="338"/>
      <c r="Y216" s="339"/>
      <c r="Z216" s="318"/>
      <c r="AA216" s="348">
        <v>471100</v>
      </c>
      <c r="AB216" s="177"/>
      <c r="AC216" s="177"/>
      <c r="AD216" s="279"/>
      <c r="AF216" s="274"/>
    </row>
    <row r="217" spans="1:32" ht="136.5" customHeight="1" x14ac:dyDescent="0.3">
      <c r="A217" s="311" t="s">
        <v>927</v>
      </c>
      <c r="B217" s="337" t="s">
        <v>11</v>
      </c>
      <c r="C217" s="337" t="s">
        <v>134</v>
      </c>
      <c r="D217" s="337" t="s">
        <v>114</v>
      </c>
      <c r="E217" s="216" t="s">
        <v>957</v>
      </c>
      <c r="F217" s="337"/>
      <c r="G217" s="337"/>
      <c r="H217" s="337"/>
      <c r="I217" s="337"/>
      <c r="J217" s="337"/>
      <c r="K217" s="337"/>
      <c r="L217" s="337"/>
      <c r="M217" s="337"/>
      <c r="N217" s="337"/>
      <c r="O217" s="337"/>
      <c r="P217" s="337"/>
      <c r="Q217" s="337"/>
      <c r="R217" s="337"/>
      <c r="S217" s="337"/>
      <c r="T217" s="337"/>
      <c r="U217" s="337"/>
      <c r="V217" s="338"/>
      <c r="W217" s="338"/>
      <c r="X217" s="338"/>
      <c r="Y217" s="339"/>
      <c r="Z217" s="318"/>
      <c r="AA217" s="348">
        <f>AA218</f>
        <v>400000</v>
      </c>
      <c r="AB217" s="177"/>
      <c r="AC217" s="177"/>
      <c r="AD217" s="279"/>
      <c r="AF217" s="274"/>
    </row>
    <row r="218" spans="1:32" ht="61.5" customHeight="1" x14ac:dyDescent="0.3">
      <c r="A218" s="324" t="s">
        <v>926</v>
      </c>
      <c r="B218" s="337" t="s">
        <v>11</v>
      </c>
      <c r="C218" s="337" t="s">
        <v>134</v>
      </c>
      <c r="D218" s="337" t="s">
        <v>114</v>
      </c>
      <c r="E218" s="216" t="s">
        <v>957</v>
      </c>
      <c r="F218" s="337"/>
      <c r="G218" s="337"/>
      <c r="H218" s="337"/>
      <c r="I218" s="337"/>
      <c r="J218" s="337"/>
      <c r="K218" s="337"/>
      <c r="L218" s="337"/>
      <c r="M218" s="337"/>
      <c r="N218" s="337"/>
      <c r="O218" s="337"/>
      <c r="P218" s="337"/>
      <c r="Q218" s="337"/>
      <c r="R218" s="337"/>
      <c r="S218" s="337"/>
      <c r="T218" s="337" t="s">
        <v>396</v>
      </c>
      <c r="U218" s="337"/>
      <c r="V218" s="338"/>
      <c r="W218" s="338"/>
      <c r="X218" s="338"/>
      <c r="Y218" s="339"/>
      <c r="Z218" s="318"/>
      <c r="AA218" s="348">
        <v>400000</v>
      </c>
      <c r="AB218" s="177"/>
      <c r="AC218" s="177"/>
      <c r="AD218" s="279"/>
      <c r="AF218" s="274"/>
    </row>
    <row r="219" spans="1:32" ht="142.5" customHeight="1" x14ac:dyDescent="0.3">
      <c r="A219" s="311" t="s">
        <v>927</v>
      </c>
      <c r="B219" s="337" t="s">
        <v>11</v>
      </c>
      <c r="C219" s="337" t="s">
        <v>134</v>
      </c>
      <c r="D219" s="337" t="s">
        <v>114</v>
      </c>
      <c r="E219" s="216" t="s">
        <v>929</v>
      </c>
      <c r="F219" s="337"/>
      <c r="G219" s="337"/>
      <c r="H219" s="337"/>
      <c r="I219" s="337"/>
      <c r="J219" s="337"/>
      <c r="K219" s="337"/>
      <c r="L219" s="337"/>
      <c r="M219" s="337"/>
      <c r="N219" s="337"/>
      <c r="O219" s="337"/>
      <c r="P219" s="337"/>
      <c r="Q219" s="337"/>
      <c r="R219" s="337"/>
      <c r="S219" s="337"/>
      <c r="T219" s="337"/>
      <c r="U219" s="337"/>
      <c r="V219" s="338"/>
      <c r="W219" s="338"/>
      <c r="X219" s="338"/>
      <c r="Y219" s="339"/>
      <c r="Z219" s="318"/>
      <c r="AA219" s="348">
        <f>AA220</f>
        <v>0</v>
      </c>
      <c r="AB219" s="177"/>
      <c r="AC219" s="177"/>
      <c r="AD219" s="279"/>
      <c r="AF219" s="274"/>
    </row>
    <row r="220" spans="1:32" ht="45" customHeight="1" x14ac:dyDescent="0.3">
      <c r="A220" s="324" t="s">
        <v>926</v>
      </c>
      <c r="B220" s="337" t="s">
        <v>11</v>
      </c>
      <c r="C220" s="337" t="s">
        <v>134</v>
      </c>
      <c r="D220" s="337" t="s">
        <v>114</v>
      </c>
      <c r="E220" s="216" t="s">
        <v>929</v>
      </c>
      <c r="F220" s="337"/>
      <c r="G220" s="337"/>
      <c r="H220" s="337"/>
      <c r="I220" s="337"/>
      <c r="J220" s="337"/>
      <c r="K220" s="337"/>
      <c r="L220" s="337"/>
      <c r="M220" s="337"/>
      <c r="N220" s="337"/>
      <c r="O220" s="337"/>
      <c r="P220" s="337"/>
      <c r="Q220" s="337"/>
      <c r="R220" s="337"/>
      <c r="S220" s="337"/>
      <c r="T220" s="337" t="s">
        <v>396</v>
      </c>
      <c r="U220" s="337"/>
      <c r="V220" s="338"/>
      <c r="W220" s="338"/>
      <c r="X220" s="338"/>
      <c r="Y220" s="339"/>
      <c r="Z220" s="318"/>
      <c r="AA220" s="348">
        <f>400000-400000</f>
        <v>0</v>
      </c>
      <c r="AB220" s="177"/>
      <c r="AC220" s="177"/>
      <c r="AD220" s="279"/>
      <c r="AF220" s="274"/>
    </row>
    <row r="221" spans="1:32" ht="93" customHeight="1" x14ac:dyDescent="0.3">
      <c r="A221" s="311" t="s">
        <v>401</v>
      </c>
      <c r="B221" s="216" t="s">
        <v>11</v>
      </c>
      <c r="C221" s="216" t="s">
        <v>134</v>
      </c>
      <c r="D221" s="216" t="s">
        <v>114</v>
      </c>
      <c r="E221" s="216" t="s">
        <v>778</v>
      </c>
      <c r="F221" s="216"/>
      <c r="G221" s="216"/>
      <c r="H221" s="216"/>
      <c r="I221" s="216"/>
      <c r="J221" s="216"/>
      <c r="K221" s="216"/>
      <c r="L221" s="216"/>
      <c r="M221" s="216"/>
      <c r="N221" s="216"/>
      <c r="O221" s="216"/>
      <c r="P221" s="216"/>
      <c r="Q221" s="216"/>
      <c r="R221" s="216"/>
      <c r="S221" s="216"/>
      <c r="T221" s="216"/>
      <c r="U221" s="216"/>
      <c r="V221" s="312"/>
      <c r="W221" s="312"/>
      <c r="X221" s="312"/>
      <c r="Y221" s="311" t="s">
        <v>401</v>
      </c>
      <c r="Z221" s="313">
        <f>Z222</f>
        <v>50000</v>
      </c>
      <c r="AA221" s="314">
        <f>AA222</f>
        <v>50000</v>
      </c>
      <c r="AB221" s="276"/>
      <c r="AC221" s="276"/>
      <c r="AD221" s="277" t="s">
        <v>401</v>
      </c>
      <c r="AF221" s="274"/>
    </row>
    <row r="222" spans="1:32" ht="130.35" customHeight="1" x14ac:dyDescent="0.3">
      <c r="A222" s="324" t="s">
        <v>402</v>
      </c>
      <c r="B222" s="316" t="s">
        <v>11</v>
      </c>
      <c r="C222" s="316" t="s">
        <v>134</v>
      </c>
      <c r="D222" s="316" t="s">
        <v>114</v>
      </c>
      <c r="E222" s="216" t="s">
        <v>778</v>
      </c>
      <c r="F222" s="316"/>
      <c r="G222" s="316"/>
      <c r="H222" s="316"/>
      <c r="I222" s="316"/>
      <c r="J222" s="316"/>
      <c r="K222" s="316"/>
      <c r="L222" s="316"/>
      <c r="M222" s="316"/>
      <c r="N222" s="316"/>
      <c r="O222" s="316"/>
      <c r="P222" s="316"/>
      <c r="Q222" s="316"/>
      <c r="R222" s="316"/>
      <c r="S222" s="316"/>
      <c r="T222" s="316" t="s">
        <v>281</v>
      </c>
      <c r="U222" s="316"/>
      <c r="V222" s="317"/>
      <c r="W222" s="317"/>
      <c r="X222" s="317"/>
      <c r="Y222" s="324" t="s">
        <v>402</v>
      </c>
      <c r="Z222" s="322">
        <f>100000-50000</f>
        <v>50000</v>
      </c>
      <c r="AA222" s="334">
        <v>50000</v>
      </c>
      <c r="AB222" s="177"/>
      <c r="AC222" s="177"/>
      <c r="AD222" s="279" t="s">
        <v>402</v>
      </c>
      <c r="AF222" s="274"/>
    </row>
    <row r="223" spans="1:32" ht="74.45" customHeight="1" x14ac:dyDescent="0.3">
      <c r="A223" s="311" t="s">
        <v>233</v>
      </c>
      <c r="B223" s="216" t="s">
        <v>11</v>
      </c>
      <c r="C223" s="216" t="s">
        <v>134</v>
      </c>
      <c r="D223" s="216" t="s">
        <v>114</v>
      </c>
      <c r="E223" s="216" t="s">
        <v>779</v>
      </c>
      <c r="F223" s="216"/>
      <c r="G223" s="216"/>
      <c r="H223" s="216"/>
      <c r="I223" s="216"/>
      <c r="J223" s="216"/>
      <c r="K223" s="216"/>
      <c r="L223" s="216"/>
      <c r="M223" s="216"/>
      <c r="N223" s="216"/>
      <c r="O223" s="216"/>
      <c r="P223" s="216"/>
      <c r="Q223" s="216"/>
      <c r="R223" s="216"/>
      <c r="S223" s="216"/>
      <c r="T223" s="216"/>
      <c r="U223" s="216"/>
      <c r="V223" s="312"/>
      <c r="W223" s="312"/>
      <c r="X223" s="312"/>
      <c r="Y223" s="311" t="s">
        <v>233</v>
      </c>
      <c r="Z223" s="313">
        <f>Z225</f>
        <v>952168.42999999993</v>
      </c>
      <c r="AA223" s="314">
        <f>AA224+AA225</f>
        <v>1334598.53</v>
      </c>
      <c r="AB223" s="276"/>
      <c r="AC223" s="276"/>
      <c r="AD223" s="277" t="s">
        <v>233</v>
      </c>
    </row>
    <row r="224" spans="1:32" ht="105.75" customHeight="1" x14ac:dyDescent="0.3">
      <c r="A224" s="311" t="s">
        <v>838</v>
      </c>
      <c r="B224" s="216" t="s">
        <v>11</v>
      </c>
      <c r="C224" s="216" t="s">
        <v>134</v>
      </c>
      <c r="D224" s="216" t="s">
        <v>114</v>
      </c>
      <c r="E224" s="216" t="s">
        <v>779</v>
      </c>
      <c r="F224" s="216"/>
      <c r="G224" s="216"/>
      <c r="H224" s="216"/>
      <c r="I224" s="216"/>
      <c r="J224" s="216"/>
      <c r="K224" s="216"/>
      <c r="L224" s="216"/>
      <c r="M224" s="216"/>
      <c r="N224" s="216"/>
      <c r="O224" s="216"/>
      <c r="P224" s="216"/>
      <c r="Q224" s="216"/>
      <c r="R224" s="216"/>
      <c r="S224" s="216"/>
      <c r="T224" s="216" t="s">
        <v>281</v>
      </c>
      <c r="U224" s="216"/>
      <c r="V224" s="312"/>
      <c r="W224" s="312"/>
      <c r="X224" s="312"/>
      <c r="Y224" s="311"/>
      <c r="Z224" s="313"/>
      <c r="AA224" s="314">
        <f>221300+100000</f>
        <v>321300</v>
      </c>
      <c r="AB224" s="276"/>
      <c r="AC224" s="276"/>
      <c r="AD224" s="277"/>
    </row>
    <row r="225" spans="1:32" ht="101.25" customHeight="1" x14ac:dyDescent="0.3">
      <c r="A225" s="324" t="s">
        <v>403</v>
      </c>
      <c r="B225" s="316" t="s">
        <v>11</v>
      </c>
      <c r="C225" s="316" t="s">
        <v>134</v>
      </c>
      <c r="D225" s="316" t="s">
        <v>114</v>
      </c>
      <c r="E225" s="216" t="s">
        <v>779</v>
      </c>
      <c r="F225" s="316"/>
      <c r="G225" s="316"/>
      <c r="H225" s="316"/>
      <c r="I225" s="316"/>
      <c r="J225" s="316"/>
      <c r="K225" s="316"/>
      <c r="L225" s="316"/>
      <c r="M225" s="316"/>
      <c r="N225" s="316"/>
      <c r="O225" s="316"/>
      <c r="P225" s="316"/>
      <c r="Q225" s="316"/>
      <c r="R225" s="316"/>
      <c r="S225" s="316"/>
      <c r="T225" s="316" t="s">
        <v>396</v>
      </c>
      <c r="U225" s="316"/>
      <c r="V225" s="317"/>
      <c r="W225" s="317"/>
      <c r="X225" s="317"/>
      <c r="Y225" s="324" t="s">
        <v>403</v>
      </c>
      <c r="Z225" s="322">
        <f>315300+300000+76260+45000+100000+115608.43</f>
        <v>952168.42999999993</v>
      </c>
      <c r="AA225" s="334">
        <f>991298.53+152000-167128.87+37128.87</f>
        <v>1013298.53</v>
      </c>
      <c r="AB225" s="177"/>
      <c r="AC225" s="177"/>
      <c r="AD225" s="279" t="s">
        <v>403</v>
      </c>
      <c r="AF225" s="274"/>
    </row>
    <row r="226" spans="1:32" ht="122.25" customHeight="1" x14ac:dyDescent="0.3">
      <c r="A226" s="378" t="s">
        <v>537</v>
      </c>
      <c r="B226" s="316" t="s">
        <v>11</v>
      </c>
      <c r="C226" s="316" t="s">
        <v>134</v>
      </c>
      <c r="D226" s="316" t="s">
        <v>114</v>
      </c>
      <c r="E226" s="216" t="s">
        <v>725</v>
      </c>
      <c r="F226" s="316"/>
      <c r="G226" s="316"/>
      <c r="H226" s="316"/>
      <c r="I226" s="316"/>
      <c r="J226" s="316"/>
      <c r="K226" s="316"/>
      <c r="L226" s="316"/>
      <c r="M226" s="316"/>
      <c r="N226" s="316"/>
      <c r="O226" s="316"/>
      <c r="P226" s="316"/>
      <c r="Q226" s="316"/>
      <c r="R226" s="316"/>
      <c r="S226" s="316"/>
      <c r="T226" s="316"/>
      <c r="U226" s="316"/>
      <c r="V226" s="317"/>
      <c r="W226" s="317"/>
      <c r="X226" s="317"/>
      <c r="Y226" s="324"/>
      <c r="Z226" s="322"/>
      <c r="AA226" s="348">
        <f>AA227</f>
        <v>360000</v>
      </c>
      <c r="AB226" s="177"/>
      <c r="AC226" s="177"/>
      <c r="AD226" s="279"/>
      <c r="AF226" s="274"/>
    </row>
    <row r="227" spans="1:32" ht="119.25" customHeight="1" x14ac:dyDescent="0.3">
      <c r="A227" s="378" t="s">
        <v>537</v>
      </c>
      <c r="B227" s="316" t="s">
        <v>11</v>
      </c>
      <c r="C227" s="316" t="s">
        <v>134</v>
      </c>
      <c r="D227" s="316" t="s">
        <v>114</v>
      </c>
      <c r="E227" s="216" t="s">
        <v>725</v>
      </c>
      <c r="F227" s="316"/>
      <c r="G227" s="316"/>
      <c r="H227" s="316"/>
      <c r="I227" s="316"/>
      <c r="J227" s="316"/>
      <c r="K227" s="316"/>
      <c r="L227" s="316"/>
      <c r="M227" s="316"/>
      <c r="N227" s="316"/>
      <c r="O227" s="316"/>
      <c r="P227" s="316"/>
      <c r="Q227" s="316"/>
      <c r="R227" s="316"/>
      <c r="S227" s="316"/>
      <c r="T227" s="316" t="s">
        <v>396</v>
      </c>
      <c r="U227" s="316"/>
      <c r="V227" s="317"/>
      <c r="W227" s="317"/>
      <c r="X227" s="317"/>
      <c r="Y227" s="324"/>
      <c r="Z227" s="322"/>
      <c r="AA227" s="348">
        <f>180000+20000+160000</f>
        <v>360000</v>
      </c>
      <c r="AB227" s="177"/>
      <c r="AC227" s="177"/>
      <c r="AD227" s="279"/>
      <c r="AF227" s="274"/>
    </row>
    <row r="228" spans="1:32" ht="32.25" customHeight="1" x14ac:dyDescent="0.3">
      <c r="A228" s="301" t="s">
        <v>155</v>
      </c>
      <c r="B228" s="302" t="s">
        <v>11</v>
      </c>
      <c r="C228" s="302" t="s">
        <v>134</v>
      </c>
      <c r="D228" s="302" t="s">
        <v>127</v>
      </c>
      <c r="E228" s="302"/>
      <c r="F228" s="302"/>
      <c r="G228" s="302"/>
      <c r="H228" s="302"/>
      <c r="I228" s="302"/>
      <c r="J228" s="302"/>
      <c r="K228" s="302"/>
      <c r="L228" s="302"/>
      <c r="M228" s="302"/>
      <c r="N228" s="302"/>
      <c r="O228" s="302"/>
      <c r="P228" s="302"/>
      <c r="Q228" s="302"/>
      <c r="R228" s="302"/>
      <c r="S228" s="302"/>
      <c r="T228" s="302"/>
      <c r="U228" s="302"/>
      <c r="V228" s="303"/>
      <c r="W228" s="303"/>
      <c r="X228" s="303"/>
      <c r="Y228" s="301" t="s">
        <v>155</v>
      </c>
      <c r="Z228" s="325">
        <f>Z231+Z235</f>
        <v>10890000</v>
      </c>
      <c r="AA228" s="326">
        <f>AA231+AA235</f>
        <v>7521616</v>
      </c>
      <c r="AB228" s="178"/>
      <c r="AC228" s="178"/>
      <c r="AD228" s="273" t="s">
        <v>155</v>
      </c>
    </row>
    <row r="229" spans="1:32" ht="129.75" hidden="1" customHeight="1" x14ac:dyDescent="0.3">
      <c r="A229" s="311" t="s">
        <v>221</v>
      </c>
      <c r="B229" s="216" t="s">
        <v>11</v>
      </c>
      <c r="C229" s="216" t="s">
        <v>134</v>
      </c>
      <c r="D229" s="216" t="s">
        <v>127</v>
      </c>
      <c r="E229" s="216" t="s">
        <v>404</v>
      </c>
      <c r="F229" s="216"/>
      <c r="G229" s="216"/>
      <c r="H229" s="216"/>
      <c r="I229" s="216"/>
      <c r="J229" s="216"/>
      <c r="K229" s="216"/>
      <c r="L229" s="216"/>
      <c r="M229" s="216"/>
      <c r="N229" s="216"/>
      <c r="O229" s="216"/>
      <c r="P229" s="216"/>
      <c r="Q229" s="216"/>
      <c r="R229" s="216"/>
      <c r="S229" s="216"/>
      <c r="T229" s="216"/>
      <c r="U229" s="216"/>
      <c r="V229" s="312"/>
      <c r="W229" s="312"/>
      <c r="X229" s="312"/>
      <c r="Y229" s="311" t="s">
        <v>221</v>
      </c>
      <c r="Z229" s="322">
        <f>6534000-6534000</f>
        <v>0</v>
      </c>
      <c r="AA229" s="319"/>
      <c r="AB229" s="177"/>
      <c r="AC229" s="177"/>
      <c r="AD229" s="277" t="s">
        <v>221</v>
      </c>
    </row>
    <row r="230" spans="1:32" ht="117" customHeight="1" x14ac:dyDescent="0.3">
      <c r="A230" s="324" t="s">
        <v>405</v>
      </c>
      <c r="B230" s="316" t="s">
        <v>11</v>
      </c>
      <c r="C230" s="316" t="s">
        <v>134</v>
      </c>
      <c r="D230" s="316" t="s">
        <v>127</v>
      </c>
      <c r="E230" s="216" t="s">
        <v>701</v>
      </c>
      <c r="F230" s="316"/>
      <c r="G230" s="316"/>
      <c r="H230" s="316"/>
      <c r="I230" s="316"/>
      <c r="J230" s="316"/>
      <c r="K230" s="316"/>
      <c r="L230" s="316"/>
      <c r="M230" s="316"/>
      <c r="N230" s="316"/>
      <c r="O230" s="316"/>
      <c r="P230" s="316"/>
      <c r="Q230" s="316"/>
      <c r="R230" s="316"/>
      <c r="S230" s="316"/>
      <c r="T230" s="316"/>
      <c r="U230" s="316"/>
      <c r="V230" s="317"/>
      <c r="W230" s="317"/>
      <c r="X230" s="317"/>
      <c r="Y230" s="324" t="s">
        <v>405</v>
      </c>
      <c r="Z230" s="322">
        <f>Z231</f>
        <v>6534000</v>
      </c>
      <c r="AA230" s="319">
        <f>AA231</f>
        <v>5343616</v>
      </c>
      <c r="AB230" s="177"/>
      <c r="AC230" s="177"/>
      <c r="AD230" s="279" t="s">
        <v>405</v>
      </c>
    </row>
    <row r="231" spans="1:32" ht="251.25" customHeight="1" x14ac:dyDescent="0.3">
      <c r="A231" s="423" t="s">
        <v>548</v>
      </c>
      <c r="B231" s="296" t="s">
        <v>11</v>
      </c>
      <c r="C231" s="296" t="s">
        <v>134</v>
      </c>
      <c r="D231" s="296" t="s">
        <v>127</v>
      </c>
      <c r="E231" s="296" t="s">
        <v>701</v>
      </c>
      <c r="F231" s="296"/>
      <c r="G231" s="296"/>
      <c r="H231" s="296"/>
      <c r="I231" s="296"/>
      <c r="J231" s="296"/>
      <c r="K231" s="296"/>
      <c r="L231" s="296"/>
      <c r="M231" s="296"/>
      <c r="N231" s="296"/>
      <c r="O231" s="296"/>
      <c r="P231" s="296"/>
      <c r="Q231" s="296"/>
      <c r="R231" s="296"/>
      <c r="S231" s="296"/>
      <c r="T231" s="296" t="s">
        <v>355</v>
      </c>
      <c r="U231" s="296"/>
      <c r="V231" s="424"/>
      <c r="W231" s="424"/>
      <c r="X231" s="424"/>
      <c r="Y231" s="423" t="s">
        <v>221</v>
      </c>
      <c r="Z231" s="425">
        <v>6534000</v>
      </c>
      <c r="AA231" s="426">
        <f>4356000+1089000-101384</f>
        <v>5343616</v>
      </c>
      <c r="AB231" s="276"/>
      <c r="AC231" s="276"/>
      <c r="AD231" s="279"/>
    </row>
    <row r="232" spans="1:32" ht="0.75" customHeight="1" x14ac:dyDescent="0.3">
      <c r="A232" s="324" t="s">
        <v>405</v>
      </c>
      <c r="B232" s="316" t="s">
        <v>11</v>
      </c>
      <c r="C232" s="316" t="s">
        <v>134</v>
      </c>
      <c r="D232" s="316" t="s">
        <v>127</v>
      </c>
      <c r="E232" s="316" t="s">
        <v>404</v>
      </c>
      <c r="F232" s="316"/>
      <c r="G232" s="316"/>
      <c r="H232" s="316"/>
      <c r="I232" s="316"/>
      <c r="J232" s="316"/>
      <c r="K232" s="316"/>
      <c r="L232" s="316"/>
      <c r="M232" s="316"/>
      <c r="N232" s="316"/>
      <c r="O232" s="316"/>
      <c r="P232" s="316"/>
      <c r="Q232" s="316"/>
      <c r="R232" s="316"/>
      <c r="S232" s="316"/>
      <c r="T232" s="316" t="s">
        <v>355</v>
      </c>
      <c r="U232" s="316"/>
      <c r="V232" s="317"/>
      <c r="W232" s="317"/>
      <c r="X232" s="317"/>
      <c r="Y232" s="324" t="s">
        <v>405</v>
      </c>
      <c r="Z232" s="322">
        <v>6534000</v>
      </c>
      <c r="AA232" s="319">
        <v>0</v>
      </c>
      <c r="AB232" s="177"/>
      <c r="AC232" s="177"/>
      <c r="AD232" s="279"/>
      <c r="AF232" s="274"/>
    </row>
    <row r="233" spans="1:32" ht="148.5" hidden="1" customHeight="1" x14ac:dyDescent="0.3">
      <c r="A233" s="311" t="s">
        <v>222</v>
      </c>
      <c r="B233" s="216" t="s">
        <v>11</v>
      </c>
      <c r="C233" s="216" t="s">
        <v>134</v>
      </c>
      <c r="D233" s="216" t="s">
        <v>127</v>
      </c>
      <c r="E233" s="216" t="s">
        <v>406</v>
      </c>
      <c r="F233" s="216"/>
      <c r="G233" s="216"/>
      <c r="H233" s="216"/>
      <c r="I233" s="216"/>
      <c r="J233" s="216"/>
      <c r="K233" s="216"/>
      <c r="L233" s="216"/>
      <c r="M233" s="216"/>
      <c r="N233" s="216"/>
      <c r="O233" s="216"/>
      <c r="P233" s="216"/>
      <c r="Q233" s="216"/>
      <c r="R233" s="216"/>
      <c r="S233" s="216"/>
      <c r="T233" s="216"/>
      <c r="U233" s="216"/>
      <c r="V233" s="312"/>
      <c r="W233" s="312"/>
      <c r="X233" s="312"/>
      <c r="Y233" s="311" t="s">
        <v>222</v>
      </c>
      <c r="Z233" s="313">
        <f>Z234</f>
        <v>0</v>
      </c>
      <c r="AA233" s="314"/>
      <c r="AB233" s="276"/>
      <c r="AC233" s="276"/>
      <c r="AD233" s="277" t="s">
        <v>222</v>
      </c>
    </row>
    <row r="234" spans="1:32" ht="1.5" hidden="1" customHeight="1" x14ac:dyDescent="0.3">
      <c r="A234" s="315" t="s">
        <v>407</v>
      </c>
      <c r="B234" s="316" t="s">
        <v>11</v>
      </c>
      <c r="C234" s="316" t="s">
        <v>134</v>
      </c>
      <c r="D234" s="316" t="s">
        <v>127</v>
      </c>
      <c r="E234" s="316" t="s">
        <v>406</v>
      </c>
      <c r="F234" s="316"/>
      <c r="G234" s="316"/>
      <c r="H234" s="316"/>
      <c r="I234" s="316"/>
      <c r="J234" s="316"/>
      <c r="K234" s="316"/>
      <c r="L234" s="316"/>
      <c r="M234" s="316"/>
      <c r="N234" s="316"/>
      <c r="O234" s="316"/>
      <c r="P234" s="316"/>
      <c r="Q234" s="316"/>
      <c r="R234" s="316"/>
      <c r="S234" s="316"/>
      <c r="T234" s="316" t="s">
        <v>396</v>
      </c>
      <c r="U234" s="316"/>
      <c r="V234" s="317"/>
      <c r="W234" s="317"/>
      <c r="X234" s="317"/>
      <c r="Y234" s="315" t="s">
        <v>407</v>
      </c>
      <c r="Z234" s="322">
        <f>4356000-4356000</f>
        <v>0</v>
      </c>
      <c r="AA234" s="319"/>
      <c r="AB234" s="177"/>
      <c r="AC234" s="177"/>
      <c r="AD234" s="278" t="s">
        <v>407</v>
      </c>
    </row>
    <row r="235" spans="1:32" ht="271.5" customHeight="1" x14ac:dyDescent="0.3">
      <c r="A235" s="311" t="s">
        <v>549</v>
      </c>
      <c r="B235" s="216" t="s">
        <v>11</v>
      </c>
      <c r="C235" s="216" t="s">
        <v>134</v>
      </c>
      <c r="D235" s="216" t="s">
        <v>127</v>
      </c>
      <c r="E235" s="216" t="s">
        <v>700</v>
      </c>
      <c r="F235" s="216"/>
      <c r="G235" s="216"/>
      <c r="H235" s="216"/>
      <c r="I235" s="216"/>
      <c r="J235" s="216"/>
      <c r="K235" s="216"/>
      <c r="L235" s="216"/>
      <c r="M235" s="216"/>
      <c r="N235" s="216"/>
      <c r="O235" s="216"/>
      <c r="P235" s="216"/>
      <c r="Q235" s="216"/>
      <c r="R235" s="216"/>
      <c r="S235" s="216"/>
      <c r="T235" s="216"/>
      <c r="U235" s="216"/>
      <c r="V235" s="312"/>
      <c r="W235" s="312"/>
      <c r="X235" s="312"/>
      <c r="Y235" s="311" t="s">
        <v>222</v>
      </c>
      <c r="Z235" s="313">
        <v>4356000</v>
      </c>
      <c r="AA235" s="321">
        <f>AA236</f>
        <v>2178000</v>
      </c>
      <c r="AB235" s="276"/>
      <c r="AC235" s="276"/>
      <c r="AD235" s="278"/>
    </row>
    <row r="236" spans="1:32" ht="166.5" customHeight="1" x14ac:dyDescent="0.3">
      <c r="A236" s="315" t="s">
        <v>407</v>
      </c>
      <c r="B236" s="316" t="s">
        <v>11</v>
      </c>
      <c r="C236" s="316" t="s">
        <v>134</v>
      </c>
      <c r="D236" s="316" t="s">
        <v>127</v>
      </c>
      <c r="E236" s="216" t="s">
        <v>700</v>
      </c>
      <c r="F236" s="316"/>
      <c r="G236" s="316"/>
      <c r="H236" s="316"/>
      <c r="I236" s="316"/>
      <c r="J236" s="316"/>
      <c r="K236" s="316"/>
      <c r="L236" s="316"/>
      <c r="M236" s="316"/>
      <c r="N236" s="316"/>
      <c r="O236" s="316"/>
      <c r="P236" s="316"/>
      <c r="Q236" s="316"/>
      <c r="R236" s="316"/>
      <c r="S236" s="316"/>
      <c r="T236" s="316" t="s">
        <v>355</v>
      </c>
      <c r="U236" s="316"/>
      <c r="V236" s="317"/>
      <c r="W236" s="317"/>
      <c r="X236" s="317"/>
      <c r="Y236" s="315" t="s">
        <v>407</v>
      </c>
      <c r="Z236" s="322">
        <v>4356000</v>
      </c>
      <c r="AA236" s="319">
        <v>2178000</v>
      </c>
      <c r="AB236" s="177"/>
      <c r="AC236" s="177"/>
      <c r="AD236" s="278"/>
      <c r="AF236" s="274"/>
    </row>
    <row r="237" spans="1:32" ht="29.25" customHeight="1" x14ac:dyDescent="0.3">
      <c r="A237" s="301" t="s">
        <v>408</v>
      </c>
      <c r="B237" s="302" t="s">
        <v>11</v>
      </c>
      <c r="C237" s="302" t="s">
        <v>119</v>
      </c>
      <c r="D237" s="302" t="s">
        <v>124</v>
      </c>
      <c r="E237" s="302"/>
      <c r="F237" s="302"/>
      <c r="G237" s="302"/>
      <c r="H237" s="302"/>
      <c r="I237" s="302"/>
      <c r="J237" s="302"/>
      <c r="K237" s="302"/>
      <c r="L237" s="302"/>
      <c r="M237" s="302"/>
      <c r="N237" s="302"/>
      <c r="O237" s="302"/>
      <c r="P237" s="302"/>
      <c r="Q237" s="302"/>
      <c r="R237" s="302"/>
      <c r="S237" s="302"/>
      <c r="T237" s="302"/>
      <c r="U237" s="302"/>
      <c r="V237" s="303"/>
      <c r="W237" s="303"/>
      <c r="X237" s="303"/>
      <c r="Y237" s="301" t="s">
        <v>408</v>
      </c>
      <c r="Z237" s="325">
        <f>Z238+Z243</f>
        <v>1450000</v>
      </c>
      <c r="AA237" s="305">
        <f>AA238+AA243</f>
        <v>6348058.5099999998</v>
      </c>
      <c r="AB237" s="178"/>
      <c r="AC237" s="178"/>
      <c r="AD237" s="273" t="s">
        <v>408</v>
      </c>
      <c r="AF237" s="274"/>
    </row>
    <row r="238" spans="1:32" ht="36.75" customHeight="1" x14ac:dyDescent="0.3">
      <c r="A238" s="301" t="s">
        <v>110</v>
      </c>
      <c r="B238" s="302" t="s">
        <v>11</v>
      </c>
      <c r="C238" s="302" t="s">
        <v>119</v>
      </c>
      <c r="D238" s="302" t="s">
        <v>113</v>
      </c>
      <c r="E238" s="302"/>
      <c r="F238" s="302"/>
      <c r="G238" s="302"/>
      <c r="H238" s="302"/>
      <c r="I238" s="302"/>
      <c r="J238" s="302"/>
      <c r="K238" s="302"/>
      <c r="L238" s="302"/>
      <c r="M238" s="302"/>
      <c r="N238" s="302"/>
      <c r="O238" s="302"/>
      <c r="P238" s="302"/>
      <c r="Q238" s="302"/>
      <c r="R238" s="302"/>
      <c r="S238" s="302"/>
      <c r="T238" s="302"/>
      <c r="U238" s="302"/>
      <c r="V238" s="303"/>
      <c r="W238" s="303"/>
      <c r="X238" s="303"/>
      <c r="Y238" s="301" t="s">
        <v>110</v>
      </c>
      <c r="Z238" s="325">
        <f>Z239+Z241</f>
        <v>500000</v>
      </c>
      <c r="AA238" s="305">
        <f>AA239+AA241</f>
        <v>1428700</v>
      </c>
      <c r="AB238" s="178"/>
      <c r="AC238" s="178"/>
      <c r="AD238" s="273" t="s">
        <v>110</v>
      </c>
    </row>
    <row r="239" spans="1:32" ht="161.25" customHeight="1" x14ac:dyDescent="0.3">
      <c r="A239" s="311" t="s">
        <v>702</v>
      </c>
      <c r="B239" s="216" t="s">
        <v>11</v>
      </c>
      <c r="C239" s="216" t="s">
        <v>119</v>
      </c>
      <c r="D239" s="216" t="s">
        <v>113</v>
      </c>
      <c r="E239" s="216" t="s">
        <v>703</v>
      </c>
      <c r="F239" s="216"/>
      <c r="G239" s="216"/>
      <c r="H239" s="216"/>
      <c r="I239" s="216"/>
      <c r="J239" s="216"/>
      <c r="K239" s="216"/>
      <c r="L239" s="216"/>
      <c r="M239" s="216"/>
      <c r="N239" s="216"/>
      <c r="O239" s="216"/>
      <c r="P239" s="216"/>
      <c r="Q239" s="216"/>
      <c r="R239" s="216"/>
      <c r="S239" s="216"/>
      <c r="T239" s="216"/>
      <c r="U239" s="216"/>
      <c r="V239" s="312"/>
      <c r="W239" s="312"/>
      <c r="X239" s="312"/>
      <c r="Y239" s="311" t="s">
        <v>409</v>
      </c>
      <c r="Z239" s="313">
        <v>450000</v>
      </c>
      <c r="AA239" s="314">
        <f>AA240</f>
        <v>1378700</v>
      </c>
      <c r="AB239" s="276"/>
      <c r="AC239" s="276"/>
      <c r="AD239" s="277" t="s">
        <v>409</v>
      </c>
    </row>
    <row r="240" spans="1:32" ht="111.75" customHeight="1" x14ac:dyDescent="0.3">
      <c r="A240" s="324" t="s">
        <v>410</v>
      </c>
      <c r="B240" s="316" t="s">
        <v>11</v>
      </c>
      <c r="C240" s="316" t="s">
        <v>119</v>
      </c>
      <c r="D240" s="316" t="s">
        <v>113</v>
      </c>
      <c r="E240" s="216" t="s">
        <v>703</v>
      </c>
      <c r="F240" s="316"/>
      <c r="G240" s="316"/>
      <c r="H240" s="316"/>
      <c r="I240" s="316"/>
      <c r="J240" s="316"/>
      <c r="K240" s="316"/>
      <c r="L240" s="316"/>
      <c r="M240" s="316"/>
      <c r="N240" s="316"/>
      <c r="O240" s="316"/>
      <c r="P240" s="316"/>
      <c r="Q240" s="316"/>
      <c r="R240" s="316"/>
      <c r="S240" s="316"/>
      <c r="T240" s="316" t="s">
        <v>281</v>
      </c>
      <c r="U240" s="316"/>
      <c r="V240" s="317"/>
      <c r="W240" s="317"/>
      <c r="X240" s="317"/>
      <c r="Y240" s="324" t="s">
        <v>410</v>
      </c>
      <c r="Z240" s="322">
        <v>450000</v>
      </c>
      <c r="AA240" s="334">
        <f>450000+928700</f>
        <v>1378700</v>
      </c>
      <c r="AB240" s="177"/>
      <c r="AC240" s="177"/>
      <c r="AD240" s="279" t="s">
        <v>410</v>
      </c>
      <c r="AF240" s="274"/>
    </row>
    <row r="241" spans="1:32" ht="173.25" customHeight="1" x14ac:dyDescent="0.3">
      <c r="A241" s="311" t="s">
        <v>704</v>
      </c>
      <c r="B241" s="216" t="s">
        <v>11</v>
      </c>
      <c r="C241" s="216" t="s">
        <v>119</v>
      </c>
      <c r="D241" s="216" t="s">
        <v>113</v>
      </c>
      <c r="E241" s="216" t="s">
        <v>705</v>
      </c>
      <c r="F241" s="216"/>
      <c r="G241" s="216"/>
      <c r="H241" s="216"/>
      <c r="I241" s="216"/>
      <c r="J241" s="216"/>
      <c r="K241" s="216"/>
      <c r="L241" s="216"/>
      <c r="M241" s="216"/>
      <c r="N241" s="216"/>
      <c r="O241" s="216"/>
      <c r="P241" s="216"/>
      <c r="Q241" s="216"/>
      <c r="R241" s="216"/>
      <c r="S241" s="216"/>
      <c r="T241" s="216"/>
      <c r="U241" s="216"/>
      <c r="V241" s="312"/>
      <c r="W241" s="312"/>
      <c r="X241" s="312"/>
      <c r="Y241" s="311" t="s">
        <v>411</v>
      </c>
      <c r="Z241" s="313">
        <f>Z242</f>
        <v>50000</v>
      </c>
      <c r="AA241" s="314">
        <f>AA242</f>
        <v>50000</v>
      </c>
      <c r="AB241" s="276"/>
      <c r="AC241" s="276"/>
      <c r="AD241" s="277" t="s">
        <v>411</v>
      </c>
    </row>
    <row r="242" spans="1:32" ht="97.5" customHeight="1" x14ac:dyDescent="0.3">
      <c r="A242" s="324" t="s">
        <v>412</v>
      </c>
      <c r="B242" s="316" t="s">
        <v>11</v>
      </c>
      <c r="C242" s="316" t="s">
        <v>119</v>
      </c>
      <c r="D242" s="316" t="s">
        <v>113</v>
      </c>
      <c r="E242" s="216" t="s">
        <v>705</v>
      </c>
      <c r="F242" s="316"/>
      <c r="G242" s="316"/>
      <c r="H242" s="316"/>
      <c r="I242" s="316"/>
      <c r="J242" s="316"/>
      <c r="K242" s="316"/>
      <c r="L242" s="316"/>
      <c r="M242" s="316"/>
      <c r="N242" s="316"/>
      <c r="O242" s="316"/>
      <c r="P242" s="316"/>
      <c r="Q242" s="316"/>
      <c r="R242" s="316"/>
      <c r="S242" s="316"/>
      <c r="T242" s="316" t="s">
        <v>281</v>
      </c>
      <c r="U242" s="316"/>
      <c r="V242" s="317"/>
      <c r="W242" s="317"/>
      <c r="X242" s="317"/>
      <c r="Y242" s="324" t="s">
        <v>412</v>
      </c>
      <c r="Z242" s="322">
        <f>100000-50000</f>
        <v>50000</v>
      </c>
      <c r="AA242" s="334">
        <v>50000</v>
      </c>
      <c r="AB242" s="177"/>
      <c r="AC242" s="177"/>
      <c r="AD242" s="279" t="s">
        <v>412</v>
      </c>
      <c r="AF242" s="274"/>
    </row>
    <row r="243" spans="1:32" ht="38.25" customHeight="1" x14ac:dyDescent="0.3">
      <c r="A243" s="301" t="s">
        <v>157</v>
      </c>
      <c r="B243" s="302" t="s">
        <v>11</v>
      </c>
      <c r="C243" s="302" t="s">
        <v>119</v>
      </c>
      <c r="D243" s="302" t="s">
        <v>123</v>
      </c>
      <c r="E243" s="302"/>
      <c r="F243" s="302"/>
      <c r="G243" s="302"/>
      <c r="H243" s="302"/>
      <c r="I243" s="302"/>
      <c r="J243" s="302"/>
      <c r="K243" s="302"/>
      <c r="L243" s="302"/>
      <c r="M243" s="302"/>
      <c r="N243" s="302"/>
      <c r="O243" s="302"/>
      <c r="P243" s="302"/>
      <c r="Q243" s="302"/>
      <c r="R243" s="302"/>
      <c r="S243" s="302"/>
      <c r="T243" s="302"/>
      <c r="U243" s="302"/>
      <c r="V243" s="303"/>
      <c r="W243" s="303"/>
      <c r="X243" s="303"/>
      <c r="Y243" s="301" t="s">
        <v>157</v>
      </c>
      <c r="Z243" s="325">
        <f>Z244+Z246+Z250</f>
        <v>950000</v>
      </c>
      <c r="AA243" s="326">
        <f>AA244+AA246+AA250+AA248</f>
        <v>4919358.51</v>
      </c>
      <c r="AB243" s="178"/>
      <c r="AC243" s="178"/>
      <c r="AD243" s="273" t="s">
        <v>157</v>
      </c>
    </row>
    <row r="244" spans="1:32" ht="153.75" customHeight="1" x14ac:dyDescent="0.3">
      <c r="A244" s="311" t="s">
        <v>706</v>
      </c>
      <c r="B244" s="216" t="s">
        <v>11</v>
      </c>
      <c r="C244" s="216" t="s">
        <v>119</v>
      </c>
      <c r="D244" s="216" t="s">
        <v>123</v>
      </c>
      <c r="E244" s="216" t="s">
        <v>707</v>
      </c>
      <c r="F244" s="216"/>
      <c r="G244" s="216"/>
      <c r="H244" s="216"/>
      <c r="I244" s="216"/>
      <c r="J244" s="216"/>
      <c r="K244" s="216"/>
      <c r="L244" s="216"/>
      <c r="M244" s="216"/>
      <c r="N244" s="216"/>
      <c r="O244" s="216"/>
      <c r="P244" s="216"/>
      <c r="Q244" s="216"/>
      <c r="R244" s="216"/>
      <c r="S244" s="216"/>
      <c r="T244" s="216"/>
      <c r="U244" s="216"/>
      <c r="V244" s="312"/>
      <c r="W244" s="312"/>
      <c r="X244" s="312"/>
      <c r="Y244" s="311" t="s">
        <v>413</v>
      </c>
      <c r="Z244" s="313">
        <f>Z245</f>
        <v>450000</v>
      </c>
      <c r="AA244" s="314">
        <f>AA245</f>
        <v>476999</v>
      </c>
      <c r="AB244" s="276"/>
      <c r="AC244" s="276"/>
      <c r="AD244" s="277" t="s">
        <v>413</v>
      </c>
    </row>
    <row r="245" spans="1:32" ht="93.75" customHeight="1" x14ac:dyDescent="0.3">
      <c r="A245" s="324" t="s">
        <v>414</v>
      </c>
      <c r="B245" s="316" t="s">
        <v>11</v>
      </c>
      <c r="C245" s="316" t="s">
        <v>119</v>
      </c>
      <c r="D245" s="316" t="s">
        <v>123</v>
      </c>
      <c r="E245" s="216" t="s">
        <v>707</v>
      </c>
      <c r="F245" s="316"/>
      <c r="G245" s="316"/>
      <c r="H245" s="316"/>
      <c r="I245" s="316"/>
      <c r="J245" s="316"/>
      <c r="K245" s="316"/>
      <c r="L245" s="316"/>
      <c r="M245" s="316"/>
      <c r="N245" s="316"/>
      <c r="O245" s="316"/>
      <c r="P245" s="316"/>
      <c r="Q245" s="316"/>
      <c r="R245" s="316"/>
      <c r="S245" s="316"/>
      <c r="T245" s="316" t="s">
        <v>281</v>
      </c>
      <c r="U245" s="316"/>
      <c r="V245" s="317"/>
      <c r="W245" s="317"/>
      <c r="X245" s="317"/>
      <c r="Y245" s="324" t="s">
        <v>414</v>
      </c>
      <c r="Z245" s="322">
        <f>650000-200000</f>
        <v>450000</v>
      </c>
      <c r="AA245" s="334">
        <v>476999</v>
      </c>
      <c r="AB245" s="177"/>
      <c r="AC245" s="177"/>
      <c r="AD245" s="279" t="s">
        <v>414</v>
      </c>
      <c r="AF245" s="274"/>
    </row>
    <row r="246" spans="1:32" ht="163.5" customHeight="1" x14ac:dyDescent="0.3">
      <c r="A246" s="311" t="s">
        <v>708</v>
      </c>
      <c r="B246" s="216" t="s">
        <v>11</v>
      </c>
      <c r="C246" s="216" t="s">
        <v>119</v>
      </c>
      <c r="D246" s="216" t="s">
        <v>123</v>
      </c>
      <c r="E246" s="216" t="s">
        <v>709</v>
      </c>
      <c r="F246" s="216"/>
      <c r="G246" s="216"/>
      <c r="H246" s="216"/>
      <c r="I246" s="216"/>
      <c r="J246" s="216"/>
      <c r="K246" s="216"/>
      <c r="L246" s="216"/>
      <c r="M246" s="216"/>
      <c r="N246" s="216"/>
      <c r="O246" s="216"/>
      <c r="P246" s="216"/>
      <c r="Q246" s="216"/>
      <c r="R246" s="216"/>
      <c r="S246" s="216"/>
      <c r="T246" s="216"/>
      <c r="U246" s="216"/>
      <c r="V246" s="312"/>
      <c r="W246" s="312"/>
      <c r="X246" s="312"/>
      <c r="Y246" s="311" t="s">
        <v>415</v>
      </c>
      <c r="Z246" s="313">
        <f>Z247</f>
        <v>500000</v>
      </c>
      <c r="AA246" s="314">
        <f>AA247</f>
        <v>529999</v>
      </c>
      <c r="AB246" s="276"/>
      <c r="AC246" s="276"/>
      <c r="AD246" s="277" t="s">
        <v>415</v>
      </c>
    </row>
    <row r="247" spans="1:32" ht="64.5" customHeight="1" x14ac:dyDescent="0.3">
      <c r="A247" s="324" t="s">
        <v>416</v>
      </c>
      <c r="B247" s="316" t="s">
        <v>11</v>
      </c>
      <c r="C247" s="316" t="s">
        <v>119</v>
      </c>
      <c r="D247" s="316" t="s">
        <v>123</v>
      </c>
      <c r="E247" s="216" t="s">
        <v>709</v>
      </c>
      <c r="F247" s="316"/>
      <c r="G247" s="316"/>
      <c r="H247" s="316"/>
      <c r="I247" s="316"/>
      <c r="J247" s="316"/>
      <c r="K247" s="316"/>
      <c r="L247" s="316"/>
      <c r="M247" s="316"/>
      <c r="N247" s="316"/>
      <c r="O247" s="316"/>
      <c r="P247" s="316"/>
      <c r="Q247" s="316"/>
      <c r="R247" s="316"/>
      <c r="S247" s="316"/>
      <c r="T247" s="316" t="s">
        <v>281</v>
      </c>
      <c r="U247" s="316"/>
      <c r="V247" s="317"/>
      <c r="W247" s="317"/>
      <c r="X247" s="317"/>
      <c r="Y247" s="324" t="s">
        <v>416</v>
      </c>
      <c r="Z247" s="322">
        <f>300000+200000</f>
        <v>500000</v>
      </c>
      <c r="AA247" s="334">
        <v>529999</v>
      </c>
      <c r="AB247" s="177"/>
      <c r="AC247" s="177"/>
      <c r="AD247" s="279" t="s">
        <v>416</v>
      </c>
      <c r="AF247" s="274"/>
    </row>
    <row r="248" spans="1:32" ht="159" customHeight="1" x14ac:dyDescent="0.3">
      <c r="A248" s="311" t="s">
        <v>531</v>
      </c>
      <c r="B248" s="316" t="s">
        <v>11</v>
      </c>
      <c r="C248" s="316" t="s">
        <v>119</v>
      </c>
      <c r="D248" s="316" t="s">
        <v>123</v>
      </c>
      <c r="E248" s="216" t="s">
        <v>710</v>
      </c>
      <c r="F248" s="316"/>
      <c r="G248" s="316"/>
      <c r="H248" s="316"/>
      <c r="I248" s="316"/>
      <c r="J248" s="316"/>
      <c r="K248" s="316"/>
      <c r="L248" s="316"/>
      <c r="M248" s="316"/>
      <c r="N248" s="316"/>
      <c r="O248" s="316"/>
      <c r="P248" s="316"/>
      <c r="Q248" s="316"/>
      <c r="R248" s="316"/>
      <c r="S248" s="316"/>
      <c r="T248" s="316"/>
      <c r="U248" s="316"/>
      <c r="V248" s="317"/>
      <c r="W248" s="317"/>
      <c r="X248" s="317"/>
      <c r="Y248" s="324"/>
      <c r="Z248" s="322">
        <v>0</v>
      </c>
      <c r="AA248" s="319">
        <f>AA249</f>
        <v>3912360.5100000002</v>
      </c>
      <c r="AB248" s="177"/>
      <c r="AC248" s="177"/>
      <c r="AD248" s="279"/>
    </row>
    <row r="249" spans="1:32" ht="72" customHeight="1" x14ac:dyDescent="0.3">
      <c r="A249" s="420" t="s">
        <v>530</v>
      </c>
      <c r="B249" s="316" t="s">
        <v>11</v>
      </c>
      <c r="C249" s="316" t="s">
        <v>119</v>
      </c>
      <c r="D249" s="316" t="s">
        <v>123</v>
      </c>
      <c r="E249" s="216" t="s">
        <v>710</v>
      </c>
      <c r="F249" s="316"/>
      <c r="G249" s="316"/>
      <c r="H249" s="316"/>
      <c r="I249" s="316"/>
      <c r="J249" s="316"/>
      <c r="K249" s="316"/>
      <c r="L249" s="316"/>
      <c r="M249" s="316"/>
      <c r="N249" s="316"/>
      <c r="O249" s="316"/>
      <c r="P249" s="316"/>
      <c r="Q249" s="316"/>
      <c r="R249" s="316"/>
      <c r="S249" s="316"/>
      <c r="T249" s="316" t="s">
        <v>355</v>
      </c>
      <c r="U249" s="316"/>
      <c r="V249" s="317"/>
      <c r="W249" s="317"/>
      <c r="X249" s="317"/>
      <c r="Y249" s="324"/>
      <c r="Z249" s="322">
        <v>0</v>
      </c>
      <c r="AA249" s="334">
        <f>6000000-152000-891560-100000-219062-143767.3-340000-150000-91250.19</f>
        <v>3912360.5100000002</v>
      </c>
      <c r="AB249" s="177"/>
      <c r="AC249" s="177"/>
      <c r="AD249" s="279"/>
      <c r="AF249" s="274"/>
    </row>
    <row r="250" spans="1:32" ht="186" hidden="1" customHeight="1" x14ac:dyDescent="0.3">
      <c r="A250" s="311" t="s">
        <v>711</v>
      </c>
      <c r="B250" s="216" t="s">
        <v>11</v>
      </c>
      <c r="C250" s="216" t="s">
        <v>119</v>
      </c>
      <c r="D250" s="216" t="s">
        <v>123</v>
      </c>
      <c r="E250" s="216" t="s">
        <v>712</v>
      </c>
      <c r="F250" s="216"/>
      <c r="G250" s="216"/>
      <c r="H250" s="216"/>
      <c r="I250" s="216"/>
      <c r="J250" s="379" t="s">
        <v>528</v>
      </c>
      <c r="K250" s="216"/>
      <c r="L250" s="216"/>
      <c r="M250" s="216"/>
      <c r="N250" s="216"/>
      <c r="O250" s="216"/>
      <c r="P250" s="216"/>
      <c r="Q250" s="216"/>
      <c r="R250" s="216"/>
      <c r="S250" s="216"/>
      <c r="T250" s="216"/>
      <c r="U250" s="216"/>
      <c r="V250" s="312"/>
      <c r="W250" s="312"/>
      <c r="X250" s="312"/>
      <c r="Y250" s="311" t="s">
        <v>417</v>
      </c>
      <c r="Z250" s="313">
        <f>Z251</f>
        <v>0</v>
      </c>
      <c r="AA250" s="314">
        <f>AA251</f>
        <v>0</v>
      </c>
      <c r="AB250" s="276"/>
      <c r="AC250" s="276"/>
      <c r="AD250" s="277" t="s">
        <v>417</v>
      </c>
    </row>
    <row r="251" spans="1:32" ht="98.25" hidden="1" customHeight="1" x14ac:dyDescent="0.3">
      <c r="A251" s="324" t="s">
        <v>418</v>
      </c>
      <c r="B251" s="316" t="s">
        <v>11</v>
      </c>
      <c r="C251" s="316" t="s">
        <v>119</v>
      </c>
      <c r="D251" s="316" t="s">
        <v>123</v>
      </c>
      <c r="E251" s="216" t="s">
        <v>712</v>
      </c>
      <c r="F251" s="316"/>
      <c r="G251" s="316"/>
      <c r="H251" s="316"/>
      <c r="I251" s="316"/>
      <c r="J251" s="316"/>
      <c r="K251" s="316"/>
      <c r="L251" s="316"/>
      <c r="M251" s="316"/>
      <c r="N251" s="316"/>
      <c r="O251" s="316"/>
      <c r="P251" s="316"/>
      <c r="Q251" s="316"/>
      <c r="R251" s="316"/>
      <c r="S251" s="316"/>
      <c r="T251" s="316" t="s">
        <v>281</v>
      </c>
      <c r="U251" s="316"/>
      <c r="V251" s="317"/>
      <c r="W251" s="317"/>
      <c r="X251" s="317"/>
      <c r="Y251" s="324" t="s">
        <v>418</v>
      </c>
      <c r="Z251" s="322">
        <f>400000-400000</f>
        <v>0</v>
      </c>
      <c r="AA251" s="319">
        <v>0</v>
      </c>
      <c r="AB251" s="177"/>
      <c r="AC251" s="177"/>
      <c r="AD251" s="279" t="s">
        <v>418</v>
      </c>
      <c r="AF251" s="274"/>
    </row>
    <row r="252" spans="1:32" ht="69" customHeight="1" x14ac:dyDescent="0.3">
      <c r="A252" s="301" t="s">
        <v>419</v>
      </c>
      <c r="B252" s="302" t="s">
        <v>12</v>
      </c>
      <c r="C252" s="302"/>
      <c r="D252" s="302"/>
      <c r="E252" s="302"/>
      <c r="F252" s="302"/>
      <c r="G252" s="302"/>
      <c r="H252" s="302"/>
      <c r="I252" s="302"/>
      <c r="J252" s="302"/>
      <c r="K252" s="302"/>
      <c r="L252" s="302"/>
      <c r="M252" s="302"/>
      <c r="N252" s="302"/>
      <c r="O252" s="302"/>
      <c r="P252" s="302"/>
      <c r="Q252" s="302"/>
      <c r="R252" s="302"/>
      <c r="S252" s="302"/>
      <c r="T252" s="302"/>
      <c r="U252" s="302"/>
      <c r="V252" s="303"/>
      <c r="W252" s="303"/>
      <c r="X252" s="303"/>
      <c r="Y252" s="301" t="s">
        <v>419</v>
      </c>
      <c r="Z252" s="325">
        <f>Z256+Z327+Z331</f>
        <v>29227144.379999999</v>
      </c>
      <c r="AA252" s="305">
        <f>AA256+AA327+AA331+AA272+AA297+AA283+AA322+AA267</f>
        <v>51024092.829999998</v>
      </c>
      <c r="AB252" s="178"/>
      <c r="AC252" s="178"/>
      <c r="AD252" s="273" t="s">
        <v>419</v>
      </c>
      <c r="AF252" s="274"/>
    </row>
    <row r="253" spans="1:32" ht="18.75" hidden="1" customHeight="1" x14ac:dyDescent="0.3">
      <c r="A253" s="301" t="s">
        <v>515</v>
      </c>
      <c r="B253" s="302" t="s">
        <v>12</v>
      </c>
      <c r="C253" s="302" t="s">
        <v>124</v>
      </c>
      <c r="D253" s="302" t="s">
        <v>124</v>
      </c>
      <c r="E253" s="302"/>
      <c r="F253" s="302"/>
      <c r="G253" s="302"/>
      <c r="H253" s="302"/>
      <c r="I253" s="302"/>
      <c r="J253" s="302"/>
      <c r="K253" s="302"/>
      <c r="L253" s="302"/>
      <c r="M253" s="302"/>
      <c r="N253" s="302"/>
      <c r="O253" s="302"/>
      <c r="P253" s="302"/>
      <c r="Q253" s="302"/>
      <c r="R253" s="302"/>
      <c r="S253" s="302"/>
      <c r="T253" s="302"/>
      <c r="U253" s="302"/>
      <c r="V253" s="303"/>
      <c r="W253" s="303"/>
      <c r="X253" s="303"/>
      <c r="Y253" s="301"/>
      <c r="Z253" s="325">
        <v>0</v>
      </c>
      <c r="AA253" s="377"/>
      <c r="AB253" s="178"/>
      <c r="AC253" s="178"/>
      <c r="AD253" s="273"/>
    </row>
    <row r="254" spans="1:32" ht="16.5" hidden="1" customHeight="1" x14ac:dyDescent="0.3">
      <c r="A254" s="301" t="s">
        <v>516</v>
      </c>
      <c r="B254" s="302" t="s">
        <v>12</v>
      </c>
      <c r="C254" s="302" t="s">
        <v>124</v>
      </c>
      <c r="D254" s="302" t="s">
        <v>124</v>
      </c>
      <c r="E254" s="302" t="s">
        <v>517</v>
      </c>
      <c r="F254" s="302"/>
      <c r="G254" s="302"/>
      <c r="H254" s="302"/>
      <c r="I254" s="302"/>
      <c r="J254" s="302"/>
      <c r="K254" s="302"/>
      <c r="L254" s="302"/>
      <c r="M254" s="302"/>
      <c r="N254" s="302"/>
      <c r="O254" s="302"/>
      <c r="P254" s="302"/>
      <c r="Q254" s="302"/>
      <c r="R254" s="302"/>
      <c r="S254" s="302"/>
      <c r="T254" s="302"/>
      <c r="U254" s="302"/>
      <c r="V254" s="303"/>
      <c r="W254" s="303"/>
      <c r="X254" s="303"/>
      <c r="Y254" s="301"/>
      <c r="Z254" s="325">
        <v>0</v>
      </c>
      <c r="AA254" s="377"/>
      <c r="AB254" s="178"/>
      <c r="AC254" s="178"/>
      <c r="AD254" s="273"/>
    </row>
    <row r="255" spans="1:32" ht="27" hidden="1" customHeight="1" x14ac:dyDescent="0.3">
      <c r="A255" s="301" t="s">
        <v>515</v>
      </c>
      <c r="B255" s="302" t="s">
        <v>12</v>
      </c>
      <c r="C255" s="302" t="s">
        <v>124</v>
      </c>
      <c r="D255" s="302" t="s">
        <v>124</v>
      </c>
      <c r="E255" s="302" t="s">
        <v>517</v>
      </c>
      <c r="F255" s="302"/>
      <c r="G255" s="302"/>
      <c r="H255" s="302"/>
      <c r="I255" s="302"/>
      <c r="J255" s="302"/>
      <c r="K255" s="302"/>
      <c r="L255" s="302"/>
      <c r="M255" s="302"/>
      <c r="N255" s="302"/>
      <c r="O255" s="302"/>
      <c r="P255" s="302"/>
      <c r="Q255" s="302"/>
      <c r="R255" s="302"/>
      <c r="S255" s="302"/>
      <c r="T255" s="302" t="s">
        <v>518</v>
      </c>
      <c r="U255" s="302"/>
      <c r="V255" s="303"/>
      <c r="W255" s="303"/>
      <c r="X255" s="303"/>
      <c r="Y255" s="301"/>
      <c r="Z255" s="325">
        <v>0</v>
      </c>
      <c r="AA255" s="377"/>
      <c r="AB255" s="178"/>
      <c r="AC255" s="178"/>
      <c r="AD255" s="273"/>
    </row>
    <row r="256" spans="1:32" ht="37.15" customHeight="1" x14ac:dyDescent="0.3">
      <c r="A256" s="301" t="s">
        <v>276</v>
      </c>
      <c r="B256" s="302" t="s">
        <v>12</v>
      </c>
      <c r="C256" s="302" t="s">
        <v>113</v>
      </c>
      <c r="D256" s="302" t="s">
        <v>124</v>
      </c>
      <c r="E256" s="302"/>
      <c r="F256" s="302"/>
      <c r="G256" s="302"/>
      <c r="H256" s="302"/>
      <c r="I256" s="302"/>
      <c r="J256" s="302"/>
      <c r="K256" s="302"/>
      <c r="L256" s="302"/>
      <c r="M256" s="302"/>
      <c r="N256" s="302"/>
      <c r="O256" s="302"/>
      <c r="P256" s="302"/>
      <c r="Q256" s="302"/>
      <c r="R256" s="302"/>
      <c r="S256" s="302"/>
      <c r="T256" s="302"/>
      <c r="U256" s="302"/>
      <c r="V256" s="303"/>
      <c r="W256" s="303"/>
      <c r="X256" s="303"/>
      <c r="Y256" s="301" t="s">
        <v>276</v>
      </c>
      <c r="Z256" s="325">
        <f>Z257+Z264</f>
        <v>11146860.609999999</v>
      </c>
      <c r="AA256" s="305">
        <f>AA257+AA264</f>
        <v>11605754.289999999</v>
      </c>
      <c r="AB256" s="178"/>
      <c r="AC256" s="178"/>
      <c r="AD256" s="273" t="s">
        <v>276</v>
      </c>
    </row>
    <row r="257" spans="1:32" ht="91.5" customHeight="1" x14ac:dyDescent="0.3">
      <c r="A257" s="301" t="s">
        <v>242</v>
      </c>
      <c r="B257" s="302" t="s">
        <v>12</v>
      </c>
      <c r="C257" s="302" t="s">
        <v>113</v>
      </c>
      <c r="D257" s="302" t="s">
        <v>116</v>
      </c>
      <c r="E257" s="302"/>
      <c r="F257" s="302"/>
      <c r="G257" s="302"/>
      <c r="H257" s="302"/>
      <c r="I257" s="302"/>
      <c r="J257" s="302"/>
      <c r="K257" s="302"/>
      <c r="L257" s="302"/>
      <c r="M257" s="302"/>
      <c r="N257" s="302"/>
      <c r="O257" s="302"/>
      <c r="P257" s="302"/>
      <c r="Q257" s="302"/>
      <c r="R257" s="302"/>
      <c r="S257" s="302"/>
      <c r="T257" s="302"/>
      <c r="U257" s="302"/>
      <c r="V257" s="303"/>
      <c r="W257" s="303"/>
      <c r="X257" s="303"/>
      <c r="Y257" s="301" t="s">
        <v>242</v>
      </c>
      <c r="Z257" s="325">
        <f>Z258+Z262</f>
        <v>11146860.609999999</v>
      </c>
      <c r="AA257" s="305">
        <f>AA258+AA262</f>
        <v>11072254.289999999</v>
      </c>
      <c r="AB257" s="178"/>
      <c r="AC257" s="178"/>
      <c r="AD257" s="273" t="s">
        <v>242</v>
      </c>
      <c r="AF257" s="274"/>
    </row>
    <row r="258" spans="1:32" ht="179.25" customHeight="1" x14ac:dyDescent="0.3">
      <c r="A258" s="311" t="s">
        <v>713</v>
      </c>
      <c r="B258" s="216" t="s">
        <v>12</v>
      </c>
      <c r="C258" s="216" t="s">
        <v>113</v>
      </c>
      <c r="D258" s="216" t="s">
        <v>116</v>
      </c>
      <c r="E258" s="216" t="s">
        <v>781</v>
      </c>
      <c r="F258" s="216"/>
      <c r="G258" s="216"/>
      <c r="H258" s="216"/>
      <c r="I258" s="216"/>
      <c r="J258" s="216"/>
      <c r="K258" s="216"/>
      <c r="L258" s="216"/>
      <c r="M258" s="216"/>
      <c r="N258" s="216"/>
      <c r="O258" s="216"/>
      <c r="P258" s="216"/>
      <c r="Q258" s="216"/>
      <c r="R258" s="216"/>
      <c r="S258" s="216"/>
      <c r="T258" s="216"/>
      <c r="U258" s="216"/>
      <c r="V258" s="312"/>
      <c r="W258" s="312"/>
      <c r="X258" s="312"/>
      <c r="Y258" s="311" t="s">
        <v>420</v>
      </c>
      <c r="Z258" s="313">
        <f>Z259+Z260+Z261</f>
        <v>10546860.609999999</v>
      </c>
      <c r="AA258" s="327">
        <f>AA259+AA260+AA261</f>
        <v>10462254.289999999</v>
      </c>
      <c r="AB258" s="276"/>
      <c r="AC258" s="276"/>
      <c r="AD258" s="277" t="s">
        <v>420</v>
      </c>
    </row>
    <row r="259" spans="1:32" ht="160.5" customHeight="1" x14ac:dyDescent="0.3">
      <c r="A259" s="324" t="s">
        <v>421</v>
      </c>
      <c r="B259" s="316" t="s">
        <v>12</v>
      </c>
      <c r="C259" s="316" t="s">
        <v>113</v>
      </c>
      <c r="D259" s="316" t="s">
        <v>116</v>
      </c>
      <c r="E259" s="216" t="s">
        <v>781</v>
      </c>
      <c r="F259" s="316"/>
      <c r="G259" s="316"/>
      <c r="H259" s="316"/>
      <c r="I259" s="316"/>
      <c r="J259" s="316"/>
      <c r="K259" s="316"/>
      <c r="L259" s="316"/>
      <c r="M259" s="316"/>
      <c r="N259" s="316"/>
      <c r="O259" s="316"/>
      <c r="P259" s="316"/>
      <c r="Q259" s="316"/>
      <c r="R259" s="316"/>
      <c r="S259" s="316"/>
      <c r="T259" s="316" t="s">
        <v>29</v>
      </c>
      <c r="U259" s="316"/>
      <c r="V259" s="317"/>
      <c r="W259" s="317"/>
      <c r="X259" s="317"/>
      <c r="Y259" s="324" t="s">
        <v>421</v>
      </c>
      <c r="Z259" s="322">
        <f>8073422.72+200000+538140.89+875697</f>
        <v>9687260.6099999994</v>
      </c>
      <c r="AA259" s="319">
        <v>9687260.6099999994</v>
      </c>
      <c r="AB259" s="177"/>
      <c r="AC259" s="177"/>
      <c r="AD259" s="279" t="s">
        <v>421</v>
      </c>
    </row>
    <row r="260" spans="1:32" ht="86.25" customHeight="1" x14ac:dyDescent="0.3">
      <c r="A260" s="324" t="s">
        <v>422</v>
      </c>
      <c r="B260" s="316" t="s">
        <v>12</v>
      </c>
      <c r="C260" s="316" t="s">
        <v>113</v>
      </c>
      <c r="D260" s="316" t="s">
        <v>116</v>
      </c>
      <c r="E260" s="216" t="s">
        <v>781</v>
      </c>
      <c r="F260" s="316"/>
      <c r="G260" s="316"/>
      <c r="H260" s="316"/>
      <c r="I260" s="316"/>
      <c r="J260" s="316"/>
      <c r="K260" s="316"/>
      <c r="L260" s="316"/>
      <c r="M260" s="316"/>
      <c r="N260" s="316"/>
      <c r="O260" s="316"/>
      <c r="P260" s="316"/>
      <c r="Q260" s="316"/>
      <c r="R260" s="316"/>
      <c r="S260" s="316"/>
      <c r="T260" s="316" t="s">
        <v>281</v>
      </c>
      <c r="U260" s="316"/>
      <c r="V260" s="317"/>
      <c r="W260" s="317"/>
      <c r="X260" s="317"/>
      <c r="Y260" s="324" t="s">
        <v>422</v>
      </c>
      <c r="Z260" s="322">
        <f>1067600-20000-200000</f>
        <v>847600</v>
      </c>
      <c r="AA260" s="319">
        <f>847600-84606.32</f>
        <v>762993.67999999993</v>
      </c>
      <c r="AB260" s="177"/>
      <c r="AC260" s="177"/>
      <c r="AD260" s="279" t="s">
        <v>422</v>
      </c>
    </row>
    <row r="261" spans="1:32" ht="57.75" customHeight="1" x14ac:dyDescent="0.3">
      <c r="A261" s="324" t="s">
        <v>423</v>
      </c>
      <c r="B261" s="316" t="s">
        <v>12</v>
      </c>
      <c r="C261" s="316" t="s">
        <v>113</v>
      </c>
      <c r="D261" s="316" t="s">
        <v>116</v>
      </c>
      <c r="E261" s="216" t="s">
        <v>781</v>
      </c>
      <c r="F261" s="316"/>
      <c r="G261" s="316"/>
      <c r="H261" s="316"/>
      <c r="I261" s="316"/>
      <c r="J261" s="316"/>
      <c r="K261" s="316"/>
      <c r="L261" s="316"/>
      <c r="M261" s="316"/>
      <c r="N261" s="316"/>
      <c r="O261" s="316"/>
      <c r="P261" s="316"/>
      <c r="Q261" s="316"/>
      <c r="R261" s="316"/>
      <c r="S261" s="316"/>
      <c r="T261" s="316" t="s">
        <v>235</v>
      </c>
      <c r="U261" s="316"/>
      <c r="V261" s="317"/>
      <c r="W261" s="317"/>
      <c r="X261" s="317"/>
      <c r="Y261" s="324" t="s">
        <v>423</v>
      </c>
      <c r="Z261" s="322">
        <v>12000</v>
      </c>
      <c r="AA261" s="319">
        <v>12000</v>
      </c>
      <c r="AB261" s="177"/>
      <c r="AC261" s="177"/>
      <c r="AD261" s="279" t="s">
        <v>423</v>
      </c>
    </row>
    <row r="262" spans="1:32" ht="234" customHeight="1" x14ac:dyDescent="0.3">
      <c r="A262" s="311" t="s">
        <v>714</v>
      </c>
      <c r="B262" s="216" t="s">
        <v>12</v>
      </c>
      <c r="C262" s="216" t="s">
        <v>113</v>
      </c>
      <c r="D262" s="216" t="s">
        <v>116</v>
      </c>
      <c r="E262" s="216" t="s">
        <v>715</v>
      </c>
      <c r="F262" s="216"/>
      <c r="G262" s="216"/>
      <c r="H262" s="216"/>
      <c r="I262" s="216"/>
      <c r="J262" s="216"/>
      <c r="K262" s="216"/>
      <c r="L262" s="216"/>
      <c r="M262" s="216"/>
      <c r="N262" s="216"/>
      <c r="O262" s="216"/>
      <c r="P262" s="216"/>
      <c r="Q262" s="216"/>
      <c r="R262" s="216"/>
      <c r="S262" s="216"/>
      <c r="T262" s="216"/>
      <c r="U262" s="216"/>
      <c r="V262" s="312"/>
      <c r="W262" s="312"/>
      <c r="X262" s="312"/>
      <c r="Y262" s="311" t="s">
        <v>424</v>
      </c>
      <c r="Z262" s="313">
        <f>Z263</f>
        <v>600000</v>
      </c>
      <c r="AA262" s="314">
        <f>AA263</f>
        <v>610000</v>
      </c>
      <c r="AB262" s="276"/>
      <c r="AC262" s="276"/>
      <c r="AD262" s="277" t="s">
        <v>424</v>
      </c>
    </row>
    <row r="263" spans="1:32" ht="212.25" customHeight="1" x14ac:dyDescent="0.3">
      <c r="A263" s="315" t="s">
        <v>425</v>
      </c>
      <c r="B263" s="316" t="s">
        <v>12</v>
      </c>
      <c r="C263" s="316" t="s">
        <v>113</v>
      </c>
      <c r="D263" s="316" t="s">
        <v>116</v>
      </c>
      <c r="E263" s="216" t="s">
        <v>715</v>
      </c>
      <c r="F263" s="316"/>
      <c r="G263" s="316"/>
      <c r="H263" s="316"/>
      <c r="I263" s="316"/>
      <c r="J263" s="316"/>
      <c r="K263" s="316"/>
      <c r="L263" s="316"/>
      <c r="M263" s="316"/>
      <c r="N263" s="316"/>
      <c r="O263" s="316"/>
      <c r="P263" s="316"/>
      <c r="Q263" s="316"/>
      <c r="R263" s="316"/>
      <c r="S263" s="316"/>
      <c r="T263" s="316" t="s">
        <v>29</v>
      </c>
      <c r="U263" s="316"/>
      <c r="V263" s="317"/>
      <c r="W263" s="317"/>
      <c r="X263" s="317"/>
      <c r="Y263" s="315" t="s">
        <v>425</v>
      </c>
      <c r="Z263" s="322">
        <f>495976+104024</f>
        <v>600000</v>
      </c>
      <c r="AA263" s="319">
        <f>600000+10000</f>
        <v>610000</v>
      </c>
      <c r="AB263" s="177"/>
      <c r="AC263" s="177"/>
      <c r="AD263" s="278" t="s">
        <v>425</v>
      </c>
    </row>
    <row r="264" spans="1:32" ht="34.5" customHeight="1" x14ac:dyDescent="0.3">
      <c r="A264" s="315" t="s">
        <v>132</v>
      </c>
      <c r="B264" s="316" t="s">
        <v>12</v>
      </c>
      <c r="C264" s="316" t="s">
        <v>113</v>
      </c>
      <c r="D264" s="316" t="s">
        <v>121</v>
      </c>
      <c r="E264" s="316"/>
      <c r="F264" s="316"/>
      <c r="G264" s="316"/>
      <c r="H264" s="316"/>
      <c r="I264" s="316"/>
      <c r="J264" s="316"/>
      <c r="K264" s="316"/>
      <c r="L264" s="316"/>
      <c r="M264" s="316"/>
      <c r="N264" s="316"/>
      <c r="O264" s="316"/>
      <c r="P264" s="316"/>
      <c r="Q264" s="316"/>
      <c r="R264" s="316"/>
      <c r="S264" s="316"/>
      <c r="T264" s="316"/>
      <c r="U264" s="316"/>
      <c r="V264" s="317"/>
      <c r="W264" s="317"/>
      <c r="X264" s="317"/>
      <c r="Y264" s="315"/>
      <c r="Z264" s="322">
        <f>Z265</f>
        <v>1.7462298274040222E-10</v>
      </c>
      <c r="AA264" s="319">
        <f>AA265</f>
        <v>533500</v>
      </c>
      <c r="AB264" s="177"/>
      <c r="AC264" s="177"/>
      <c r="AD264" s="278"/>
    </row>
    <row r="265" spans="1:32" ht="92.25" customHeight="1" x14ac:dyDescent="0.3">
      <c r="A265" s="315" t="s">
        <v>543</v>
      </c>
      <c r="B265" s="316" t="s">
        <v>12</v>
      </c>
      <c r="C265" s="316" t="s">
        <v>113</v>
      </c>
      <c r="D265" s="316" t="s">
        <v>121</v>
      </c>
      <c r="E265" s="216" t="s">
        <v>716</v>
      </c>
      <c r="F265" s="316"/>
      <c r="G265" s="316"/>
      <c r="H265" s="316"/>
      <c r="I265" s="316"/>
      <c r="J265" s="316"/>
      <c r="K265" s="316"/>
      <c r="L265" s="316"/>
      <c r="M265" s="316"/>
      <c r="N265" s="316"/>
      <c r="O265" s="316"/>
      <c r="P265" s="316"/>
      <c r="Q265" s="316"/>
      <c r="R265" s="316"/>
      <c r="S265" s="316"/>
      <c r="T265" s="316"/>
      <c r="U265" s="316"/>
      <c r="V265" s="317"/>
      <c r="W265" s="317"/>
      <c r="X265" s="317"/>
      <c r="Y265" s="315"/>
      <c r="Z265" s="322">
        <f>Z266</f>
        <v>1.7462298274040222E-10</v>
      </c>
      <c r="AA265" s="319">
        <f>AA266</f>
        <v>533500</v>
      </c>
      <c r="AB265" s="177"/>
      <c r="AC265" s="177"/>
      <c r="AD265" s="278"/>
    </row>
    <row r="266" spans="1:32" ht="44.25" customHeight="1" x14ac:dyDescent="0.3">
      <c r="A266" s="451" t="s">
        <v>544</v>
      </c>
      <c r="B266" s="328" t="s">
        <v>12</v>
      </c>
      <c r="C266" s="328" t="s">
        <v>113</v>
      </c>
      <c r="D266" s="328" t="s">
        <v>121</v>
      </c>
      <c r="E266" s="296" t="s">
        <v>716</v>
      </c>
      <c r="F266" s="328"/>
      <c r="G266" s="328"/>
      <c r="H266" s="328"/>
      <c r="I266" s="328"/>
      <c r="J266" s="328"/>
      <c r="K266" s="328"/>
      <c r="L266" s="328"/>
      <c r="M266" s="328"/>
      <c r="N266" s="328"/>
      <c r="O266" s="328"/>
      <c r="P266" s="328"/>
      <c r="Q266" s="328"/>
      <c r="R266" s="328"/>
      <c r="S266" s="328"/>
      <c r="T266" s="328" t="s">
        <v>235</v>
      </c>
      <c r="U266" s="328"/>
      <c r="V266" s="329"/>
      <c r="W266" s="329"/>
      <c r="X266" s="329"/>
      <c r="Y266" s="451"/>
      <c r="Z266" s="330">
        <f>3062365.6-450000-637500-213936-571798.15-773529.02-299994-115608.43</f>
        <v>1.7462298274040222E-10</v>
      </c>
      <c r="AA266" s="393">
        <v>533500</v>
      </c>
      <c r="AB266" s="177"/>
      <c r="AC266" s="177"/>
      <c r="AD266" s="278"/>
    </row>
    <row r="267" spans="1:32" ht="96.75" customHeight="1" x14ac:dyDescent="0.3">
      <c r="A267" s="333" t="s">
        <v>241</v>
      </c>
      <c r="B267" s="316" t="s">
        <v>12</v>
      </c>
      <c r="C267" s="316" t="s">
        <v>113</v>
      </c>
      <c r="D267" s="316" t="s">
        <v>127</v>
      </c>
      <c r="E267" s="216"/>
      <c r="F267" s="316"/>
      <c r="G267" s="316"/>
      <c r="H267" s="316"/>
      <c r="I267" s="316"/>
      <c r="J267" s="316"/>
      <c r="K267" s="316"/>
      <c r="L267" s="316"/>
      <c r="M267" s="316"/>
      <c r="N267" s="316"/>
      <c r="O267" s="316"/>
      <c r="P267" s="316"/>
      <c r="Q267" s="316"/>
      <c r="R267" s="316"/>
      <c r="S267" s="316"/>
      <c r="T267" s="316"/>
      <c r="U267" s="316"/>
      <c r="V267" s="317"/>
      <c r="W267" s="317"/>
      <c r="X267" s="317"/>
      <c r="Y267" s="315"/>
      <c r="Z267" s="322"/>
      <c r="AA267" s="332">
        <f>AA268</f>
        <v>100000</v>
      </c>
      <c r="AB267" s="177"/>
      <c r="AC267" s="177"/>
      <c r="AD267" s="278"/>
    </row>
    <row r="268" spans="1:32" ht="219" customHeight="1" x14ac:dyDescent="0.3">
      <c r="A268" s="383" t="s">
        <v>1159</v>
      </c>
      <c r="B268" s="316" t="s">
        <v>12</v>
      </c>
      <c r="C268" s="316" t="s">
        <v>113</v>
      </c>
      <c r="D268" s="316" t="s">
        <v>127</v>
      </c>
      <c r="E268" s="216"/>
      <c r="F268" s="316"/>
      <c r="G268" s="316"/>
      <c r="H268" s="316"/>
      <c r="I268" s="316"/>
      <c r="J268" s="316"/>
      <c r="K268" s="316"/>
      <c r="L268" s="316"/>
      <c r="M268" s="316"/>
      <c r="N268" s="316"/>
      <c r="O268" s="316"/>
      <c r="P268" s="316"/>
      <c r="Q268" s="316"/>
      <c r="R268" s="316"/>
      <c r="S268" s="316"/>
      <c r="T268" s="316"/>
      <c r="U268" s="316"/>
      <c r="V268" s="317"/>
      <c r="W268" s="317"/>
      <c r="X268" s="317"/>
      <c r="Y268" s="315"/>
      <c r="Z268" s="322"/>
      <c r="AA268" s="332">
        <f>AA269</f>
        <v>100000</v>
      </c>
      <c r="AB268" s="177"/>
      <c r="AC268" s="177"/>
      <c r="AD268" s="278"/>
    </row>
    <row r="269" spans="1:32" ht="44.25" customHeight="1" x14ac:dyDescent="0.3">
      <c r="A269" s="311" t="s">
        <v>856</v>
      </c>
      <c r="B269" s="316" t="s">
        <v>12</v>
      </c>
      <c r="C269" s="316" t="s">
        <v>113</v>
      </c>
      <c r="D269" s="316" t="s">
        <v>127</v>
      </c>
      <c r="E269" s="216"/>
      <c r="F269" s="316"/>
      <c r="G269" s="316"/>
      <c r="H269" s="316"/>
      <c r="I269" s="316"/>
      <c r="J269" s="316"/>
      <c r="K269" s="316"/>
      <c r="L269" s="316"/>
      <c r="M269" s="316"/>
      <c r="N269" s="316"/>
      <c r="O269" s="316"/>
      <c r="P269" s="316"/>
      <c r="Q269" s="316"/>
      <c r="R269" s="316"/>
      <c r="S269" s="316"/>
      <c r="T269" s="316"/>
      <c r="U269" s="316"/>
      <c r="V269" s="317"/>
      <c r="W269" s="317"/>
      <c r="X269" s="317"/>
      <c r="Y269" s="315"/>
      <c r="Z269" s="322"/>
      <c r="AA269" s="332">
        <f>AA271</f>
        <v>100000</v>
      </c>
      <c r="AB269" s="177"/>
      <c r="AC269" s="177"/>
      <c r="AD269" s="278"/>
    </row>
    <row r="270" spans="1:32" ht="44.25" customHeight="1" x14ac:dyDescent="0.3">
      <c r="A270" s="311" t="s">
        <v>100</v>
      </c>
      <c r="B270" s="316"/>
      <c r="C270" s="316"/>
      <c r="D270" s="316"/>
      <c r="E270" s="216"/>
      <c r="F270" s="316"/>
      <c r="G270" s="316"/>
      <c r="H270" s="316"/>
      <c r="I270" s="316"/>
      <c r="J270" s="316"/>
      <c r="K270" s="316"/>
      <c r="L270" s="316"/>
      <c r="M270" s="316"/>
      <c r="N270" s="316"/>
      <c r="O270" s="316"/>
      <c r="P270" s="316"/>
      <c r="Q270" s="316"/>
      <c r="R270" s="316"/>
      <c r="S270" s="316"/>
      <c r="T270" s="316"/>
      <c r="U270" s="316"/>
      <c r="V270" s="317"/>
      <c r="W270" s="317"/>
      <c r="X270" s="317"/>
      <c r="Y270" s="315"/>
      <c r="Z270" s="322"/>
      <c r="AA270" s="332"/>
      <c r="AB270" s="177"/>
      <c r="AC270" s="177"/>
      <c r="AD270" s="278"/>
    </row>
    <row r="271" spans="1:32" ht="44.25" customHeight="1" x14ac:dyDescent="0.3">
      <c r="A271" s="311" t="s">
        <v>942</v>
      </c>
      <c r="B271" s="316" t="s">
        <v>12</v>
      </c>
      <c r="C271" s="316" t="s">
        <v>113</v>
      </c>
      <c r="D271" s="316" t="s">
        <v>127</v>
      </c>
      <c r="E271" s="216" t="s">
        <v>976</v>
      </c>
      <c r="F271" s="316"/>
      <c r="G271" s="316"/>
      <c r="H271" s="316"/>
      <c r="I271" s="316"/>
      <c r="J271" s="316"/>
      <c r="K271" s="316"/>
      <c r="L271" s="316"/>
      <c r="M271" s="316"/>
      <c r="N271" s="316"/>
      <c r="O271" s="316"/>
      <c r="P271" s="316"/>
      <c r="Q271" s="316"/>
      <c r="R271" s="316"/>
      <c r="S271" s="316"/>
      <c r="T271" s="316" t="s">
        <v>433</v>
      </c>
      <c r="U271" s="316"/>
      <c r="V271" s="317"/>
      <c r="W271" s="317"/>
      <c r="X271" s="317"/>
      <c r="Y271" s="315"/>
      <c r="Z271" s="322"/>
      <c r="AA271" s="332">
        <v>100000</v>
      </c>
      <c r="AB271" s="177"/>
      <c r="AC271" s="177"/>
      <c r="AD271" s="278"/>
    </row>
    <row r="272" spans="1:32" ht="44.25" customHeight="1" x14ac:dyDescent="0.3">
      <c r="A272" s="301" t="s">
        <v>532</v>
      </c>
      <c r="B272" s="316" t="s">
        <v>12</v>
      </c>
      <c r="C272" s="316" t="s">
        <v>127</v>
      </c>
      <c r="D272" s="316" t="s">
        <v>118</v>
      </c>
      <c r="E272" s="216"/>
      <c r="F272" s="316"/>
      <c r="G272" s="316"/>
      <c r="H272" s="316"/>
      <c r="I272" s="316"/>
      <c r="J272" s="316"/>
      <c r="K272" s="316"/>
      <c r="L272" s="316"/>
      <c r="M272" s="316"/>
      <c r="N272" s="316"/>
      <c r="O272" s="316"/>
      <c r="P272" s="316"/>
      <c r="Q272" s="316"/>
      <c r="R272" s="316"/>
      <c r="S272" s="316"/>
      <c r="T272" s="316"/>
      <c r="U272" s="316"/>
      <c r="V272" s="317"/>
      <c r="W272" s="317"/>
      <c r="X272" s="317"/>
      <c r="Y272" s="324"/>
      <c r="Z272" s="322"/>
      <c r="AA272" s="332">
        <f>AA278+AA274</f>
        <v>16839646</v>
      </c>
      <c r="AB272" s="177"/>
      <c r="AC272" s="177"/>
      <c r="AD272" s="278"/>
    </row>
    <row r="273" spans="1:30" ht="99" customHeight="1" x14ac:dyDescent="0.3">
      <c r="A273" s="380" t="s">
        <v>944</v>
      </c>
      <c r="B273" s="316" t="s">
        <v>12</v>
      </c>
      <c r="C273" s="316" t="s">
        <v>127</v>
      </c>
      <c r="D273" s="316" t="s">
        <v>118</v>
      </c>
      <c r="E273" s="216"/>
      <c r="F273" s="316"/>
      <c r="G273" s="316"/>
      <c r="H273" s="316"/>
      <c r="I273" s="316"/>
      <c r="J273" s="316"/>
      <c r="K273" s="316"/>
      <c r="L273" s="316"/>
      <c r="M273" s="316"/>
      <c r="N273" s="316"/>
      <c r="O273" s="316"/>
      <c r="P273" s="316"/>
      <c r="Q273" s="316"/>
      <c r="R273" s="316"/>
      <c r="S273" s="316"/>
      <c r="T273" s="316"/>
      <c r="U273" s="316"/>
      <c r="V273" s="317"/>
      <c r="W273" s="317"/>
      <c r="X273" s="317"/>
      <c r="Y273" s="324"/>
      <c r="Z273" s="322"/>
      <c r="AA273" s="332"/>
      <c r="AB273" s="177"/>
      <c r="AC273" s="177"/>
      <c r="AD273" s="278"/>
    </row>
    <row r="274" spans="1:30" ht="34.5" customHeight="1" x14ac:dyDescent="0.3">
      <c r="A274" s="311" t="s">
        <v>856</v>
      </c>
      <c r="B274" s="316" t="s">
        <v>12</v>
      </c>
      <c r="C274" s="316" t="s">
        <v>127</v>
      </c>
      <c r="D274" s="316" t="s">
        <v>118</v>
      </c>
      <c r="E274" s="216" t="s">
        <v>920</v>
      </c>
      <c r="F274" s="316"/>
      <c r="G274" s="316"/>
      <c r="H274" s="316"/>
      <c r="I274" s="316"/>
      <c r="J274" s="316"/>
      <c r="K274" s="316"/>
      <c r="L274" s="316"/>
      <c r="M274" s="316"/>
      <c r="N274" s="316"/>
      <c r="O274" s="316"/>
      <c r="P274" s="316"/>
      <c r="Q274" s="316"/>
      <c r="R274" s="316"/>
      <c r="S274" s="316"/>
      <c r="T274" s="316" t="s">
        <v>433</v>
      </c>
      <c r="U274" s="316"/>
      <c r="V274" s="317"/>
      <c r="W274" s="317"/>
      <c r="X274" s="317"/>
      <c r="Y274" s="324"/>
      <c r="Z274" s="322"/>
      <c r="AA274" s="332">
        <f>AA276</f>
        <v>11787484</v>
      </c>
      <c r="AB274" s="177"/>
      <c r="AC274" s="177"/>
      <c r="AD274" s="278"/>
    </row>
    <row r="275" spans="1:30" ht="32.25" customHeight="1" x14ac:dyDescent="0.3">
      <c r="A275" s="311" t="s">
        <v>100</v>
      </c>
      <c r="B275" s="316"/>
      <c r="C275" s="316"/>
      <c r="D275" s="316"/>
      <c r="E275" s="216"/>
      <c r="F275" s="316"/>
      <c r="G275" s="316"/>
      <c r="H275" s="316"/>
      <c r="I275" s="316"/>
      <c r="J275" s="316"/>
      <c r="K275" s="316"/>
      <c r="L275" s="316"/>
      <c r="M275" s="316"/>
      <c r="N275" s="316"/>
      <c r="O275" s="316"/>
      <c r="P275" s="316"/>
      <c r="Q275" s="316"/>
      <c r="R275" s="316"/>
      <c r="S275" s="316"/>
      <c r="T275" s="316"/>
      <c r="U275" s="316"/>
      <c r="V275" s="317"/>
      <c r="W275" s="317"/>
      <c r="X275" s="317"/>
      <c r="Y275" s="324"/>
      <c r="Z275" s="322"/>
      <c r="AA275" s="332"/>
      <c r="AB275" s="177"/>
      <c r="AC275" s="177"/>
      <c r="AD275" s="278"/>
    </row>
    <row r="276" spans="1:30" ht="30" customHeight="1" x14ac:dyDescent="0.3">
      <c r="A276" s="311" t="s">
        <v>857</v>
      </c>
      <c r="B276" s="316" t="s">
        <v>12</v>
      </c>
      <c r="C276" s="316" t="s">
        <v>127</v>
      </c>
      <c r="D276" s="316" t="s">
        <v>118</v>
      </c>
      <c r="E276" s="216" t="s">
        <v>920</v>
      </c>
      <c r="F276" s="316"/>
      <c r="G276" s="316"/>
      <c r="H276" s="316"/>
      <c r="I276" s="316"/>
      <c r="J276" s="316"/>
      <c r="K276" s="316"/>
      <c r="L276" s="316"/>
      <c r="M276" s="316"/>
      <c r="N276" s="316"/>
      <c r="O276" s="316"/>
      <c r="P276" s="316"/>
      <c r="Q276" s="316"/>
      <c r="R276" s="316"/>
      <c r="S276" s="316"/>
      <c r="T276" s="316" t="s">
        <v>433</v>
      </c>
      <c r="U276" s="316"/>
      <c r="V276" s="317"/>
      <c r="W276" s="317"/>
      <c r="X276" s="317"/>
      <c r="Y276" s="324"/>
      <c r="Z276" s="322"/>
      <c r="AA276" s="332">
        <v>11787484</v>
      </c>
      <c r="AB276" s="177"/>
      <c r="AC276" s="177"/>
      <c r="AD276" s="278"/>
    </row>
    <row r="277" spans="1:30" ht="180" customHeight="1" x14ac:dyDescent="0.3">
      <c r="A277" s="311" t="s">
        <v>645</v>
      </c>
      <c r="B277" s="316" t="s">
        <v>12</v>
      </c>
      <c r="C277" s="316" t="s">
        <v>127</v>
      </c>
      <c r="D277" s="316" t="s">
        <v>118</v>
      </c>
      <c r="E277" s="216"/>
      <c r="F277" s="316"/>
      <c r="G277" s="316"/>
      <c r="H277" s="316"/>
      <c r="I277" s="316"/>
      <c r="J277" s="316"/>
      <c r="K277" s="316"/>
      <c r="L277" s="316"/>
      <c r="M277" s="316"/>
      <c r="N277" s="316"/>
      <c r="O277" s="316"/>
      <c r="P277" s="316"/>
      <c r="Q277" s="316"/>
      <c r="R277" s="316"/>
      <c r="S277" s="316"/>
      <c r="T277" s="316"/>
      <c r="U277" s="316"/>
      <c r="V277" s="317"/>
      <c r="W277" s="317"/>
      <c r="X277" s="317"/>
      <c r="Y277" s="324"/>
      <c r="Z277" s="322"/>
      <c r="AA277" s="332"/>
      <c r="AB277" s="177"/>
      <c r="AC277" s="177"/>
      <c r="AD277" s="278"/>
    </row>
    <row r="278" spans="1:30" ht="37.5" customHeight="1" x14ac:dyDescent="0.3">
      <c r="A278" s="311" t="s">
        <v>856</v>
      </c>
      <c r="B278" s="316" t="s">
        <v>12</v>
      </c>
      <c r="C278" s="316" t="s">
        <v>127</v>
      </c>
      <c r="D278" s="316" t="s">
        <v>118</v>
      </c>
      <c r="E278" s="216" t="s">
        <v>646</v>
      </c>
      <c r="F278" s="316"/>
      <c r="G278" s="316"/>
      <c r="H278" s="316"/>
      <c r="I278" s="316"/>
      <c r="J278" s="316"/>
      <c r="K278" s="316"/>
      <c r="L278" s="316"/>
      <c r="M278" s="316"/>
      <c r="N278" s="316"/>
      <c r="O278" s="316"/>
      <c r="P278" s="316"/>
      <c r="Q278" s="316"/>
      <c r="R278" s="316"/>
      <c r="S278" s="316"/>
      <c r="T278" s="316" t="s">
        <v>433</v>
      </c>
      <c r="U278" s="316"/>
      <c r="V278" s="317"/>
      <c r="W278" s="317"/>
      <c r="X278" s="317"/>
      <c r="Y278" s="324"/>
      <c r="Z278" s="322"/>
      <c r="AA278" s="332">
        <f>AA280+AA281+AA282</f>
        <v>5052162</v>
      </c>
      <c r="AB278" s="177"/>
      <c r="AC278" s="177"/>
      <c r="AD278" s="278"/>
    </row>
    <row r="279" spans="1:30" ht="32.25" customHeight="1" x14ac:dyDescent="0.3">
      <c r="A279" s="311" t="s">
        <v>100</v>
      </c>
      <c r="B279" s="316"/>
      <c r="C279" s="316"/>
      <c r="D279" s="316"/>
      <c r="E279" s="216"/>
      <c r="F279" s="316"/>
      <c r="G279" s="316"/>
      <c r="H279" s="316"/>
      <c r="I279" s="316"/>
      <c r="J279" s="316"/>
      <c r="K279" s="316"/>
      <c r="L279" s="316"/>
      <c r="M279" s="316"/>
      <c r="N279" s="316"/>
      <c r="O279" s="316"/>
      <c r="P279" s="316"/>
      <c r="Q279" s="316"/>
      <c r="R279" s="316"/>
      <c r="S279" s="316"/>
      <c r="T279" s="316"/>
      <c r="U279" s="316"/>
      <c r="V279" s="317"/>
      <c r="W279" s="317"/>
      <c r="X279" s="317"/>
      <c r="Y279" s="324"/>
      <c r="Z279" s="322"/>
      <c r="AA279" s="332"/>
      <c r="AB279" s="177"/>
      <c r="AC279" s="177"/>
      <c r="AD279" s="278"/>
    </row>
    <row r="280" spans="1:30" ht="37.5" customHeight="1" x14ac:dyDescent="0.3">
      <c r="A280" s="311" t="s">
        <v>857</v>
      </c>
      <c r="B280" s="316" t="s">
        <v>12</v>
      </c>
      <c r="C280" s="316" t="s">
        <v>127</v>
      </c>
      <c r="D280" s="316" t="s">
        <v>118</v>
      </c>
      <c r="E280" s="216" t="s">
        <v>646</v>
      </c>
      <c r="F280" s="316"/>
      <c r="G280" s="316"/>
      <c r="H280" s="316"/>
      <c r="I280" s="316"/>
      <c r="J280" s="316"/>
      <c r="K280" s="316"/>
      <c r="L280" s="316"/>
      <c r="M280" s="316"/>
      <c r="N280" s="316"/>
      <c r="O280" s="316"/>
      <c r="P280" s="316"/>
      <c r="Q280" s="316"/>
      <c r="R280" s="316"/>
      <c r="S280" s="316"/>
      <c r="T280" s="316" t="s">
        <v>433</v>
      </c>
      <c r="U280" s="316"/>
      <c r="V280" s="317"/>
      <c r="W280" s="317"/>
      <c r="X280" s="317"/>
      <c r="Y280" s="324"/>
      <c r="Z280" s="322"/>
      <c r="AA280" s="332">
        <f>2000000+2252162+300000</f>
        <v>4552162</v>
      </c>
      <c r="AB280" s="177"/>
      <c r="AC280" s="177"/>
      <c r="AD280" s="278"/>
    </row>
    <row r="281" spans="1:30" ht="37.5" customHeight="1" x14ac:dyDescent="0.3">
      <c r="A281" s="441" t="s">
        <v>935</v>
      </c>
      <c r="B281" s="328" t="s">
        <v>12</v>
      </c>
      <c r="C281" s="328" t="s">
        <v>127</v>
      </c>
      <c r="D281" s="328" t="s">
        <v>118</v>
      </c>
      <c r="E281" s="296" t="s">
        <v>646</v>
      </c>
      <c r="F281" s="328"/>
      <c r="G281" s="328"/>
      <c r="H281" s="328"/>
      <c r="I281" s="328"/>
      <c r="J281" s="328"/>
      <c r="K281" s="328"/>
      <c r="L281" s="328"/>
      <c r="M281" s="328"/>
      <c r="N281" s="328"/>
      <c r="O281" s="328"/>
      <c r="P281" s="328"/>
      <c r="Q281" s="328"/>
      <c r="R281" s="328"/>
      <c r="S281" s="328"/>
      <c r="T281" s="328" t="s">
        <v>433</v>
      </c>
      <c r="U281" s="328"/>
      <c r="V281" s="329"/>
      <c r="W281" s="329"/>
      <c r="X281" s="329"/>
      <c r="Y281" s="355"/>
      <c r="Z281" s="330"/>
      <c r="AA281" s="381">
        <f>200000+100000</f>
        <v>300000</v>
      </c>
      <c r="AB281" s="177"/>
      <c r="AC281" s="177"/>
      <c r="AD281" s="278"/>
    </row>
    <row r="282" spans="1:30" ht="37.5" customHeight="1" x14ac:dyDescent="0.3">
      <c r="A282" s="354" t="s">
        <v>940</v>
      </c>
      <c r="B282" s="316" t="s">
        <v>12</v>
      </c>
      <c r="C282" s="316" t="s">
        <v>127</v>
      </c>
      <c r="D282" s="316" t="s">
        <v>118</v>
      </c>
      <c r="E282" s="216" t="s">
        <v>646</v>
      </c>
      <c r="F282" s="316"/>
      <c r="G282" s="316"/>
      <c r="H282" s="316"/>
      <c r="I282" s="316"/>
      <c r="J282" s="316"/>
      <c r="K282" s="316"/>
      <c r="L282" s="316"/>
      <c r="M282" s="316"/>
      <c r="N282" s="316"/>
      <c r="O282" s="316"/>
      <c r="P282" s="316"/>
      <c r="Q282" s="316"/>
      <c r="R282" s="316"/>
      <c r="S282" s="316"/>
      <c r="T282" s="316" t="s">
        <v>433</v>
      </c>
      <c r="U282" s="316"/>
      <c r="V282" s="317"/>
      <c r="W282" s="317"/>
      <c r="X282" s="317"/>
      <c r="Y282" s="324"/>
      <c r="Z282" s="322"/>
      <c r="AA282" s="332">
        <v>200000</v>
      </c>
      <c r="AB282" s="177"/>
      <c r="AC282" s="177"/>
      <c r="AD282" s="278"/>
    </row>
    <row r="283" spans="1:30" ht="37.5" customHeight="1" x14ac:dyDescent="0.3">
      <c r="A283" s="349" t="s">
        <v>142</v>
      </c>
      <c r="B283" s="316" t="s">
        <v>12</v>
      </c>
      <c r="C283" s="316" t="s">
        <v>115</v>
      </c>
      <c r="D283" s="316" t="s">
        <v>123</v>
      </c>
      <c r="E283" s="216"/>
      <c r="F283" s="316"/>
      <c r="G283" s="316"/>
      <c r="H283" s="316"/>
      <c r="I283" s="316"/>
      <c r="J283" s="316"/>
      <c r="K283" s="316"/>
      <c r="L283" s="316"/>
      <c r="M283" s="316"/>
      <c r="N283" s="316"/>
      <c r="O283" s="316"/>
      <c r="P283" s="316"/>
      <c r="Q283" s="316"/>
      <c r="R283" s="316"/>
      <c r="S283" s="316"/>
      <c r="T283" s="316"/>
      <c r="U283" s="316"/>
      <c r="V283" s="317"/>
      <c r="W283" s="317"/>
      <c r="X283" s="317"/>
      <c r="Y283" s="324"/>
      <c r="Z283" s="322"/>
      <c r="AA283" s="332">
        <f>AA284+AA292</f>
        <v>3017767.3</v>
      </c>
      <c r="AB283" s="177"/>
      <c r="AC283" s="177"/>
      <c r="AD283" s="278"/>
    </row>
    <row r="284" spans="1:30" ht="219" customHeight="1" x14ac:dyDescent="0.3">
      <c r="A284" s="324" t="s">
        <v>832</v>
      </c>
      <c r="B284" s="316" t="s">
        <v>12</v>
      </c>
      <c r="C284" s="316" t="s">
        <v>115</v>
      </c>
      <c r="D284" s="316" t="s">
        <v>123</v>
      </c>
      <c r="E284" s="216" t="s">
        <v>833</v>
      </c>
      <c r="F284" s="316"/>
      <c r="G284" s="316"/>
      <c r="H284" s="316"/>
      <c r="I284" s="316"/>
      <c r="J284" s="316"/>
      <c r="K284" s="316"/>
      <c r="L284" s="316"/>
      <c r="M284" s="316"/>
      <c r="N284" s="316"/>
      <c r="O284" s="316"/>
      <c r="P284" s="316"/>
      <c r="Q284" s="316"/>
      <c r="R284" s="316"/>
      <c r="S284" s="316"/>
      <c r="T284" s="316"/>
      <c r="U284" s="316"/>
      <c r="V284" s="317"/>
      <c r="W284" s="317"/>
      <c r="X284" s="317"/>
      <c r="Y284" s="324"/>
      <c r="Z284" s="322"/>
      <c r="AA284" s="332">
        <f>AA285</f>
        <v>2277767.2999999998</v>
      </c>
      <c r="AB284" s="177"/>
      <c r="AC284" s="177"/>
      <c r="AD284" s="278"/>
    </row>
    <row r="285" spans="1:30" ht="37.5" customHeight="1" x14ac:dyDescent="0.3">
      <c r="A285" s="311" t="s">
        <v>856</v>
      </c>
      <c r="B285" s="316" t="s">
        <v>12</v>
      </c>
      <c r="C285" s="316" t="s">
        <v>115</v>
      </c>
      <c r="D285" s="316" t="s">
        <v>123</v>
      </c>
      <c r="E285" s="216" t="s">
        <v>833</v>
      </c>
      <c r="F285" s="316"/>
      <c r="G285" s="316"/>
      <c r="H285" s="316"/>
      <c r="I285" s="316"/>
      <c r="J285" s="316"/>
      <c r="K285" s="316"/>
      <c r="L285" s="316"/>
      <c r="M285" s="316"/>
      <c r="N285" s="316"/>
      <c r="O285" s="316"/>
      <c r="P285" s="316"/>
      <c r="Q285" s="316"/>
      <c r="R285" s="316"/>
      <c r="S285" s="316"/>
      <c r="T285" s="316" t="s">
        <v>433</v>
      </c>
      <c r="U285" s="316"/>
      <c r="V285" s="317"/>
      <c r="W285" s="317"/>
      <c r="X285" s="317"/>
      <c r="Y285" s="324"/>
      <c r="Z285" s="322"/>
      <c r="AA285" s="332">
        <f>AA287+AA288+AA289+AA290+AA291</f>
        <v>2277767.2999999998</v>
      </c>
      <c r="AB285" s="177"/>
      <c r="AC285" s="177"/>
      <c r="AD285" s="278"/>
    </row>
    <row r="286" spans="1:30" ht="37.5" customHeight="1" x14ac:dyDescent="0.3">
      <c r="A286" s="311" t="s">
        <v>100</v>
      </c>
      <c r="B286" s="316"/>
      <c r="C286" s="316"/>
      <c r="D286" s="316"/>
      <c r="E286" s="216"/>
      <c r="F286" s="316"/>
      <c r="G286" s="316"/>
      <c r="H286" s="316"/>
      <c r="I286" s="316"/>
      <c r="J286" s="316"/>
      <c r="K286" s="316"/>
      <c r="L286" s="316"/>
      <c r="M286" s="316"/>
      <c r="N286" s="316"/>
      <c r="O286" s="316"/>
      <c r="P286" s="316"/>
      <c r="Q286" s="316"/>
      <c r="R286" s="316"/>
      <c r="S286" s="316"/>
      <c r="T286" s="316"/>
      <c r="U286" s="316"/>
      <c r="V286" s="317"/>
      <c r="W286" s="317"/>
      <c r="X286" s="317"/>
      <c r="Y286" s="324"/>
      <c r="Z286" s="322"/>
      <c r="AA286" s="332"/>
      <c r="AB286" s="177"/>
      <c r="AC286" s="177"/>
      <c r="AD286" s="278"/>
    </row>
    <row r="287" spans="1:30" ht="37.5" customHeight="1" x14ac:dyDescent="0.3">
      <c r="A287" s="311" t="s">
        <v>936</v>
      </c>
      <c r="B287" s="316" t="s">
        <v>12</v>
      </c>
      <c r="C287" s="316" t="s">
        <v>115</v>
      </c>
      <c r="D287" s="316" t="s">
        <v>123</v>
      </c>
      <c r="E287" s="216" t="s">
        <v>833</v>
      </c>
      <c r="F287" s="316"/>
      <c r="G287" s="316"/>
      <c r="H287" s="316"/>
      <c r="I287" s="316"/>
      <c r="J287" s="316"/>
      <c r="K287" s="316"/>
      <c r="L287" s="316"/>
      <c r="M287" s="316"/>
      <c r="N287" s="316"/>
      <c r="O287" s="316"/>
      <c r="P287" s="316"/>
      <c r="Q287" s="316"/>
      <c r="R287" s="316"/>
      <c r="S287" s="316"/>
      <c r="T287" s="316" t="s">
        <v>433</v>
      </c>
      <c r="U287" s="316"/>
      <c r="V287" s="317"/>
      <c r="W287" s="317"/>
      <c r="X287" s="317"/>
      <c r="Y287" s="324"/>
      <c r="Z287" s="322"/>
      <c r="AA287" s="332">
        <v>384000</v>
      </c>
      <c r="AB287" s="177"/>
      <c r="AC287" s="177"/>
      <c r="AD287" s="278"/>
    </row>
    <row r="288" spans="1:30" ht="37.5" customHeight="1" x14ac:dyDescent="0.3">
      <c r="A288" s="311" t="s">
        <v>941</v>
      </c>
      <c r="B288" s="316" t="s">
        <v>12</v>
      </c>
      <c r="C288" s="316" t="s">
        <v>115</v>
      </c>
      <c r="D288" s="316" t="s">
        <v>123</v>
      </c>
      <c r="E288" s="216" t="s">
        <v>833</v>
      </c>
      <c r="F288" s="316"/>
      <c r="G288" s="316"/>
      <c r="H288" s="316"/>
      <c r="I288" s="316"/>
      <c r="J288" s="316"/>
      <c r="K288" s="316"/>
      <c r="L288" s="316"/>
      <c r="M288" s="316"/>
      <c r="N288" s="316"/>
      <c r="O288" s="316"/>
      <c r="P288" s="316"/>
      <c r="Q288" s="316"/>
      <c r="R288" s="316"/>
      <c r="S288" s="316"/>
      <c r="T288" s="316" t="s">
        <v>433</v>
      </c>
      <c r="U288" s="316"/>
      <c r="V288" s="317"/>
      <c r="W288" s="317"/>
      <c r="X288" s="317"/>
      <c r="Y288" s="324"/>
      <c r="Z288" s="322"/>
      <c r="AA288" s="332">
        <v>540000</v>
      </c>
      <c r="AB288" s="177"/>
      <c r="AC288" s="177"/>
      <c r="AD288" s="278"/>
    </row>
    <row r="289" spans="1:30" ht="37.5" customHeight="1" x14ac:dyDescent="0.3">
      <c r="A289" s="311" t="s">
        <v>935</v>
      </c>
      <c r="B289" s="316" t="s">
        <v>12</v>
      </c>
      <c r="C289" s="316" t="s">
        <v>115</v>
      </c>
      <c r="D289" s="316" t="s">
        <v>123</v>
      </c>
      <c r="E289" s="216" t="s">
        <v>833</v>
      </c>
      <c r="F289" s="316"/>
      <c r="G289" s="316"/>
      <c r="H289" s="316"/>
      <c r="I289" s="316"/>
      <c r="J289" s="316"/>
      <c r="K289" s="316"/>
      <c r="L289" s="316"/>
      <c r="M289" s="316"/>
      <c r="N289" s="316"/>
      <c r="O289" s="316"/>
      <c r="P289" s="316"/>
      <c r="Q289" s="316"/>
      <c r="R289" s="316"/>
      <c r="S289" s="316"/>
      <c r="T289" s="316" t="s">
        <v>433</v>
      </c>
      <c r="U289" s="316"/>
      <c r="V289" s="317"/>
      <c r="W289" s="317"/>
      <c r="X289" s="317"/>
      <c r="Y289" s="324"/>
      <c r="Z289" s="322"/>
      <c r="AA289" s="332">
        <v>780000</v>
      </c>
      <c r="AB289" s="177"/>
      <c r="AC289" s="177"/>
      <c r="AD289" s="278"/>
    </row>
    <row r="290" spans="1:30" ht="37.5" customHeight="1" x14ac:dyDescent="0.3">
      <c r="A290" s="311" t="s">
        <v>972</v>
      </c>
      <c r="B290" s="316" t="s">
        <v>12</v>
      </c>
      <c r="C290" s="316" t="s">
        <v>115</v>
      </c>
      <c r="D290" s="316" t="s">
        <v>123</v>
      </c>
      <c r="E290" s="216" t="s">
        <v>833</v>
      </c>
      <c r="F290" s="316"/>
      <c r="G290" s="316"/>
      <c r="H290" s="316"/>
      <c r="I290" s="316"/>
      <c r="J290" s="316"/>
      <c r="K290" s="316"/>
      <c r="L290" s="316"/>
      <c r="M290" s="316"/>
      <c r="N290" s="316"/>
      <c r="O290" s="316"/>
      <c r="P290" s="316"/>
      <c r="Q290" s="316"/>
      <c r="R290" s="316"/>
      <c r="S290" s="316"/>
      <c r="T290" s="316" t="s">
        <v>433</v>
      </c>
      <c r="U290" s="316"/>
      <c r="V290" s="317"/>
      <c r="W290" s="317"/>
      <c r="X290" s="317"/>
      <c r="Y290" s="324"/>
      <c r="Z290" s="322"/>
      <c r="AA290" s="332">
        <f>143767.3+190000</f>
        <v>333767.3</v>
      </c>
      <c r="AB290" s="177"/>
      <c r="AC290" s="177"/>
      <c r="AD290" s="278"/>
    </row>
    <row r="291" spans="1:30" ht="37.5" customHeight="1" x14ac:dyDescent="0.3">
      <c r="A291" s="311" t="s">
        <v>857</v>
      </c>
      <c r="B291" s="316" t="s">
        <v>12</v>
      </c>
      <c r="C291" s="316" t="s">
        <v>115</v>
      </c>
      <c r="D291" s="316" t="s">
        <v>123</v>
      </c>
      <c r="E291" s="216" t="s">
        <v>833</v>
      </c>
      <c r="F291" s="316"/>
      <c r="G291" s="316"/>
      <c r="H291" s="316"/>
      <c r="I291" s="316"/>
      <c r="J291" s="316"/>
      <c r="K291" s="316"/>
      <c r="L291" s="316"/>
      <c r="M291" s="316"/>
      <c r="N291" s="316"/>
      <c r="O291" s="316"/>
      <c r="P291" s="316"/>
      <c r="Q291" s="316"/>
      <c r="R291" s="316"/>
      <c r="S291" s="316"/>
      <c r="T291" s="316" t="s">
        <v>433</v>
      </c>
      <c r="U291" s="316"/>
      <c r="V291" s="317"/>
      <c r="W291" s="317"/>
      <c r="X291" s="317"/>
      <c r="Y291" s="324"/>
      <c r="Z291" s="322"/>
      <c r="AA291" s="332">
        <v>240000</v>
      </c>
      <c r="AB291" s="177"/>
      <c r="AC291" s="177"/>
      <c r="AD291" s="278"/>
    </row>
    <row r="292" spans="1:30" ht="201.75" customHeight="1" x14ac:dyDescent="0.3">
      <c r="A292" s="382" t="s">
        <v>973</v>
      </c>
      <c r="B292" s="316" t="s">
        <v>12</v>
      </c>
      <c r="C292" s="316" t="s">
        <v>115</v>
      </c>
      <c r="D292" s="316" t="s">
        <v>123</v>
      </c>
      <c r="E292" s="216" t="s">
        <v>974</v>
      </c>
      <c r="F292" s="328"/>
      <c r="G292" s="328"/>
      <c r="H292" s="328"/>
      <c r="I292" s="328"/>
      <c r="J292" s="328"/>
      <c r="K292" s="328"/>
      <c r="L292" s="328"/>
      <c r="M292" s="328"/>
      <c r="N292" s="328"/>
      <c r="O292" s="328"/>
      <c r="P292" s="328"/>
      <c r="Q292" s="328"/>
      <c r="R292" s="328"/>
      <c r="S292" s="328"/>
      <c r="T292" s="328"/>
      <c r="U292" s="328"/>
      <c r="V292" s="329"/>
      <c r="W292" s="329"/>
      <c r="X292" s="329"/>
      <c r="Y292" s="355"/>
      <c r="Z292" s="330"/>
      <c r="AA292" s="332">
        <f>AA293</f>
        <v>740000</v>
      </c>
      <c r="AB292" s="177"/>
      <c r="AC292" s="177"/>
      <c r="AD292" s="278"/>
    </row>
    <row r="293" spans="1:30" ht="37.5" customHeight="1" x14ac:dyDescent="0.3">
      <c r="A293" s="311" t="s">
        <v>856</v>
      </c>
      <c r="B293" s="316" t="s">
        <v>12</v>
      </c>
      <c r="C293" s="316" t="s">
        <v>115</v>
      </c>
      <c r="D293" s="316" t="s">
        <v>123</v>
      </c>
      <c r="E293" s="216" t="s">
        <v>974</v>
      </c>
      <c r="F293" s="328"/>
      <c r="G293" s="328"/>
      <c r="H293" s="328"/>
      <c r="I293" s="328"/>
      <c r="J293" s="328"/>
      <c r="K293" s="328"/>
      <c r="L293" s="328"/>
      <c r="M293" s="328"/>
      <c r="N293" s="328"/>
      <c r="O293" s="328"/>
      <c r="P293" s="328"/>
      <c r="Q293" s="328"/>
      <c r="R293" s="328"/>
      <c r="S293" s="328"/>
      <c r="T293" s="316" t="s">
        <v>433</v>
      </c>
      <c r="U293" s="328"/>
      <c r="V293" s="329"/>
      <c r="W293" s="329"/>
      <c r="X293" s="329"/>
      <c r="Y293" s="355"/>
      <c r="Z293" s="330"/>
      <c r="AA293" s="332">
        <f>AA295+AA296</f>
        <v>740000</v>
      </c>
      <c r="AB293" s="177"/>
      <c r="AC293" s="177"/>
      <c r="AD293" s="278"/>
    </row>
    <row r="294" spans="1:30" ht="37.5" customHeight="1" x14ac:dyDescent="0.3">
      <c r="A294" s="311" t="s">
        <v>100</v>
      </c>
      <c r="B294" s="328"/>
      <c r="C294" s="328"/>
      <c r="D294" s="328"/>
      <c r="E294" s="296"/>
      <c r="F294" s="328"/>
      <c r="G294" s="328"/>
      <c r="H294" s="328"/>
      <c r="I294" s="328"/>
      <c r="J294" s="328"/>
      <c r="K294" s="328"/>
      <c r="L294" s="328"/>
      <c r="M294" s="328"/>
      <c r="N294" s="328"/>
      <c r="O294" s="328"/>
      <c r="P294" s="328"/>
      <c r="Q294" s="328"/>
      <c r="R294" s="328"/>
      <c r="S294" s="328"/>
      <c r="T294" s="328"/>
      <c r="U294" s="328"/>
      <c r="V294" s="329"/>
      <c r="W294" s="329"/>
      <c r="X294" s="329"/>
      <c r="Y294" s="355"/>
      <c r="Z294" s="330"/>
      <c r="AA294" s="381"/>
      <c r="AB294" s="177"/>
      <c r="AC294" s="177"/>
      <c r="AD294" s="278"/>
    </row>
    <row r="295" spans="1:30" ht="37.5" customHeight="1" x14ac:dyDescent="0.3">
      <c r="A295" s="311" t="s">
        <v>935</v>
      </c>
      <c r="B295" s="316" t="s">
        <v>12</v>
      </c>
      <c r="C295" s="316" t="s">
        <v>115</v>
      </c>
      <c r="D295" s="316" t="s">
        <v>123</v>
      </c>
      <c r="E295" s="216" t="s">
        <v>974</v>
      </c>
      <c r="F295" s="316"/>
      <c r="G295" s="316"/>
      <c r="H295" s="316"/>
      <c r="I295" s="316"/>
      <c r="J295" s="316"/>
      <c r="K295" s="316"/>
      <c r="L295" s="316"/>
      <c r="M295" s="316"/>
      <c r="N295" s="316"/>
      <c r="O295" s="316"/>
      <c r="P295" s="316"/>
      <c r="Q295" s="316"/>
      <c r="R295" s="316"/>
      <c r="S295" s="316"/>
      <c r="T295" s="316" t="s">
        <v>433</v>
      </c>
      <c r="U295" s="316"/>
      <c r="V295" s="317"/>
      <c r="W295" s="317"/>
      <c r="X295" s="317"/>
      <c r="Y295" s="324"/>
      <c r="Z295" s="322"/>
      <c r="AA295" s="332">
        <v>340000</v>
      </c>
      <c r="AB295" s="177"/>
      <c r="AC295" s="177"/>
      <c r="AD295" s="278"/>
    </row>
    <row r="296" spans="1:30" ht="37.5" customHeight="1" x14ac:dyDescent="0.3">
      <c r="A296" s="311" t="s">
        <v>857</v>
      </c>
      <c r="B296" s="316" t="s">
        <v>12</v>
      </c>
      <c r="C296" s="316" t="s">
        <v>115</v>
      </c>
      <c r="D296" s="316" t="s">
        <v>123</v>
      </c>
      <c r="E296" s="216" t="s">
        <v>974</v>
      </c>
      <c r="F296" s="316"/>
      <c r="G296" s="316"/>
      <c r="H296" s="316"/>
      <c r="I296" s="316"/>
      <c r="J296" s="316"/>
      <c r="K296" s="316"/>
      <c r="L296" s="316"/>
      <c r="M296" s="316"/>
      <c r="N296" s="316"/>
      <c r="O296" s="316"/>
      <c r="P296" s="316"/>
      <c r="Q296" s="316"/>
      <c r="R296" s="316"/>
      <c r="S296" s="316"/>
      <c r="T296" s="316" t="s">
        <v>433</v>
      </c>
      <c r="U296" s="316"/>
      <c r="V296" s="317"/>
      <c r="W296" s="317"/>
      <c r="X296" s="317"/>
      <c r="Y296" s="324"/>
      <c r="Z296" s="322"/>
      <c r="AA296" s="332">
        <v>400000</v>
      </c>
      <c r="AB296" s="177"/>
      <c r="AC296" s="177"/>
      <c r="AD296" s="278"/>
    </row>
    <row r="297" spans="1:30" ht="31.5" customHeight="1" x14ac:dyDescent="0.3">
      <c r="A297" s="301" t="s">
        <v>143</v>
      </c>
      <c r="B297" s="316" t="s">
        <v>12</v>
      </c>
      <c r="C297" s="316" t="s">
        <v>115</v>
      </c>
      <c r="D297" s="316" t="s">
        <v>114</v>
      </c>
      <c r="E297" s="216"/>
      <c r="F297" s="316"/>
      <c r="G297" s="316"/>
      <c r="H297" s="316"/>
      <c r="I297" s="316"/>
      <c r="J297" s="316"/>
      <c r="K297" s="316"/>
      <c r="L297" s="316"/>
      <c r="M297" s="316"/>
      <c r="N297" s="316"/>
      <c r="O297" s="316"/>
      <c r="P297" s="316"/>
      <c r="Q297" s="316"/>
      <c r="R297" s="316"/>
      <c r="S297" s="316"/>
      <c r="T297" s="316"/>
      <c r="U297" s="316"/>
      <c r="V297" s="317"/>
      <c r="W297" s="317"/>
      <c r="X297" s="317"/>
      <c r="Y297" s="324"/>
      <c r="Z297" s="322"/>
      <c r="AA297" s="332">
        <f>AA298+AA310</f>
        <v>1100459.21</v>
      </c>
      <c r="AB297" s="177"/>
      <c r="AC297" s="177"/>
      <c r="AD297" s="278"/>
    </row>
    <row r="298" spans="1:30" ht="225" customHeight="1" x14ac:dyDescent="0.3">
      <c r="A298" s="376" t="s">
        <v>956</v>
      </c>
      <c r="B298" s="316" t="s">
        <v>12</v>
      </c>
      <c r="C298" s="316" t="s">
        <v>115</v>
      </c>
      <c r="D298" s="316" t="s">
        <v>114</v>
      </c>
      <c r="E298" s="216" t="s">
        <v>660</v>
      </c>
      <c r="F298" s="316"/>
      <c r="G298" s="316"/>
      <c r="H298" s="316"/>
      <c r="I298" s="316"/>
      <c r="J298" s="316"/>
      <c r="K298" s="316"/>
      <c r="L298" s="316"/>
      <c r="M298" s="316"/>
      <c r="N298" s="316"/>
      <c r="O298" s="316"/>
      <c r="P298" s="316"/>
      <c r="Q298" s="316"/>
      <c r="R298" s="316"/>
      <c r="S298" s="316"/>
      <c r="T298" s="316"/>
      <c r="U298" s="316"/>
      <c r="V298" s="317"/>
      <c r="W298" s="317"/>
      <c r="X298" s="317"/>
      <c r="Y298" s="324"/>
      <c r="Z298" s="322"/>
      <c r="AA298" s="332">
        <f>AA299</f>
        <v>520010</v>
      </c>
      <c r="AB298" s="177"/>
      <c r="AC298" s="177"/>
      <c r="AD298" s="278"/>
    </row>
    <row r="299" spans="1:30" ht="33.75" customHeight="1" x14ac:dyDescent="0.3">
      <c r="A299" s="311" t="s">
        <v>856</v>
      </c>
      <c r="B299" s="316" t="s">
        <v>12</v>
      </c>
      <c r="C299" s="316" t="s">
        <v>115</v>
      </c>
      <c r="D299" s="316" t="s">
        <v>114</v>
      </c>
      <c r="E299" s="216" t="s">
        <v>660</v>
      </c>
      <c r="F299" s="316"/>
      <c r="G299" s="316"/>
      <c r="H299" s="316"/>
      <c r="I299" s="316"/>
      <c r="J299" s="316"/>
      <c r="K299" s="316"/>
      <c r="L299" s="316"/>
      <c r="M299" s="316"/>
      <c r="N299" s="316"/>
      <c r="O299" s="316"/>
      <c r="P299" s="316"/>
      <c r="Q299" s="316"/>
      <c r="R299" s="316"/>
      <c r="S299" s="316"/>
      <c r="T299" s="316" t="s">
        <v>433</v>
      </c>
      <c r="U299" s="316"/>
      <c r="V299" s="317"/>
      <c r="W299" s="317"/>
      <c r="X299" s="317"/>
      <c r="Y299" s="324"/>
      <c r="Z299" s="322"/>
      <c r="AA299" s="332">
        <f>AA301+AA302+AA303+AA304+AA305+AA306+AA307+AA308+AA309</f>
        <v>520010</v>
      </c>
      <c r="AB299" s="177"/>
      <c r="AC299" s="177"/>
      <c r="AD299" s="278"/>
    </row>
    <row r="300" spans="1:30" ht="36.75" customHeight="1" x14ac:dyDescent="0.3">
      <c r="A300" s="311" t="s">
        <v>100</v>
      </c>
      <c r="B300" s="316"/>
      <c r="C300" s="316"/>
      <c r="D300" s="316"/>
      <c r="E300" s="216"/>
      <c r="F300" s="316"/>
      <c r="G300" s="316"/>
      <c r="H300" s="316"/>
      <c r="I300" s="316"/>
      <c r="J300" s="316"/>
      <c r="K300" s="316"/>
      <c r="L300" s="316"/>
      <c r="M300" s="316"/>
      <c r="N300" s="316"/>
      <c r="O300" s="316"/>
      <c r="P300" s="316"/>
      <c r="Q300" s="316"/>
      <c r="R300" s="316"/>
      <c r="S300" s="316"/>
      <c r="T300" s="316"/>
      <c r="U300" s="316"/>
      <c r="V300" s="317"/>
      <c r="W300" s="317"/>
      <c r="X300" s="317"/>
      <c r="Y300" s="324"/>
      <c r="Z300" s="322"/>
      <c r="AA300" s="332"/>
      <c r="AB300" s="177"/>
      <c r="AC300" s="177"/>
      <c r="AD300" s="278"/>
    </row>
    <row r="301" spans="1:30" ht="44.25" customHeight="1" x14ac:dyDescent="0.3">
      <c r="A301" s="311" t="s">
        <v>935</v>
      </c>
      <c r="B301" s="316" t="s">
        <v>12</v>
      </c>
      <c r="C301" s="316" t="s">
        <v>115</v>
      </c>
      <c r="D301" s="316" t="s">
        <v>114</v>
      </c>
      <c r="E301" s="216" t="s">
        <v>660</v>
      </c>
      <c r="F301" s="316"/>
      <c r="G301" s="316"/>
      <c r="H301" s="316"/>
      <c r="I301" s="316"/>
      <c r="J301" s="316"/>
      <c r="K301" s="316"/>
      <c r="L301" s="316"/>
      <c r="M301" s="316"/>
      <c r="N301" s="316"/>
      <c r="O301" s="316"/>
      <c r="P301" s="316"/>
      <c r="Q301" s="316"/>
      <c r="R301" s="316"/>
      <c r="S301" s="316"/>
      <c r="T301" s="316" t="s">
        <v>433</v>
      </c>
      <c r="U301" s="316"/>
      <c r="V301" s="317"/>
      <c r="W301" s="317"/>
      <c r="X301" s="317"/>
      <c r="Y301" s="324"/>
      <c r="Z301" s="322"/>
      <c r="AA301" s="332">
        <v>149286</v>
      </c>
      <c r="AB301" s="177"/>
      <c r="AC301" s="177"/>
      <c r="AD301" s="278"/>
    </row>
    <row r="302" spans="1:30" ht="44.25" customHeight="1" x14ac:dyDescent="0.3">
      <c r="A302" s="311" t="s">
        <v>936</v>
      </c>
      <c r="B302" s="316" t="s">
        <v>12</v>
      </c>
      <c r="C302" s="316" t="s">
        <v>115</v>
      </c>
      <c r="D302" s="316" t="s">
        <v>114</v>
      </c>
      <c r="E302" s="216" t="s">
        <v>660</v>
      </c>
      <c r="F302" s="316"/>
      <c r="G302" s="316"/>
      <c r="H302" s="316"/>
      <c r="I302" s="316"/>
      <c r="J302" s="316"/>
      <c r="K302" s="316"/>
      <c r="L302" s="316"/>
      <c r="M302" s="316"/>
      <c r="N302" s="316"/>
      <c r="O302" s="316"/>
      <c r="P302" s="316"/>
      <c r="Q302" s="316"/>
      <c r="R302" s="316"/>
      <c r="S302" s="316"/>
      <c r="T302" s="316" t="s">
        <v>433</v>
      </c>
      <c r="U302" s="316"/>
      <c r="V302" s="317"/>
      <c r="W302" s="317"/>
      <c r="X302" s="317"/>
      <c r="Y302" s="324"/>
      <c r="Z302" s="322"/>
      <c r="AA302" s="332">
        <v>97956</v>
      </c>
      <c r="AB302" s="177"/>
      <c r="AC302" s="177"/>
      <c r="AD302" s="278"/>
    </row>
    <row r="303" spans="1:30" ht="44.25" customHeight="1" x14ac:dyDescent="0.3">
      <c r="A303" s="311" t="s">
        <v>937</v>
      </c>
      <c r="B303" s="316" t="s">
        <v>12</v>
      </c>
      <c r="C303" s="316" t="s">
        <v>115</v>
      </c>
      <c r="D303" s="316" t="s">
        <v>114</v>
      </c>
      <c r="E303" s="216" t="s">
        <v>660</v>
      </c>
      <c r="F303" s="316"/>
      <c r="G303" s="316"/>
      <c r="H303" s="316"/>
      <c r="I303" s="316"/>
      <c r="J303" s="316"/>
      <c r="K303" s="316"/>
      <c r="L303" s="316"/>
      <c r="M303" s="316"/>
      <c r="N303" s="316"/>
      <c r="O303" s="316"/>
      <c r="P303" s="316"/>
      <c r="Q303" s="316"/>
      <c r="R303" s="316"/>
      <c r="S303" s="316"/>
      <c r="T303" s="316" t="s">
        <v>433</v>
      </c>
      <c r="U303" s="316"/>
      <c r="V303" s="317"/>
      <c r="W303" s="317"/>
      <c r="X303" s="317"/>
      <c r="Y303" s="324"/>
      <c r="Z303" s="322"/>
      <c r="AA303" s="332">
        <v>85457</v>
      </c>
      <c r="AB303" s="177"/>
      <c r="AC303" s="177"/>
      <c r="AD303" s="278"/>
    </row>
    <row r="304" spans="1:30" ht="44.25" customHeight="1" x14ac:dyDescent="0.3">
      <c r="A304" s="311" t="s">
        <v>938</v>
      </c>
      <c r="B304" s="316" t="s">
        <v>12</v>
      </c>
      <c r="C304" s="316" t="s">
        <v>115</v>
      </c>
      <c r="D304" s="316" t="s">
        <v>114</v>
      </c>
      <c r="E304" s="216" t="s">
        <v>660</v>
      </c>
      <c r="F304" s="316"/>
      <c r="G304" s="316"/>
      <c r="H304" s="316"/>
      <c r="I304" s="316"/>
      <c r="J304" s="316"/>
      <c r="K304" s="316"/>
      <c r="L304" s="316"/>
      <c r="M304" s="316"/>
      <c r="N304" s="316"/>
      <c r="O304" s="316"/>
      <c r="P304" s="316"/>
      <c r="Q304" s="316"/>
      <c r="R304" s="316"/>
      <c r="S304" s="316"/>
      <c r="T304" s="316" t="s">
        <v>433</v>
      </c>
      <c r="U304" s="316"/>
      <c r="V304" s="317"/>
      <c r="W304" s="317"/>
      <c r="X304" s="317"/>
      <c r="Y304" s="324"/>
      <c r="Z304" s="322"/>
      <c r="AA304" s="332">
        <v>11246</v>
      </c>
      <c r="AB304" s="177"/>
      <c r="AC304" s="177"/>
      <c r="AD304" s="278"/>
    </row>
    <row r="305" spans="1:30" ht="44.25" customHeight="1" x14ac:dyDescent="0.3">
      <c r="A305" s="311" t="s">
        <v>939</v>
      </c>
      <c r="B305" s="316" t="s">
        <v>12</v>
      </c>
      <c r="C305" s="316" t="s">
        <v>115</v>
      </c>
      <c r="D305" s="316" t="s">
        <v>114</v>
      </c>
      <c r="E305" s="216" t="s">
        <v>660</v>
      </c>
      <c r="F305" s="316"/>
      <c r="G305" s="316"/>
      <c r="H305" s="316"/>
      <c r="I305" s="316"/>
      <c r="J305" s="316"/>
      <c r="K305" s="316"/>
      <c r="L305" s="316"/>
      <c r="M305" s="316"/>
      <c r="N305" s="316"/>
      <c r="O305" s="316"/>
      <c r="P305" s="316"/>
      <c r="Q305" s="316"/>
      <c r="R305" s="316"/>
      <c r="S305" s="316"/>
      <c r="T305" s="316" t="s">
        <v>433</v>
      </c>
      <c r="U305" s="316"/>
      <c r="V305" s="317"/>
      <c r="W305" s="317"/>
      <c r="X305" s="317"/>
      <c r="Y305" s="324"/>
      <c r="Z305" s="322"/>
      <c r="AA305" s="332">
        <v>36766</v>
      </c>
      <c r="AB305" s="177"/>
      <c r="AC305" s="177"/>
      <c r="AD305" s="278"/>
    </row>
    <row r="306" spans="1:30" ht="44.25" customHeight="1" x14ac:dyDescent="0.3">
      <c r="A306" s="311" t="s">
        <v>940</v>
      </c>
      <c r="B306" s="316" t="s">
        <v>12</v>
      </c>
      <c r="C306" s="316" t="s">
        <v>115</v>
      </c>
      <c r="D306" s="316" t="s">
        <v>114</v>
      </c>
      <c r="E306" s="216" t="s">
        <v>660</v>
      </c>
      <c r="F306" s="316"/>
      <c r="G306" s="316"/>
      <c r="H306" s="316"/>
      <c r="I306" s="316"/>
      <c r="J306" s="316"/>
      <c r="K306" s="316"/>
      <c r="L306" s="316"/>
      <c r="M306" s="316"/>
      <c r="N306" s="316"/>
      <c r="O306" s="316"/>
      <c r="P306" s="316"/>
      <c r="Q306" s="316"/>
      <c r="R306" s="316"/>
      <c r="S306" s="316"/>
      <c r="T306" s="316" t="s">
        <v>433</v>
      </c>
      <c r="U306" s="316"/>
      <c r="V306" s="317"/>
      <c r="W306" s="317"/>
      <c r="X306" s="317"/>
      <c r="Y306" s="324"/>
      <c r="Z306" s="322"/>
      <c r="AA306" s="332">
        <v>46395</v>
      </c>
      <c r="AB306" s="177"/>
      <c r="AC306" s="177"/>
      <c r="AD306" s="278"/>
    </row>
    <row r="307" spans="1:30" ht="44.25" customHeight="1" x14ac:dyDescent="0.3">
      <c r="A307" s="311" t="s">
        <v>941</v>
      </c>
      <c r="B307" s="316" t="s">
        <v>12</v>
      </c>
      <c r="C307" s="316" t="s">
        <v>115</v>
      </c>
      <c r="D307" s="316" t="s">
        <v>114</v>
      </c>
      <c r="E307" s="216" t="s">
        <v>660</v>
      </c>
      <c r="F307" s="316"/>
      <c r="G307" s="316"/>
      <c r="H307" s="316"/>
      <c r="I307" s="316"/>
      <c r="J307" s="316"/>
      <c r="K307" s="316"/>
      <c r="L307" s="316"/>
      <c r="M307" s="316"/>
      <c r="N307" s="316"/>
      <c r="O307" s="316"/>
      <c r="P307" s="316"/>
      <c r="Q307" s="316"/>
      <c r="R307" s="316"/>
      <c r="S307" s="316"/>
      <c r="T307" s="316" t="s">
        <v>433</v>
      </c>
      <c r="U307" s="316"/>
      <c r="V307" s="317"/>
      <c r="W307" s="317"/>
      <c r="X307" s="317"/>
      <c r="Y307" s="324"/>
      <c r="Z307" s="322"/>
      <c r="AA307" s="332">
        <v>36128</v>
      </c>
      <c r="AB307" s="177"/>
      <c r="AC307" s="177"/>
      <c r="AD307" s="278"/>
    </row>
    <row r="308" spans="1:30" ht="44.25" customHeight="1" x14ac:dyDescent="0.3">
      <c r="A308" s="311" t="s">
        <v>942</v>
      </c>
      <c r="B308" s="316" t="s">
        <v>12</v>
      </c>
      <c r="C308" s="316" t="s">
        <v>115</v>
      </c>
      <c r="D308" s="316" t="s">
        <v>114</v>
      </c>
      <c r="E308" s="216" t="s">
        <v>660</v>
      </c>
      <c r="F308" s="316"/>
      <c r="G308" s="316"/>
      <c r="H308" s="316"/>
      <c r="I308" s="316"/>
      <c r="J308" s="316"/>
      <c r="K308" s="316"/>
      <c r="L308" s="316"/>
      <c r="M308" s="316"/>
      <c r="N308" s="316"/>
      <c r="O308" s="316"/>
      <c r="P308" s="316"/>
      <c r="Q308" s="316"/>
      <c r="R308" s="316"/>
      <c r="S308" s="316"/>
      <c r="T308" s="316" t="s">
        <v>433</v>
      </c>
      <c r="U308" s="316"/>
      <c r="V308" s="317"/>
      <c r="W308" s="317"/>
      <c r="X308" s="317"/>
      <c r="Y308" s="324"/>
      <c r="Z308" s="322"/>
      <c r="AA308" s="332">
        <v>56776</v>
      </c>
      <c r="AB308" s="177"/>
      <c r="AC308" s="177"/>
      <c r="AD308" s="278"/>
    </row>
    <row r="309" spans="1:30" ht="44.25" customHeight="1" x14ac:dyDescent="0.3">
      <c r="A309" s="311" t="s">
        <v>943</v>
      </c>
      <c r="B309" s="316" t="s">
        <v>12</v>
      </c>
      <c r="C309" s="316" t="s">
        <v>115</v>
      </c>
      <c r="D309" s="316" t="s">
        <v>114</v>
      </c>
      <c r="E309" s="216" t="s">
        <v>660</v>
      </c>
      <c r="F309" s="316"/>
      <c r="G309" s="316"/>
      <c r="H309" s="316"/>
      <c r="I309" s="316"/>
      <c r="J309" s="316"/>
      <c r="K309" s="316"/>
      <c r="L309" s="316"/>
      <c r="M309" s="316"/>
      <c r="N309" s="316"/>
      <c r="O309" s="316"/>
      <c r="P309" s="316"/>
      <c r="Q309" s="316"/>
      <c r="R309" s="316"/>
      <c r="S309" s="316"/>
      <c r="T309" s="316" t="s">
        <v>433</v>
      </c>
      <c r="U309" s="316"/>
      <c r="V309" s="317"/>
      <c r="W309" s="317"/>
      <c r="X309" s="317"/>
      <c r="Y309" s="324"/>
      <c r="Z309" s="322"/>
      <c r="AA309" s="332">
        <f>279990-279990</f>
        <v>0</v>
      </c>
      <c r="AB309" s="177"/>
      <c r="AC309" s="177"/>
      <c r="AD309" s="278"/>
    </row>
    <row r="310" spans="1:30" ht="123.75" customHeight="1" x14ac:dyDescent="0.3">
      <c r="A310" s="311" t="s">
        <v>661</v>
      </c>
      <c r="B310" s="316" t="s">
        <v>12</v>
      </c>
      <c r="C310" s="316" t="s">
        <v>115</v>
      </c>
      <c r="D310" s="316" t="s">
        <v>114</v>
      </c>
      <c r="E310" s="216" t="s">
        <v>662</v>
      </c>
      <c r="F310" s="316"/>
      <c r="G310" s="316"/>
      <c r="H310" s="316"/>
      <c r="I310" s="316"/>
      <c r="J310" s="316"/>
      <c r="K310" s="316"/>
      <c r="L310" s="316"/>
      <c r="M310" s="316"/>
      <c r="N310" s="316"/>
      <c r="O310" s="316"/>
      <c r="P310" s="316"/>
      <c r="Q310" s="316"/>
      <c r="R310" s="316"/>
      <c r="S310" s="316"/>
      <c r="T310" s="316"/>
      <c r="U310" s="316"/>
      <c r="V310" s="317"/>
      <c r="W310" s="317"/>
      <c r="X310" s="317"/>
      <c r="Y310" s="324"/>
      <c r="Z310" s="322"/>
      <c r="AA310" s="332">
        <f>AA311</f>
        <v>580449.21</v>
      </c>
      <c r="AB310" s="177"/>
      <c r="AC310" s="177"/>
      <c r="AD310" s="278"/>
    </row>
    <row r="311" spans="1:30" ht="44.25" customHeight="1" x14ac:dyDescent="0.3">
      <c r="A311" s="311" t="s">
        <v>856</v>
      </c>
      <c r="B311" s="316" t="s">
        <v>12</v>
      </c>
      <c r="C311" s="316" t="s">
        <v>115</v>
      </c>
      <c r="D311" s="316" t="s">
        <v>114</v>
      </c>
      <c r="E311" s="216" t="s">
        <v>662</v>
      </c>
      <c r="F311" s="316"/>
      <c r="G311" s="316"/>
      <c r="H311" s="316"/>
      <c r="I311" s="316"/>
      <c r="J311" s="316"/>
      <c r="K311" s="316"/>
      <c r="L311" s="316"/>
      <c r="M311" s="316"/>
      <c r="N311" s="316"/>
      <c r="O311" s="316"/>
      <c r="P311" s="316"/>
      <c r="Q311" s="316"/>
      <c r="R311" s="316"/>
      <c r="S311" s="316"/>
      <c r="T311" s="316" t="s">
        <v>433</v>
      </c>
      <c r="U311" s="316"/>
      <c r="V311" s="317"/>
      <c r="W311" s="317"/>
      <c r="X311" s="317"/>
      <c r="Y311" s="324"/>
      <c r="Z311" s="322"/>
      <c r="AA311" s="332">
        <f>AA313+AA314+AA315+AA316+AA317+AA318+AA319+AA320+AA321</f>
        <v>580449.21</v>
      </c>
      <c r="AB311" s="177"/>
      <c r="AC311" s="177"/>
      <c r="AD311" s="278"/>
    </row>
    <row r="312" spans="1:30" ht="44.25" customHeight="1" x14ac:dyDescent="0.3">
      <c r="A312" s="311" t="s">
        <v>100</v>
      </c>
      <c r="B312" s="316"/>
      <c r="C312" s="316"/>
      <c r="D312" s="316"/>
      <c r="E312" s="216"/>
      <c r="F312" s="316"/>
      <c r="G312" s="316"/>
      <c r="H312" s="316"/>
      <c r="I312" s="316"/>
      <c r="J312" s="316"/>
      <c r="K312" s="316"/>
      <c r="L312" s="316"/>
      <c r="M312" s="316"/>
      <c r="N312" s="316"/>
      <c r="O312" s="316"/>
      <c r="P312" s="316"/>
      <c r="Q312" s="316"/>
      <c r="R312" s="316"/>
      <c r="S312" s="316"/>
      <c r="T312" s="316"/>
      <c r="U312" s="316"/>
      <c r="V312" s="317"/>
      <c r="W312" s="317"/>
      <c r="X312" s="317"/>
      <c r="Y312" s="324"/>
      <c r="Z312" s="322"/>
      <c r="AA312" s="332"/>
      <c r="AB312" s="177"/>
      <c r="AC312" s="177"/>
      <c r="AD312" s="278"/>
    </row>
    <row r="313" spans="1:30" ht="44.25" customHeight="1" x14ac:dyDescent="0.3">
      <c r="A313" s="311" t="s">
        <v>935</v>
      </c>
      <c r="B313" s="316" t="s">
        <v>12</v>
      </c>
      <c r="C313" s="316" t="s">
        <v>115</v>
      </c>
      <c r="D313" s="316" t="s">
        <v>114</v>
      </c>
      <c r="E313" s="216" t="s">
        <v>662</v>
      </c>
      <c r="F313" s="316"/>
      <c r="G313" s="316"/>
      <c r="H313" s="316"/>
      <c r="I313" s="316"/>
      <c r="J313" s="316"/>
      <c r="K313" s="316"/>
      <c r="L313" s="316"/>
      <c r="M313" s="316"/>
      <c r="N313" s="316"/>
      <c r="O313" s="316"/>
      <c r="P313" s="316"/>
      <c r="Q313" s="316"/>
      <c r="R313" s="316"/>
      <c r="S313" s="316"/>
      <c r="T313" s="316" t="s">
        <v>433</v>
      </c>
      <c r="U313" s="316"/>
      <c r="V313" s="317"/>
      <c r="W313" s="317"/>
      <c r="X313" s="317"/>
      <c r="Y313" s="324"/>
      <c r="Z313" s="322"/>
      <c r="AA313" s="332">
        <v>50000</v>
      </c>
      <c r="AB313" s="177"/>
      <c r="AC313" s="177"/>
      <c r="AD313" s="278"/>
    </row>
    <row r="314" spans="1:30" ht="44.25" customHeight="1" x14ac:dyDescent="0.3">
      <c r="A314" s="311" t="s">
        <v>936</v>
      </c>
      <c r="B314" s="316" t="s">
        <v>12</v>
      </c>
      <c r="C314" s="316" t="s">
        <v>115</v>
      </c>
      <c r="D314" s="316" t="s">
        <v>114</v>
      </c>
      <c r="E314" s="216" t="s">
        <v>662</v>
      </c>
      <c r="F314" s="316"/>
      <c r="G314" s="316"/>
      <c r="H314" s="316"/>
      <c r="I314" s="316"/>
      <c r="J314" s="316"/>
      <c r="K314" s="316"/>
      <c r="L314" s="316"/>
      <c r="M314" s="316"/>
      <c r="N314" s="316"/>
      <c r="O314" s="316"/>
      <c r="P314" s="316"/>
      <c r="Q314" s="316"/>
      <c r="R314" s="316"/>
      <c r="S314" s="316"/>
      <c r="T314" s="316" t="s">
        <v>433</v>
      </c>
      <c r="U314" s="316"/>
      <c r="V314" s="317"/>
      <c r="W314" s="317"/>
      <c r="X314" s="317"/>
      <c r="Y314" s="324"/>
      <c r="Z314" s="322"/>
      <c r="AA314" s="332">
        <v>50000</v>
      </c>
      <c r="AB314" s="177"/>
      <c r="AC314" s="177"/>
      <c r="AD314" s="278"/>
    </row>
    <row r="315" spans="1:30" ht="44.25" customHeight="1" x14ac:dyDescent="0.3">
      <c r="A315" s="311" t="s">
        <v>937</v>
      </c>
      <c r="B315" s="316" t="s">
        <v>12</v>
      </c>
      <c r="C315" s="316" t="s">
        <v>115</v>
      </c>
      <c r="D315" s="316" t="s">
        <v>114</v>
      </c>
      <c r="E315" s="216" t="s">
        <v>662</v>
      </c>
      <c r="F315" s="316"/>
      <c r="G315" s="316"/>
      <c r="H315" s="316"/>
      <c r="I315" s="316"/>
      <c r="J315" s="316"/>
      <c r="K315" s="316"/>
      <c r="L315" s="316"/>
      <c r="M315" s="316"/>
      <c r="N315" s="316"/>
      <c r="O315" s="316"/>
      <c r="P315" s="316"/>
      <c r="Q315" s="316"/>
      <c r="R315" s="316"/>
      <c r="S315" s="316"/>
      <c r="T315" s="316" t="s">
        <v>433</v>
      </c>
      <c r="U315" s="316"/>
      <c r="V315" s="317"/>
      <c r="W315" s="317"/>
      <c r="X315" s="317"/>
      <c r="Y315" s="324"/>
      <c r="Z315" s="322"/>
      <c r="AA315" s="332">
        <v>40449.21</v>
      </c>
      <c r="AB315" s="177"/>
      <c r="AC315" s="177"/>
      <c r="AD315" s="278"/>
    </row>
    <row r="316" spans="1:30" ht="44.25" customHeight="1" x14ac:dyDescent="0.3">
      <c r="A316" s="311" t="s">
        <v>938</v>
      </c>
      <c r="B316" s="316" t="s">
        <v>12</v>
      </c>
      <c r="C316" s="316" t="s">
        <v>115</v>
      </c>
      <c r="D316" s="316" t="s">
        <v>114</v>
      </c>
      <c r="E316" s="216" t="s">
        <v>662</v>
      </c>
      <c r="F316" s="316"/>
      <c r="G316" s="316"/>
      <c r="H316" s="316"/>
      <c r="I316" s="316"/>
      <c r="J316" s="316"/>
      <c r="K316" s="316"/>
      <c r="L316" s="316"/>
      <c r="M316" s="316"/>
      <c r="N316" s="316"/>
      <c r="O316" s="316"/>
      <c r="P316" s="316"/>
      <c r="Q316" s="316"/>
      <c r="R316" s="316"/>
      <c r="S316" s="316"/>
      <c r="T316" s="316" t="s">
        <v>433</v>
      </c>
      <c r="U316" s="316"/>
      <c r="V316" s="317"/>
      <c r="W316" s="317"/>
      <c r="X316" s="317"/>
      <c r="Y316" s="324"/>
      <c r="Z316" s="322"/>
      <c r="AA316" s="332">
        <v>20000</v>
      </c>
      <c r="AB316" s="177"/>
      <c r="AC316" s="177"/>
      <c r="AD316" s="278"/>
    </row>
    <row r="317" spans="1:30" ht="44.25" customHeight="1" x14ac:dyDescent="0.3">
      <c r="A317" s="311" t="s">
        <v>939</v>
      </c>
      <c r="B317" s="316" t="s">
        <v>12</v>
      </c>
      <c r="C317" s="316" t="s">
        <v>115</v>
      </c>
      <c r="D317" s="316" t="s">
        <v>114</v>
      </c>
      <c r="E317" s="216" t="s">
        <v>662</v>
      </c>
      <c r="F317" s="316"/>
      <c r="G317" s="316"/>
      <c r="H317" s="316"/>
      <c r="I317" s="316"/>
      <c r="J317" s="316"/>
      <c r="K317" s="316"/>
      <c r="L317" s="316"/>
      <c r="M317" s="316"/>
      <c r="N317" s="316"/>
      <c r="O317" s="316"/>
      <c r="P317" s="316"/>
      <c r="Q317" s="316"/>
      <c r="R317" s="316"/>
      <c r="S317" s="316"/>
      <c r="T317" s="316" t="s">
        <v>433</v>
      </c>
      <c r="U317" s="316"/>
      <c r="V317" s="317"/>
      <c r="W317" s="317"/>
      <c r="X317" s="317"/>
      <c r="Y317" s="324"/>
      <c r="Z317" s="322"/>
      <c r="AA317" s="332">
        <v>20000</v>
      </c>
      <c r="AB317" s="177"/>
      <c r="AC317" s="177"/>
      <c r="AD317" s="278"/>
    </row>
    <row r="318" spans="1:30" ht="44.25" customHeight="1" x14ac:dyDescent="0.3">
      <c r="A318" s="311" t="s">
        <v>940</v>
      </c>
      <c r="B318" s="316" t="s">
        <v>12</v>
      </c>
      <c r="C318" s="316" t="s">
        <v>115</v>
      </c>
      <c r="D318" s="316" t="s">
        <v>114</v>
      </c>
      <c r="E318" s="216" t="s">
        <v>662</v>
      </c>
      <c r="F318" s="316"/>
      <c r="G318" s="316"/>
      <c r="H318" s="316"/>
      <c r="I318" s="316"/>
      <c r="J318" s="316"/>
      <c r="K318" s="316"/>
      <c r="L318" s="316"/>
      <c r="M318" s="316"/>
      <c r="N318" s="316"/>
      <c r="O318" s="316"/>
      <c r="P318" s="316"/>
      <c r="Q318" s="316"/>
      <c r="R318" s="316"/>
      <c r="S318" s="316"/>
      <c r="T318" s="316" t="s">
        <v>433</v>
      </c>
      <c r="U318" s="316"/>
      <c r="V318" s="317"/>
      <c r="W318" s="317"/>
      <c r="X318" s="317"/>
      <c r="Y318" s="324"/>
      <c r="Z318" s="322"/>
      <c r="AA318" s="332">
        <v>30000</v>
      </c>
      <c r="AB318" s="177"/>
      <c r="AC318" s="177"/>
      <c r="AD318" s="278"/>
    </row>
    <row r="319" spans="1:30" ht="44.25" customHeight="1" x14ac:dyDescent="0.3">
      <c r="A319" s="311" t="s">
        <v>941</v>
      </c>
      <c r="B319" s="316" t="s">
        <v>12</v>
      </c>
      <c r="C319" s="316" t="s">
        <v>115</v>
      </c>
      <c r="D319" s="316" t="s">
        <v>114</v>
      </c>
      <c r="E319" s="216" t="s">
        <v>662</v>
      </c>
      <c r="F319" s="316"/>
      <c r="G319" s="316"/>
      <c r="H319" s="316"/>
      <c r="I319" s="316"/>
      <c r="J319" s="316"/>
      <c r="K319" s="316"/>
      <c r="L319" s="316"/>
      <c r="M319" s="316"/>
      <c r="N319" s="316"/>
      <c r="O319" s="316"/>
      <c r="P319" s="316"/>
      <c r="Q319" s="316"/>
      <c r="R319" s="316"/>
      <c r="S319" s="316"/>
      <c r="T319" s="316" t="s">
        <v>433</v>
      </c>
      <c r="U319" s="316"/>
      <c r="V319" s="317"/>
      <c r="W319" s="317"/>
      <c r="X319" s="317"/>
      <c r="Y319" s="324"/>
      <c r="Z319" s="322"/>
      <c r="AA319" s="332">
        <v>40000</v>
      </c>
      <c r="AB319" s="177"/>
      <c r="AC319" s="177"/>
      <c r="AD319" s="278"/>
    </row>
    <row r="320" spans="1:30" ht="44.25" customHeight="1" x14ac:dyDescent="0.3">
      <c r="A320" s="311" t="s">
        <v>942</v>
      </c>
      <c r="B320" s="316" t="s">
        <v>12</v>
      </c>
      <c r="C320" s="316" t="s">
        <v>115</v>
      </c>
      <c r="D320" s="316" t="s">
        <v>114</v>
      </c>
      <c r="E320" s="216" t="s">
        <v>662</v>
      </c>
      <c r="F320" s="316"/>
      <c r="G320" s="316"/>
      <c r="H320" s="316"/>
      <c r="I320" s="316"/>
      <c r="J320" s="316"/>
      <c r="K320" s="316"/>
      <c r="L320" s="316"/>
      <c r="M320" s="316"/>
      <c r="N320" s="316"/>
      <c r="O320" s="316"/>
      <c r="P320" s="316"/>
      <c r="Q320" s="316"/>
      <c r="R320" s="316"/>
      <c r="S320" s="316"/>
      <c r="T320" s="316" t="s">
        <v>433</v>
      </c>
      <c r="U320" s="316"/>
      <c r="V320" s="317"/>
      <c r="W320" s="317"/>
      <c r="X320" s="317"/>
      <c r="Y320" s="324"/>
      <c r="Z320" s="322"/>
      <c r="AA320" s="332">
        <v>30000</v>
      </c>
      <c r="AB320" s="177"/>
      <c r="AC320" s="177"/>
      <c r="AD320" s="278"/>
    </row>
    <row r="321" spans="1:30" ht="44.25" customHeight="1" x14ac:dyDescent="0.3">
      <c r="A321" s="311" t="s">
        <v>943</v>
      </c>
      <c r="B321" s="316" t="s">
        <v>12</v>
      </c>
      <c r="C321" s="316" t="s">
        <v>115</v>
      </c>
      <c r="D321" s="316" t="s">
        <v>114</v>
      </c>
      <c r="E321" s="216" t="s">
        <v>662</v>
      </c>
      <c r="F321" s="316"/>
      <c r="G321" s="316"/>
      <c r="H321" s="316"/>
      <c r="I321" s="316"/>
      <c r="J321" s="316"/>
      <c r="K321" s="316"/>
      <c r="L321" s="316"/>
      <c r="M321" s="316"/>
      <c r="N321" s="316"/>
      <c r="O321" s="316"/>
      <c r="P321" s="316"/>
      <c r="Q321" s="316"/>
      <c r="R321" s="316"/>
      <c r="S321" s="316"/>
      <c r="T321" s="316" t="s">
        <v>433</v>
      </c>
      <c r="U321" s="316"/>
      <c r="V321" s="317"/>
      <c r="W321" s="317"/>
      <c r="X321" s="317"/>
      <c r="Y321" s="324"/>
      <c r="Z321" s="322"/>
      <c r="AA321" s="332">
        <f>100000+200000</f>
        <v>300000</v>
      </c>
      <c r="AB321" s="177"/>
      <c r="AC321" s="177"/>
      <c r="AD321" s="278"/>
    </row>
    <row r="322" spans="1:30" ht="44.25" customHeight="1" x14ac:dyDescent="0.3">
      <c r="A322" s="301" t="s">
        <v>150</v>
      </c>
      <c r="B322" s="316" t="s">
        <v>12</v>
      </c>
      <c r="C322" s="316" t="s">
        <v>117</v>
      </c>
      <c r="D322" s="316" t="s">
        <v>113</v>
      </c>
      <c r="E322" s="216"/>
      <c r="F322" s="316"/>
      <c r="G322" s="316"/>
      <c r="H322" s="316"/>
      <c r="I322" s="316"/>
      <c r="J322" s="316"/>
      <c r="K322" s="316"/>
      <c r="L322" s="316"/>
      <c r="M322" s="316"/>
      <c r="N322" s="316"/>
      <c r="O322" s="316"/>
      <c r="P322" s="316"/>
      <c r="Q322" s="316"/>
      <c r="R322" s="316"/>
      <c r="S322" s="316"/>
      <c r="T322" s="316"/>
      <c r="U322" s="316"/>
      <c r="V322" s="317"/>
      <c r="W322" s="317"/>
      <c r="X322" s="317"/>
      <c r="Y322" s="324"/>
      <c r="Z322" s="322"/>
      <c r="AA322" s="332">
        <f>AA323</f>
        <v>360466.03</v>
      </c>
      <c r="AB322" s="177"/>
      <c r="AC322" s="177"/>
      <c r="AD322" s="278"/>
    </row>
    <row r="323" spans="1:30" ht="213.75" customHeight="1" x14ac:dyDescent="0.3">
      <c r="A323" s="383" t="s">
        <v>975</v>
      </c>
      <c r="B323" s="316" t="s">
        <v>123</v>
      </c>
      <c r="C323" s="316" t="s">
        <v>117</v>
      </c>
      <c r="D323" s="316" t="s">
        <v>113</v>
      </c>
      <c r="E323" s="216" t="s">
        <v>976</v>
      </c>
      <c r="F323" s="316"/>
      <c r="G323" s="316"/>
      <c r="H323" s="316"/>
      <c r="I323" s="316"/>
      <c r="J323" s="316"/>
      <c r="K323" s="316"/>
      <c r="L323" s="316"/>
      <c r="M323" s="316"/>
      <c r="N323" s="316"/>
      <c r="O323" s="316"/>
      <c r="P323" s="316"/>
      <c r="Q323" s="316"/>
      <c r="R323" s="316"/>
      <c r="S323" s="316"/>
      <c r="T323" s="316"/>
      <c r="U323" s="316"/>
      <c r="V323" s="317"/>
      <c r="W323" s="317"/>
      <c r="X323" s="317"/>
      <c r="Y323" s="324"/>
      <c r="Z323" s="322"/>
      <c r="AA323" s="332">
        <f>AA324</f>
        <v>360466.03</v>
      </c>
      <c r="AB323" s="177"/>
      <c r="AC323" s="177"/>
      <c r="AD323" s="278"/>
    </row>
    <row r="324" spans="1:30" ht="44.25" customHeight="1" x14ac:dyDescent="0.3">
      <c r="A324" s="311" t="s">
        <v>856</v>
      </c>
      <c r="B324" s="316" t="s">
        <v>123</v>
      </c>
      <c r="C324" s="316" t="s">
        <v>117</v>
      </c>
      <c r="D324" s="316" t="s">
        <v>113</v>
      </c>
      <c r="E324" s="216" t="s">
        <v>976</v>
      </c>
      <c r="F324" s="316"/>
      <c r="G324" s="316"/>
      <c r="H324" s="316"/>
      <c r="I324" s="316"/>
      <c r="J324" s="316"/>
      <c r="K324" s="316"/>
      <c r="L324" s="316"/>
      <c r="M324" s="316"/>
      <c r="N324" s="316"/>
      <c r="O324" s="316"/>
      <c r="P324" s="316"/>
      <c r="Q324" s="316"/>
      <c r="R324" s="316"/>
      <c r="S324" s="316"/>
      <c r="T324" s="316" t="s">
        <v>433</v>
      </c>
      <c r="U324" s="316"/>
      <c r="V324" s="317"/>
      <c r="W324" s="317"/>
      <c r="X324" s="317"/>
      <c r="Y324" s="324"/>
      <c r="Z324" s="322"/>
      <c r="AA324" s="332">
        <f>AA326</f>
        <v>360466.03</v>
      </c>
      <c r="AB324" s="177"/>
      <c r="AC324" s="177"/>
      <c r="AD324" s="278"/>
    </row>
    <row r="325" spans="1:30" ht="44.25" customHeight="1" x14ac:dyDescent="0.3">
      <c r="A325" s="311" t="s">
        <v>100</v>
      </c>
      <c r="B325" s="316"/>
      <c r="C325" s="316"/>
      <c r="D325" s="316"/>
      <c r="E325" s="216"/>
      <c r="F325" s="316"/>
      <c r="G325" s="316"/>
      <c r="H325" s="316"/>
      <c r="I325" s="316"/>
      <c r="J325" s="316"/>
      <c r="K325" s="316"/>
      <c r="L325" s="316"/>
      <c r="M325" s="316"/>
      <c r="N325" s="316"/>
      <c r="O325" s="316"/>
      <c r="P325" s="316"/>
      <c r="Q325" s="316"/>
      <c r="R325" s="316"/>
      <c r="S325" s="316"/>
      <c r="T325" s="316"/>
      <c r="U325" s="316"/>
      <c r="V325" s="317"/>
      <c r="W325" s="317"/>
      <c r="X325" s="317"/>
      <c r="Y325" s="324"/>
      <c r="Z325" s="322"/>
      <c r="AA325" s="332"/>
      <c r="AB325" s="177"/>
      <c r="AC325" s="177"/>
      <c r="AD325" s="278"/>
    </row>
    <row r="326" spans="1:30" ht="44.25" customHeight="1" x14ac:dyDescent="0.3">
      <c r="A326" s="311" t="s">
        <v>942</v>
      </c>
      <c r="B326" s="316" t="s">
        <v>123</v>
      </c>
      <c r="C326" s="316" t="s">
        <v>117</v>
      </c>
      <c r="D326" s="316" t="s">
        <v>113</v>
      </c>
      <c r="E326" s="216" t="s">
        <v>976</v>
      </c>
      <c r="F326" s="316"/>
      <c r="G326" s="316"/>
      <c r="H326" s="316"/>
      <c r="I326" s="316"/>
      <c r="J326" s="316"/>
      <c r="K326" s="316"/>
      <c r="L326" s="316"/>
      <c r="M326" s="316"/>
      <c r="N326" s="316"/>
      <c r="O326" s="316"/>
      <c r="P326" s="316"/>
      <c r="Q326" s="316"/>
      <c r="R326" s="316"/>
      <c r="S326" s="316"/>
      <c r="T326" s="316" t="s">
        <v>433</v>
      </c>
      <c r="U326" s="316"/>
      <c r="V326" s="317"/>
      <c r="W326" s="317"/>
      <c r="X326" s="317"/>
      <c r="Y326" s="324"/>
      <c r="Z326" s="322"/>
      <c r="AA326" s="332">
        <f>150000+210466.03</f>
        <v>360466.03</v>
      </c>
      <c r="AB326" s="177"/>
      <c r="AC326" s="177"/>
      <c r="AD326" s="278"/>
    </row>
    <row r="327" spans="1:30" ht="78" customHeight="1" x14ac:dyDescent="0.3">
      <c r="A327" s="301" t="s">
        <v>426</v>
      </c>
      <c r="B327" s="302" t="s">
        <v>12</v>
      </c>
      <c r="C327" s="302" t="s">
        <v>121</v>
      </c>
      <c r="D327" s="302" t="s">
        <v>124</v>
      </c>
      <c r="E327" s="302"/>
      <c r="F327" s="302"/>
      <c r="G327" s="302"/>
      <c r="H327" s="302"/>
      <c r="I327" s="302"/>
      <c r="J327" s="302"/>
      <c r="K327" s="302"/>
      <c r="L327" s="302"/>
      <c r="M327" s="302"/>
      <c r="N327" s="302"/>
      <c r="O327" s="302"/>
      <c r="P327" s="302"/>
      <c r="Q327" s="302"/>
      <c r="R327" s="302"/>
      <c r="S327" s="302"/>
      <c r="T327" s="302"/>
      <c r="U327" s="302"/>
      <c r="V327" s="303"/>
      <c r="W327" s="303"/>
      <c r="X327" s="303"/>
      <c r="Y327" s="301" t="s">
        <v>426</v>
      </c>
      <c r="Z327" s="325">
        <v>80283.77</v>
      </c>
      <c r="AA327" s="377">
        <f>AA328</f>
        <v>0</v>
      </c>
      <c r="AB327" s="178"/>
      <c r="AC327" s="178"/>
      <c r="AD327" s="273" t="s">
        <v>426</v>
      </c>
    </row>
    <row r="328" spans="1:30" ht="55.9" customHeight="1" x14ac:dyDescent="0.3">
      <c r="A328" s="301" t="s">
        <v>247</v>
      </c>
      <c r="B328" s="302" t="s">
        <v>12</v>
      </c>
      <c r="C328" s="302" t="s">
        <v>121</v>
      </c>
      <c r="D328" s="302" t="s">
        <v>113</v>
      </c>
      <c r="E328" s="302"/>
      <c r="F328" s="302"/>
      <c r="G328" s="302"/>
      <c r="H328" s="302"/>
      <c r="I328" s="302"/>
      <c r="J328" s="302"/>
      <c r="K328" s="302"/>
      <c r="L328" s="302"/>
      <c r="M328" s="302"/>
      <c r="N328" s="302"/>
      <c r="O328" s="302"/>
      <c r="P328" s="302"/>
      <c r="Q328" s="302"/>
      <c r="R328" s="302"/>
      <c r="S328" s="302"/>
      <c r="T328" s="302"/>
      <c r="U328" s="302"/>
      <c r="V328" s="303"/>
      <c r="W328" s="303"/>
      <c r="X328" s="303"/>
      <c r="Y328" s="301" t="s">
        <v>247</v>
      </c>
      <c r="Z328" s="325">
        <v>80283.77</v>
      </c>
      <c r="AA328" s="377">
        <f>AA329</f>
        <v>0</v>
      </c>
      <c r="AB328" s="178"/>
      <c r="AC328" s="178"/>
      <c r="AD328" s="273" t="s">
        <v>247</v>
      </c>
    </row>
    <row r="329" spans="1:30" ht="200.25" customHeight="1" x14ac:dyDescent="0.3">
      <c r="A329" s="311" t="s">
        <v>717</v>
      </c>
      <c r="B329" s="216" t="s">
        <v>12</v>
      </c>
      <c r="C329" s="216" t="s">
        <v>121</v>
      </c>
      <c r="D329" s="216" t="s">
        <v>113</v>
      </c>
      <c r="E329" s="216" t="s">
        <v>718</v>
      </c>
      <c r="F329" s="216"/>
      <c r="G329" s="216"/>
      <c r="H329" s="216"/>
      <c r="I329" s="216"/>
      <c r="J329" s="216"/>
      <c r="K329" s="216"/>
      <c r="L329" s="216"/>
      <c r="M329" s="216"/>
      <c r="N329" s="216"/>
      <c r="O329" s="216"/>
      <c r="P329" s="216"/>
      <c r="Q329" s="216"/>
      <c r="R329" s="216"/>
      <c r="S329" s="216"/>
      <c r="T329" s="216"/>
      <c r="U329" s="216"/>
      <c r="V329" s="312"/>
      <c r="W329" s="312"/>
      <c r="X329" s="312"/>
      <c r="Y329" s="311" t="s">
        <v>427</v>
      </c>
      <c r="Z329" s="313">
        <v>80283.77</v>
      </c>
      <c r="AA329" s="321">
        <f>AA330</f>
        <v>0</v>
      </c>
      <c r="AB329" s="276"/>
      <c r="AC329" s="276"/>
      <c r="AD329" s="277" t="s">
        <v>427</v>
      </c>
    </row>
    <row r="330" spans="1:30" ht="84.75" customHeight="1" x14ac:dyDescent="0.3">
      <c r="A330" s="324" t="s">
        <v>428</v>
      </c>
      <c r="B330" s="316" t="s">
        <v>12</v>
      </c>
      <c r="C330" s="316" t="s">
        <v>121</v>
      </c>
      <c r="D330" s="316" t="s">
        <v>113</v>
      </c>
      <c r="E330" s="216" t="s">
        <v>718</v>
      </c>
      <c r="F330" s="316"/>
      <c r="G330" s="316"/>
      <c r="H330" s="316"/>
      <c r="I330" s="316"/>
      <c r="J330" s="316"/>
      <c r="K330" s="316"/>
      <c r="L330" s="316"/>
      <c r="M330" s="316"/>
      <c r="N330" s="316"/>
      <c r="O330" s="316"/>
      <c r="P330" s="316"/>
      <c r="Q330" s="316"/>
      <c r="R330" s="316"/>
      <c r="S330" s="316"/>
      <c r="T330" s="316" t="s">
        <v>429</v>
      </c>
      <c r="U330" s="316"/>
      <c r="V330" s="317"/>
      <c r="W330" s="317"/>
      <c r="X330" s="317"/>
      <c r="Y330" s="324" t="s">
        <v>428</v>
      </c>
      <c r="Z330" s="322">
        <v>80283.77</v>
      </c>
      <c r="AA330" s="319">
        <f>51963.84-51963.84</f>
        <v>0</v>
      </c>
      <c r="AB330" s="177"/>
      <c r="AC330" s="177"/>
      <c r="AD330" s="279" t="s">
        <v>428</v>
      </c>
    </row>
    <row r="331" spans="1:30" ht="111" customHeight="1" x14ac:dyDescent="0.3">
      <c r="A331" s="301" t="s">
        <v>430</v>
      </c>
      <c r="B331" s="302" t="s">
        <v>12</v>
      </c>
      <c r="C331" s="302" t="s">
        <v>122</v>
      </c>
      <c r="D331" s="302" t="s">
        <v>124</v>
      </c>
      <c r="E331" s="302"/>
      <c r="F331" s="302"/>
      <c r="G331" s="302"/>
      <c r="H331" s="302"/>
      <c r="I331" s="302"/>
      <c r="J331" s="302"/>
      <c r="K331" s="302"/>
      <c r="L331" s="302"/>
      <c r="M331" s="302"/>
      <c r="N331" s="302"/>
      <c r="O331" s="302"/>
      <c r="P331" s="302"/>
      <c r="Q331" s="302"/>
      <c r="R331" s="302"/>
      <c r="S331" s="302"/>
      <c r="T331" s="302"/>
      <c r="U331" s="302"/>
      <c r="V331" s="303"/>
      <c r="W331" s="303"/>
      <c r="X331" s="303"/>
      <c r="Y331" s="301" t="s">
        <v>430</v>
      </c>
      <c r="Z331" s="325">
        <f>Z332+Z335</f>
        <v>18000000</v>
      </c>
      <c r="AA331" s="305">
        <f>AA332+AA335</f>
        <v>18000000</v>
      </c>
      <c r="AB331" s="178"/>
      <c r="AC331" s="178"/>
      <c r="AD331" s="273" t="s">
        <v>430</v>
      </c>
    </row>
    <row r="332" spans="1:30" ht="74.45" customHeight="1" x14ac:dyDescent="0.3">
      <c r="A332" s="301" t="s">
        <v>160</v>
      </c>
      <c r="B332" s="302" t="s">
        <v>12</v>
      </c>
      <c r="C332" s="302" t="s">
        <v>122</v>
      </c>
      <c r="D332" s="302" t="s">
        <v>113</v>
      </c>
      <c r="E332" s="302"/>
      <c r="F332" s="302"/>
      <c r="G332" s="302"/>
      <c r="H332" s="302"/>
      <c r="I332" s="302"/>
      <c r="J332" s="302"/>
      <c r="K332" s="302"/>
      <c r="L332" s="302"/>
      <c r="M332" s="302"/>
      <c r="N332" s="302"/>
      <c r="O332" s="302"/>
      <c r="P332" s="302"/>
      <c r="Q332" s="302"/>
      <c r="R332" s="302"/>
      <c r="S332" s="302"/>
      <c r="T332" s="302"/>
      <c r="U332" s="302"/>
      <c r="V332" s="303"/>
      <c r="W332" s="303"/>
      <c r="X332" s="303"/>
      <c r="Y332" s="301" t="s">
        <v>160</v>
      </c>
      <c r="Z332" s="325">
        <v>18000000</v>
      </c>
      <c r="AA332" s="310">
        <f>AA333</f>
        <v>18000000</v>
      </c>
      <c r="AB332" s="178"/>
      <c r="AC332" s="178"/>
      <c r="AD332" s="273" t="s">
        <v>160</v>
      </c>
    </row>
    <row r="333" spans="1:30" ht="212.25" customHeight="1" x14ac:dyDescent="0.3">
      <c r="A333" s="331" t="s">
        <v>719</v>
      </c>
      <c r="B333" s="216" t="s">
        <v>12</v>
      </c>
      <c r="C333" s="216" t="s">
        <v>122</v>
      </c>
      <c r="D333" s="216" t="s">
        <v>113</v>
      </c>
      <c r="E333" s="216" t="s">
        <v>720</v>
      </c>
      <c r="F333" s="216"/>
      <c r="G333" s="216"/>
      <c r="H333" s="216"/>
      <c r="I333" s="216"/>
      <c r="J333" s="216"/>
      <c r="K333" s="216"/>
      <c r="L333" s="216"/>
      <c r="M333" s="216"/>
      <c r="N333" s="216"/>
      <c r="O333" s="216"/>
      <c r="P333" s="216"/>
      <c r="Q333" s="216"/>
      <c r="R333" s="216"/>
      <c r="S333" s="216"/>
      <c r="T333" s="216"/>
      <c r="U333" s="216"/>
      <c r="V333" s="312"/>
      <c r="W333" s="312"/>
      <c r="X333" s="312"/>
      <c r="Y333" s="331" t="s">
        <v>431</v>
      </c>
      <c r="Z333" s="313">
        <v>18000000</v>
      </c>
      <c r="AA333" s="314">
        <f>AA334</f>
        <v>18000000</v>
      </c>
      <c r="AB333" s="276"/>
      <c r="AC333" s="276"/>
      <c r="AD333" s="281" t="s">
        <v>431</v>
      </c>
    </row>
    <row r="334" spans="1:30" ht="104.25" customHeight="1" x14ac:dyDescent="0.3">
      <c r="A334" s="315" t="s">
        <v>551</v>
      </c>
      <c r="B334" s="316" t="s">
        <v>12</v>
      </c>
      <c r="C334" s="316" t="s">
        <v>122</v>
      </c>
      <c r="D334" s="316" t="s">
        <v>113</v>
      </c>
      <c r="E334" s="216" t="s">
        <v>720</v>
      </c>
      <c r="F334" s="316"/>
      <c r="G334" s="316"/>
      <c r="H334" s="316"/>
      <c r="I334" s="316"/>
      <c r="J334" s="316"/>
      <c r="K334" s="316"/>
      <c r="L334" s="316"/>
      <c r="M334" s="316"/>
      <c r="N334" s="316"/>
      <c r="O334" s="316"/>
      <c r="P334" s="316"/>
      <c r="Q334" s="316"/>
      <c r="R334" s="316"/>
      <c r="S334" s="316"/>
      <c r="T334" s="316" t="s">
        <v>433</v>
      </c>
      <c r="U334" s="316"/>
      <c r="V334" s="317"/>
      <c r="W334" s="317"/>
      <c r="X334" s="317"/>
      <c r="Y334" s="315" t="s">
        <v>432</v>
      </c>
      <c r="Z334" s="322">
        <v>18000000</v>
      </c>
      <c r="AA334" s="319">
        <v>18000000</v>
      </c>
      <c r="AB334" s="177"/>
      <c r="AC334" s="177"/>
      <c r="AD334" s="278" t="s">
        <v>432</v>
      </c>
    </row>
    <row r="335" spans="1:30" ht="48.75" hidden="1" customHeight="1" x14ac:dyDescent="0.3">
      <c r="A335" s="315"/>
      <c r="B335" s="316"/>
      <c r="C335" s="316"/>
      <c r="D335" s="316"/>
      <c r="E335" s="316"/>
      <c r="F335" s="316"/>
      <c r="G335" s="316"/>
      <c r="H335" s="316"/>
      <c r="I335" s="316"/>
      <c r="J335" s="316"/>
      <c r="K335" s="316"/>
      <c r="L335" s="316"/>
      <c r="M335" s="316"/>
      <c r="N335" s="316"/>
      <c r="O335" s="316"/>
      <c r="P335" s="316"/>
      <c r="Q335" s="316"/>
      <c r="R335" s="316"/>
      <c r="S335" s="316"/>
      <c r="T335" s="316"/>
      <c r="U335" s="316"/>
      <c r="V335" s="317"/>
      <c r="W335" s="317"/>
      <c r="X335" s="317"/>
      <c r="Y335" s="315"/>
      <c r="Z335" s="322"/>
      <c r="AA335" s="319"/>
      <c r="AB335" s="177"/>
      <c r="AC335" s="177"/>
      <c r="AD335" s="278"/>
    </row>
    <row r="336" spans="1:30" ht="172.5" hidden="1" customHeight="1" x14ac:dyDescent="0.3">
      <c r="A336" s="315"/>
      <c r="B336" s="316"/>
      <c r="C336" s="316"/>
      <c r="D336" s="316"/>
      <c r="E336" s="316"/>
      <c r="F336" s="316"/>
      <c r="G336" s="316"/>
      <c r="H336" s="316"/>
      <c r="I336" s="316"/>
      <c r="J336" s="316"/>
      <c r="K336" s="316"/>
      <c r="L336" s="316"/>
      <c r="M336" s="316"/>
      <c r="N336" s="316"/>
      <c r="O336" s="316"/>
      <c r="P336" s="316"/>
      <c r="Q336" s="316"/>
      <c r="R336" s="316"/>
      <c r="S336" s="316"/>
      <c r="T336" s="316"/>
      <c r="U336" s="316"/>
      <c r="V336" s="317"/>
      <c r="W336" s="317"/>
      <c r="X336" s="317"/>
      <c r="Y336" s="315"/>
      <c r="Z336" s="322"/>
      <c r="AA336" s="319"/>
      <c r="AB336" s="177"/>
      <c r="AC336" s="177"/>
      <c r="AD336" s="278"/>
    </row>
    <row r="337" spans="1:30" ht="39" hidden="1" customHeight="1" x14ac:dyDescent="0.3">
      <c r="A337" s="358"/>
      <c r="B337" s="316"/>
      <c r="C337" s="316"/>
      <c r="D337" s="316"/>
      <c r="E337" s="316"/>
      <c r="F337" s="316"/>
      <c r="G337" s="316"/>
      <c r="H337" s="316"/>
      <c r="I337" s="316"/>
      <c r="J337" s="316"/>
      <c r="K337" s="316"/>
      <c r="L337" s="316"/>
      <c r="M337" s="316"/>
      <c r="N337" s="316"/>
      <c r="O337" s="316"/>
      <c r="P337" s="316"/>
      <c r="Q337" s="316"/>
      <c r="R337" s="316"/>
      <c r="S337" s="316"/>
      <c r="T337" s="316"/>
      <c r="U337" s="316"/>
      <c r="V337" s="317"/>
      <c r="W337" s="317"/>
      <c r="X337" s="317"/>
      <c r="Y337" s="315"/>
      <c r="Z337" s="322"/>
      <c r="AA337" s="319"/>
      <c r="AB337" s="177"/>
      <c r="AC337" s="177"/>
      <c r="AD337" s="278"/>
    </row>
    <row r="338" spans="1:30" ht="33" hidden="1" customHeight="1" x14ac:dyDescent="0.3">
      <c r="A338" s="358"/>
      <c r="B338" s="316"/>
      <c r="C338" s="316"/>
      <c r="D338" s="316"/>
      <c r="E338" s="316"/>
      <c r="F338" s="316"/>
      <c r="G338" s="316"/>
      <c r="H338" s="316"/>
      <c r="I338" s="316"/>
      <c r="J338" s="316"/>
      <c r="K338" s="316"/>
      <c r="L338" s="316"/>
      <c r="M338" s="316"/>
      <c r="N338" s="316"/>
      <c r="O338" s="316"/>
      <c r="P338" s="316"/>
      <c r="Q338" s="316"/>
      <c r="R338" s="316"/>
      <c r="S338" s="316"/>
      <c r="T338" s="316"/>
      <c r="U338" s="316"/>
      <c r="V338" s="317"/>
      <c r="W338" s="317"/>
      <c r="X338" s="317"/>
      <c r="Y338" s="315"/>
      <c r="Z338" s="322"/>
      <c r="AA338" s="319"/>
      <c r="AB338" s="177"/>
      <c r="AC338" s="177"/>
      <c r="AD338" s="278"/>
    </row>
    <row r="339" spans="1:30" ht="51" hidden="1" customHeight="1" x14ac:dyDescent="0.3">
      <c r="A339" s="358"/>
      <c r="B339" s="316"/>
      <c r="C339" s="316"/>
      <c r="D339" s="316"/>
      <c r="E339" s="316"/>
      <c r="F339" s="316"/>
      <c r="G339" s="316"/>
      <c r="H339" s="316"/>
      <c r="I339" s="316"/>
      <c r="J339" s="316"/>
      <c r="K339" s="316"/>
      <c r="L339" s="316"/>
      <c r="M339" s="316"/>
      <c r="N339" s="316"/>
      <c r="O339" s="316"/>
      <c r="P339" s="316"/>
      <c r="Q339" s="316"/>
      <c r="R339" s="316"/>
      <c r="S339" s="316"/>
      <c r="T339" s="316"/>
      <c r="U339" s="316"/>
      <c r="V339" s="317"/>
      <c r="W339" s="317"/>
      <c r="X339" s="317"/>
      <c r="Y339" s="315"/>
      <c r="Z339" s="322"/>
      <c r="AA339" s="319"/>
      <c r="AB339" s="177"/>
      <c r="AC339" s="177"/>
      <c r="AD339" s="278"/>
    </row>
    <row r="340" spans="1:30" ht="168.75" hidden="1" customHeight="1" x14ac:dyDescent="0.3">
      <c r="A340" s="315"/>
      <c r="B340" s="316"/>
      <c r="C340" s="316"/>
      <c r="D340" s="316"/>
      <c r="E340" s="316"/>
      <c r="F340" s="316"/>
      <c r="G340" s="316"/>
      <c r="H340" s="316"/>
      <c r="I340" s="316"/>
      <c r="J340" s="316"/>
      <c r="K340" s="316"/>
      <c r="L340" s="316"/>
      <c r="M340" s="316"/>
      <c r="N340" s="316"/>
      <c r="O340" s="316"/>
      <c r="P340" s="316"/>
      <c r="Q340" s="316"/>
      <c r="R340" s="316"/>
      <c r="S340" s="316"/>
      <c r="T340" s="316"/>
      <c r="U340" s="316"/>
      <c r="V340" s="317"/>
      <c r="W340" s="317"/>
      <c r="X340" s="317"/>
      <c r="Y340" s="315"/>
      <c r="Z340" s="322"/>
      <c r="AA340" s="319"/>
      <c r="AB340" s="177"/>
      <c r="AC340" s="177"/>
      <c r="AD340" s="278"/>
    </row>
    <row r="341" spans="1:30" ht="36" hidden="1" customHeight="1" x14ac:dyDescent="0.3">
      <c r="A341" s="358"/>
      <c r="B341" s="316"/>
      <c r="C341" s="316"/>
      <c r="D341" s="316"/>
      <c r="E341" s="316"/>
      <c r="F341" s="316"/>
      <c r="G341" s="316"/>
      <c r="H341" s="316"/>
      <c r="I341" s="316"/>
      <c r="J341" s="316"/>
      <c r="K341" s="316"/>
      <c r="L341" s="316"/>
      <c r="M341" s="316"/>
      <c r="N341" s="316"/>
      <c r="O341" s="316"/>
      <c r="P341" s="316"/>
      <c r="Q341" s="316"/>
      <c r="R341" s="316"/>
      <c r="S341" s="316"/>
      <c r="T341" s="316"/>
      <c r="U341" s="316"/>
      <c r="V341" s="317"/>
      <c r="W341" s="317"/>
      <c r="X341" s="317"/>
      <c r="Y341" s="315"/>
      <c r="Z341" s="322"/>
      <c r="AA341" s="319"/>
      <c r="AB341" s="177"/>
      <c r="AC341" s="177"/>
      <c r="AD341" s="278"/>
    </row>
    <row r="342" spans="1:30" ht="2.25" hidden="1" customHeight="1" x14ac:dyDescent="0.3">
      <c r="A342" s="358"/>
      <c r="B342" s="316"/>
      <c r="C342" s="316"/>
      <c r="D342" s="316"/>
      <c r="E342" s="316"/>
      <c r="F342" s="316"/>
      <c r="G342" s="316"/>
      <c r="H342" s="316"/>
      <c r="I342" s="316"/>
      <c r="J342" s="316"/>
      <c r="K342" s="316"/>
      <c r="L342" s="316"/>
      <c r="M342" s="316"/>
      <c r="N342" s="316"/>
      <c r="O342" s="316"/>
      <c r="P342" s="316"/>
      <c r="Q342" s="316"/>
      <c r="R342" s="316"/>
      <c r="S342" s="316"/>
      <c r="T342" s="316"/>
      <c r="U342" s="316"/>
      <c r="V342" s="317"/>
      <c r="W342" s="317"/>
      <c r="X342" s="317"/>
      <c r="Y342" s="315"/>
      <c r="Z342" s="322"/>
      <c r="AA342" s="319"/>
      <c r="AB342" s="177"/>
      <c r="AC342" s="177"/>
      <c r="AD342" s="278"/>
    </row>
    <row r="343" spans="1:30" ht="43.5" hidden="1" customHeight="1" x14ac:dyDescent="0.3">
      <c r="A343" s="358"/>
      <c r="B343" s="316"/>
      <c r="C343" s="316"/>
      <c r="D343" s="316"/>
      <c r="E343" s="316"/>
      <c r="F343" s="316"/>
      <c r="G343" s="316"/>
      <c r="H343" s="316"/>
      <c r="I343" s="316"/>
      <c r="J343" s="316"/>
      <c r="K343" s="316"/>
      <c r="L343" s="316"/>
      <c r="M343" s="316"/>
      <c r="N343" s="316"/>
      <c r="O343" s="316"/>
      <c r="P343" s="316"/>
      <c r="Q343" s="316"/>
      <c r="R343" s="316"/>
      <c r="S343" s="316"/>
      <c r="T343" s="316"/>
      <c r="U343" s="316"/>
      <c r="V343" s="317"/>
      <c r="W343" s="317"/>
      <c r="X343" s="317"/>
      <c r="Y343" s="315"/>
      <c r="Z343" s="322"/>
      <c r="AA343" s="319"/>
      <c r="AB343" s="177"/>
      <c r="AC343" s="177"/>
      <c r="AD343" s="278"/>
    </row>
    <row r="344" spans="1:30" ht="38.25" hidden="1" customHeight="1" x14ac:dyDescent="0.3">
      <c r="A344" s="358"/>
      <c r="B344" s="316"/>
      <c r="C344" s="316"/>
      <c r="D344" s="316"/>
      <c r="E344" s="316"/>
      <c r="F344" s="316"/>
      <c r="G344" s="316"/>
      <c r="H344" s="316"/>
      <c r="I344" s="316"/>
      <c r="J344" s="316"/>
      <c r="K344" s="316"/>
      <c r="L344" s="316"/>
      <c r="M344" s="316"/>
      <c r="N344" s="316"/>
      <c r="O344" s="316"/>
      <c r="P344" s="316"/>
      <c r="Q344" s="316"/>
      <c r="R344" s="316"/>
      <c r="S344" s="316"/>
      <c r="T344" s="316"/>
      <c r="U344" s="316"/>
      <c r="V344" s="317"/>
      <c r="W344" s="317"/>
      <c r="X344" s="317"/>
      <c r="Y344" s="315"/>
      <c r="Z344" s="322"/>
      <c r="AA344" s="319"/>
      <c r="AB344" s="177"/>
      <c r="AC344" s="177"/>
      <c r="AD344" s="278"/>
    </row>
    <row r="345" spans="1:30" ht="39" hidden="1" customHeight="1" x14ac:dyDescent="0.3">
      <c r="A345" s="358"/>
      <c r="B345" s="316"/>
      <c r="C345" s="316"/>
      <c r="D345" s="316"/>
      <c r="E345" s="316"/>
      <c r="F345" s="316"/>
      <c r="G345" s="316"/>
      <c r="H345" s="316"/>
      <c r="I345" s="316"/>
      <c r="J345" s="316"/>
      <c r="K345" s="316"/>
      <c r="L345" s="316"/>
      <c r="M345" s="316"/>
      <c r="N345" s="316"/>
      <c r="O345" s="316"/>
      <c r="P345" s="316"/>
      <c r="Q345" s="316"/>
      <c r="R345" s="316"/>
      <c r="S345" s="316"/>
      <c r="T345" s="316"/>
      <c r="U345" s="316"/>
      <c r="V345" s="317"/>
      <c r="W345" s="317"/>
      <c r="X345" s="317"/>
      <c r="Y345" s="315"/>
      <c r="Z345" s="322"/>
      <c r="AA345" s="319"/>
      <c r="AB345" s="177"/>
      <c r="AC345" s="177"/>
      <c r="AD345" s="278"/>
    </row>
    <row r="346" spans="1:30" ht="39" hidden="1" customHeight="1" x14ac:dyDescent="0.3">
      <c r="A346" s="358"/>
      <c r="B346" s="316"/>
      <c r="C346" s="316"/>
      <c r="D346" s="316"/>
      <c r="E346" s="316"/>
      <c r="F346" s="316"/>
      <c r="G346" s="316"/>
      <c r="H346" s="316"/>
      <c r="I346" s="316"/>
      <c r="J346" s="316"/>
      <c r="K346" s="316"/>
      <c r="L346" s="316"/>
      <c r="M346" s="316"/>
      <c r="N346" s="316"/>
      <c r="O346" s="316"/>
      <c r="P346" s="316"/>
      <c r="Q346" s="316"/>
      <c r="R346" s="316"/>
      <c r="S346" s="316"/>
      <c r="T346" s="316"/>
      <c r="U346" s="316"/>
      <c r="V346" s="317"/>
      <c r="W346" s="317"/>
      <c r="X346" s="317"/>
      <c r="Y346" s="315"/>
      <c r="Z346" s="322"/>
      <c r="AA346" s="319"/>
      <c r="AB346" s="177"/>
      <c r="AC346" s="177"/>
      <c r="AD346" s="278"/>
    </row>
    <row r="347" spans="1:30" ht="39" hidden="1" customHeight="1" x14ac:dyDescent="0.3">
      <c r="A347" s="358"/>
      <c r="B347" s="316"/>
      <c r="C347" s="316"/>
      <c r="D347" s="316"/>
      <c r="E347" s="316"/>
      <c r="F347" s="316"/>
      <c r="G347" s="316"/>
      <c r="H347" s="316"/>
      <c r="I347" s="316"/>
      <c r="J347" s="316"/>
      <c r="K347" s="316"/>
      <c r="L347" s="316"/>
      <c r="M347" s="316"/>
      <c r="N347" s="316"/>
      <c r="O347" s="316"/>
      <c r="P347" s="316"/>
      <c r="Q347" s="316"/>
      <c r="R347" s="316"/>
      <c r="S347" s="316"/>
      <c r="T347" s="316"/>
      <c r="U347" s="316"/>
      <c r="V347" s="317"/>
      <c r="W347" s="317"/>
      <c r="X347" s="317"/>
      <c r="Y347" s="315"/>
      <c r="Z347" s="322"/>
      <c r="AA347" s="319"/>
      <c r="AB347" s="177"/>
      <c r="AC347" s="177"/>
      <c r="AD347" s="278"/>
    </row>
    <row r="348" spans="1:30" ht="39" hidden="1" customHeight="1" x14ac:dyDescent="0.3">
      <c r="A348" s="358"/>
      <c r="B348" s="316"/>
      <c r="C348" s="316"/>
      <c r="D348" s="316"/>
      <c r="E348" s="316"/>
      <c r="F348" s="316"/>
      <c r="G348" s="316"/>
      <c r="H348" s="316"/>
      <c r="I348" s="316"/>
      <c r="J348" s="316"/>
      <c r="K348" s="316"/>
      <c r="L348" s="316"/>
      <c r="M348" s="316"/>
      <c r="N348" s="316"/>
      <c r="O348" s="316"/>
      <c r="P348" s="316"/>
      <c r="Q348" s="316"/>
      <c r="R348" s="316"/>
      <c r="S348" s="316"/>
      <c r="T348" s="316"/>
      <c r="U348" s="316"/>
      <c r="V348" s="317"/>
      <c r="W348" s="317"/>
      <c r="X348" s="317"/>
      <c r="Y348" s="315"/>
      <c r="Z348" s="322"/>
      <c r="AA348" s="319"/>
      <c r="AB348" s="177"/>
      <c r="AC348" s="177"/>
      <c r="AD348" s="278"/>
    </row>
    <row r="349" spans="1:30" ht="39" hidden="1" customHeight="1" x14ac:dyDescent="0.3">
      <c r="A349" s="358"/>
      <c r="B349" s="316"/>
      <c r="C349" s="316"/>
      <c r="D349" s="316"/>
      <c r="E349" s="316"/>
      <c r="F349" s="316"/>
      <c r="G349" s="316"/>
      <c r="H349" s="316"/>
      <c r="I349" s="316"/>
      <c r="J349" s="316"/>
      <c r="K349" s="316"/>
      <c r="L349" s="316"/>
      <c r="M349" s="316"/>
      <c r="N349" s="316"/>
      <c r="O349" s="316"/>
      <c r="P349" s="316"/>
      <c r="Q349" s="316"/>
      <c r="R349" s="316"/>
      <c r="S349" s="316"/>
      <c r="T349" s="316"/>
      <c r="U349" s="316"/>
      <c r="V349" s="317"/>
      <c r="W349" s="317"/>
      <c r="X349" s="317"/>
      <c r="Y349" s="315"/>
      <c r="Z349" s="322"/>
      <c r="AA349" s="319"/>
      <c r="AB349" s="177"/>
      <c r="AC349" s="177"/>
      <c r="AD349" s="278"/>
    </row>
    <row r="350" spans="1:30" ht="39" hidden="1" customHeight="1" x14ac:dyDescent="0.3">
      <c r="A350" s="358"/>
      <c r="B350" s="316"/>
      <c r="C350" s="316"/>
      <c r="D350" s="316"/>
      <c r="E350" s="316"/>
      <c r="F350" s="316"/>
      <c r="G350" s="316"/>
      <c r="H350" s="316"/>
      <c r="I350" s="316"/>
      <c r="J350" s="316"/>
      <c r="K350" s="316"/>
      <c r="L350" s="316"/>
      <c r="M350" s="316"/>
      <c r="N350" s="316"/>
      <c r="O350" s="316"/>
      <c r="P350" s="316"/>
      <c r="Q350" s="316"/>
      <c r="R350" s="316"/>
      <c r="S350" s="316"/>
      <c r="T350" s="316"/>
      <c r="U350" s="316"/>
      <c r="V350" s="317"/>
      <c r="W350" s="317"/>
      <c r="X350" s="317"/>
      <c r="Y350" s="315"/>
      <c r="Z350" s="322"/>
      <c r="AA350" s="319"/>
      <c r="AB350" s="177"/>
      <c r="AC350" s="177"/>
      <c r="AD350" s="278"/>
    </row>
    <row r="351" spans="1:30" ht="41.25" hidden="1" customHeight="1" x14ac:dyDescent="0.3">
      <c r="A351" s="358"/>
      <c r="B351" s="316"/>
      <c r="C351" s="316"/>
      <c r="D351" s="316"/>
      <c r="E351" s="316"/>
      <c r="F351" s="316"/>
      <c r="G351" s="316"/>
      <c r="H351" s="316"/>
      <c r="I351" s="316"/>
      <c r="J351" s="316"/>
      <c r="K351" s="316"/>
      <c r="L351" s="316"/>
      <c r="M351" s="316"/>
      <c r="N351" s="316"/>
      <c r="O351" s="316"/>
      <c r="P351" s="316"/>
      <c r="Q351" s="316"/>
      <c r="R351" s="316"/>
      <c r="S351" s="316"/>
      <c r="T351" s="316"/>
      <c r="U351" s="316"/>
      <c r="V351" s="317"/>
      <c r="W351" s="317"/>
      <c r="X351" s="317"/>
      <c r="Y351" s="315"/>
      <c r="Z351" s="322"/>
      <c r="AA351" s="319"/>
      <c r="AB351" s="177"/>
      <c r="AC351" s="177"/>
      <c r="AD351" s="278"/>
    </row>
    <row r="352" spans="1:30" ht="201" hidden="1" customHeight="1" x14ac:dyDescent="0.3">
      <c r="A352" s="384"/>
      <c r="B352" s="375"/>
      <c r="C352" s="316"/>
      <c r="D352" s="316"/>
      <c r="E352" s="316"/>
      <c r="F352" s="316"/>
      <c r="G352" s="316"/>
      <c r="H352" s="316"/>
      <c r="I352" s="316"/>
      <c r="J352" s="316"/>
      <c r="K352" s="316"/>
      <c r="L352" s="316"/>
      <c r="M352" s="316"/>
      <c r="N352" s="316"/>
      <c r="O352" s="316"/>
      <c r="P352" s="316"/>
      <c r="Q352" s="316"/>
      <c r="R352" s="316"/>
      <c r="S352" s="316"/>
      <c r="T352" s="316"/>
      <c r="U352" s="316"/>
      <c r="V352" s="317"/>
      <c r="W352" s="317"/>
      <c r="X352" s="317"/>
      <c r="Y352" s="315"/>
      <c r="Z352" s="322"/>
      <c r="AA352" s="319"/>
      <c r="AB352" s="177"/>
      <c r="AC352" s="177"/>
      <c r="AD352" s="278"/>
    </row>
    <row r="353" spans="1:32" ht="43.5" hidden="1" customHeight="1" x14ac:dyDescent="0.3">
      <c r="A353" s="358"/>
      <c r="B353" s="375"/>
      <c r="C353" s="316"/>
      <c r="D353" s="316"/>
      <c r="E353" s="316"/>
      <c r="F353" s="316"/>
      <c r="G353" s="316"/>
      <c r="H353" s="316"/>
      <c r="I353" s="316"/>
      <c r="J353" s="316"/>
      <c r="K353" s="316"/>
      <c r="L353" s="316"/>
      <c r="M353" s="316"/>
      <c r="N353" s="316"/>
      <c r="O353" s="316"/>
      <c r="P353" s="316"/>
      <c r="Q353" s="316"/>
      <c r="R353" s="316"/>
      <c r="S353" s="316"/>
      <c r="T353" s="316"/>
      <c r="U353" s="316"/>
      <c r="V353" s="317"/>
      <c r="W353" s="317"/>
      <c r="X353" s="317"/>
      <c r="Y353" s="315"/>
      <c r="Z353" s="322"/>
      <c r="AA353" s="319"/>
      <c r="AB353" s="177"/>
      <c r="AC353" s="177"/>
      <c r="AD353" s="278"/>
    </row>
    <row r="354" spans="1:32" ht="43.5" hidden="1" customHeight="1" x14ac:dyDescent="0.3">
      <c r="A354" s="358"/>
      <c r="B354" s="375"/>
      <c r="C354" s="316"/>
      <c r="D354" s="316"/>
      <c r="E354" s="316"/>
      <c r="F354" s="316"/>
      <c r="G354" s="316"/>
      <c r="H354" s="316"/>
      <c r="I354" s="316"/>
      <c r="J354" s="316"/>
      <c r="K354" s="316"/>
      <c r="L354" s="316"/>
      <c r="M354" s="316"/>
      <c r="N354" s="316"/>
      <c r="O354" s="316"/>
      <c r="P354" s="316"/>
      <c r="Q354" s="316"/>
      <c r="R354" s="316"/>
      <c r="S354" s="316"/>
      <c r="T354" s="316"/>
      <c r="U354" s="316"/>
      <c r="V354" s="317"/>
      <c r="W354" s="317"/>
      <c r="X354" s="317"/>
      <c r="Y354" s="315"/>
      <c r="Z354" s="322"/>
      <c r="AA354" s="319"/>
      <c r="AB354" s="177"/>
      <c r="AC354" s="177"/>
      <c r="AD354" s="278"/>
    </row>
    <row r="355" spans="1:32" ht="43.5" hidden="1" customHeight="1" x14ac:dyDescent="0.3">
      <c r="A355" s="358"/>
      <c r="B355" s="375"/>
      <c r="C355" s="316"/>
      <c r="D355" s="316"/>
      <c r="E355" s="316"/>
      <c r="F355" s="316"/>
      <c r="G355" s="316"/>
      <c r="H355" s="316"/>
      <c r="I355" s="316"/>
      <c r="J355" s="316"/>
      <c r="K355" s="316"/>
      <c r="L355" s="316"/>
      <c r="M355" s="316"/>
      <c r="N355" s="316"/>
      <c r="O355" s="316"/>
      <c r="P355" s="316"/>
      <c r="Q355" s="316"/>
      <c r="R355" s="316"/>
      <c r="S355" s="316"/>
      <c r="T355" s="316"/>
      <c r="U355" s="316"/>
      <c r="V355" s="317"/>
      <c r="W355" s="317"/>
      <c r="X355" s="317"/>
      <c r="Y355" s="315"/>
      <c r="Z355" s="322"/>
      <c r="AA355" s="319"/>
      <c r="AB355" s="177"/>
      <c r="AC355" s="177"/>
      <c r="AD355" s="278"/>
    </row>
    <row r="356" spans="1:32" ht="168.75" hidden="1" customHeight="1" x14ac:dyDescent="0.3">
      <c r="A356" s="380"/>
      <c r="B356" s="316"/>
      <c r="C356" s="316"/>
      <c r="D356" s="316"/>
      <c r="E356" s="316"/>
      <c r="F356" s="316"/>
      <c r="G356" s="316"/>
      <c r="H356" s="316"/>
      <c r="I356" s="316"/>
      <c r="J356" s="316"/>
      <c r="K356" s="316"/>
      <c r="L356" s="316"/>
      <c r="M356" s="316"/>
      <c r="N356" s="316"/>
      <c r="O356" s="316"/>
      <c r="P356" s="316"/>
      <c r="Q356" s="316"/>
      <c r="R356" s="316"/>
      <c r="S356" s="316"/>
      <c r="T356" s="316"/>
      <c r="U356" s="316"/>
      <c r="V356" s="317"/>
      <c r="W356" s="317"/>
      <c r="X356" s="317"/>
      <c r="Y356" s="315"/>
      <c r="Z356" s="322"/>
      <c r="AA356" s="319"/>
      <c r="AB356" s="177"/>
      <c r="AC356" s="177"/>
      <c r="AD356" s="278"/>
    </row>
    <row r="357" spans="1:32" ht="33.75" hidden="1" customHeight="1" x14ac:dyDescent="0.3">
      <c r="A357" s="385"/>
      <c r="B357" s="316"/>
      <c r="C357" s="316"/>
      <c r="D357" s="316"/>
      <c r="E357" s="316"/>
      <c r="F357" s="316"/>
      <c r="G357" s="316"/>
      <c r="H357" s="316"/>
      <c r="I357" s="316"/>
      <c r="J357" s="316"/>
      <c r="K357" s="316"/>
      <c r="L357" s="316"/>
      <c r="M357" s="316"/>
      <c r="N357" s="316"/>
      <c r="O357" s="316"/>
      <c r="P357" s="316"/>
      <c r="Q357" s="316"/>
      <c r="R357" s="316"/>
      <c r="S357" s="316"/>
      <c r="T357" s="316"/>
      <c r="U357" s="316"/>
      <c r="V357" s="317"/>
      <c r="W357" s="317"/>
      <c r="X357" s="317"/>
      <c r="Y357" s="315"/>
      <c r="Z357" s="322"/>
      <c r="AA357" s="319"/>
      <c r="AB357" s="177"/>
      <c r="AC357" s="177"/>
      <c r="AD357" s="278"/>
    </row>
    <row r="358" spans="1:32" ht="26.25" hidden="1" customHeight="1" x14ac:dyDescent="0.3">
      <c r="A358" s="358"/>
      <c r="B358" s="375"/>
      <c r="C358" s="316"/>
      <c r="D358" s="316"/>
      <c r="E358" s="316"/>
      <c r="F358" s="316"/>
      <c r="G358" s="316"/>
      <c r="H358" s="316"/>
      <c r="I358" s="316"/>
      <c r="J358" s="316"/>
      <c r="K358" s="316"/>
      <c r="L358" s="316"/>
      <c r="M358" s="316"/>
      <c r="N358" s="316"/>
      <c r="O358" s="316"/>
      <c r="P358" s="316"/>
      <c r="Q358" s="316"/>
      <c r="R358" s="316"/>
      <c r="S358" s="316"/>
      <c r="T358" s="316"/>
      <c r="U358" s="316"/>
      <c r="V358" s="317"/>
      <c r="W358" s="317"/>
      <c r="X358" s="317"/>
      <c r="Y358" s="315"/>
      <c r="Z358" s="322"/>
      <c r="AA358" s="319"/>
      <c r="AB358" s="177"/>
      <c r="AC358" s="177"/>
      <c r="AD358" s="278"/>
    </row>
    <row r="359" spans="1:32" ht="36.75" hidden="1" customHeight="1" x14ac:dyDescent="0.3">
      <c r="A359" s="358"/>
      <c r="B359" s="316"/>
      <c r="C359" s="316"/>
      <c r="D359" s="316"/>
      <c r="E359" s="316"/>
      <c r="F359" s="316"/>
      <c r="G359" s="316"/>
      <c r="H359" s="316"/>
      <c r="I359" s="316"/>
      <c r="J359" s="316"/>
      <c r="K359" s="316"/>
      <c r="L359" s="316"/>
      <c r="M359" s="316"/>
      <c r="N359" s="316"/>
      <c r="O359" s="316"/>
      <c r="P359" s="316"/>
      <c r="Q359" s="316"/>
      <c r="R359" s="316"/>
      <c r="S359" s="316"/>
      <c r="T359" s="316"/>
      <c r="U359" s="316"/>
      <c r="V359" s="317"/>
      <c r="W359" s="317"/>
      <c r="X359" s="317"/>
      <c r="Y359" s="315"/>
      <c r="Z359" s="322"/>
      <c r="AA359" s="319"/>
      <c r="AB359" s="177"/>
      <c r="AC359" s="177"/>
      <c r="AD359" s="278"/>
    </row>
    <row r="360" spans="1:32" ht="3" hidden="1" customHeight="1" x14ac:dyDescent="0.3">
      <c r="A360" s="335"/>
      <c r="B360" s="316"/>
      <c r="C360" s="316"/>
      <c r="D360" s="316"/>
      <c r="E360" s="316"/>
      <c r="F360" s="316"/>
      <c r="G360" s="316"/>
      <c r="H360" s="316"/>
      <c r="I360" s="316"/>
      <c r="J360" s="316"/>
      <c r="K360" s="316"/>
      <c r="L360" s="316"/>
      <c r="M360" s="316"/>
      <c r="N360" s="316"/>
      <c r="O360" s="316"/>
      <c r="P360" s="316"/>
      <c r="Q360" s="316"/>
      <c r="R360" s="316"/>
      <c r="S360" s="316"/>
      <c r="T360" s="316"/>
      <c r="U360" s="316"/>
      <c r="V360" s="317"/>
      <c r="W360" s="317"/>
      <c r="X360" s="317"/>
      <c r="Y360" s="315"/>
      <c r="Z360" s="322"/>
      <c r="AA360" s="319"/>
      <c r="AB360" s="177"/>
      <c r="AC360" s="177"/>
      <c r="AD360" s="278"/>
    </row>
    <row r="361" spans="1:32" ht="44.25" hidden="1" customHeight="1" x14ac:dyDescent="0.3">
      <c r="A361" s="358"/>
      <c r="B361" s="375"/>
      <c r="C361" s="316"/>
      <c r="D361" s="316"/>
      <c r="E361" s="316"/>
      <c r="F361" s="316"/>
      <c r="G361" s="316"/>
      <c r="H361" s="316"/>
      <c r="I361" s="316"/>
      <c r="J361" s="316"/>
      <c r="K361" s="316"/>
      <c r="L361" s="316"/>
      <c r="M361" s="316"/>
      <c r="N361" s="316"/>
      <c r="O361" s="316"/>
      <c r="P361" s="316"/>
      <c r="Q361" s="316"/>
      <c r="R361" s="316"/>
      <c r="S361" s="316"/>
      <c r="T361" s="316"/>
      <c r="U361" s="316"/>
      <c r="V361" s="317"/>
      <c r="W361" s="317"/>
      <c r="X361" s="317"/>
      <c r="Y361" s="315"/>
      <c r="Z361" s="322"/>
      <c r="AA361" s="319"/>
      <c r="AB361" s="177"/>
      <c r="AC361" s="177"/>
      <c r="AD361" s="278"/>
    </row>
    <row r="362" spans="1:32" ht="44.25" hidden="1" customHeight="1" x14ac:dyDescent="0.3">
      <c r="A362" s="358"/>
      <c r="B362" s="375"/>
      <c r="C362" s="316"/>
      <c r="D362" s="316"/>
      <c r="E362" s="316"/>
      <c r="F362" s="316"/>
      <c r="G362" s="316"/>
      <c r="H362" s="316"/>
      <c r="I362" s="316"/>
      <c r="J362" s="316"/>
      <c r="K362" s="316"/>
      <c r="L362" s="316"/>
      <c r="M362" s="316"/>
      <c r="N362" s="316"/>
      <c r="O362" s="316"/>
      <c r="P362" s="316"/>
      <c r="Q362" s="316"/>
      <c r="R362" s="316"/>
      <c r="S362" s="316"/>
      <c r="T362" s="316"/>
      <c r="U362" s="316"/>
      <c r="V362" s="317"/>
      <c r="W362" s="317"/>
      <c r="X362" s="317"/>
      <c r="Y362" s="315"/>
      <c r="Z362" s="322"/>
      <c r="AA362" s="319"/>
      <c r="AB362" s="177"/>
      <c r="AC362" s="177"/>
      <c r="AD362" s="278"/>
    </row>
    <row r="363" spans="1:32" ht="36.75" hidden="1" customHeight="1" x14ac:dyDescent="0.3">
      <c r="A363" s="358"/>
      <c r="B363" s="375"/>
      <c r="C363" s="316"/>
      <c r="D363" s="316"/>
      <c r="E363" s="316"/>
      <c r="F363" s="316"/>
      <c r="G363" s="316"/>
      <c r="H363" s="316"/>
      <c r="I363" s="316"/>
      <c r="J363" s="316"/>
      <c r="K363" s="316"/>
      <c r="L363" s="316"/>
      <c r="M363" s="316"/>
      <c r="N363" s="316"/>
      <c r="O363" s="316"/>
      <c r="P363" s="316"/>
      <c r="Q363" s="316"/>
      <c r="R363" s="316"/>
      <c r="S363" s="316"/>
      <c r="T363" s="316"/>
      <c r="U363" s="316"/>
      <c r="V363" s="317"/>
      <c r="W363" s="317"/>
      <c r="X363" s="317"/>
      <c r="Y363" s="315"/>
      <c r="Z363" s="322"/>
      <c r="AA363" s="319"/>
      <c r="AB363" s="177"/>
      <c r="AC363" s="177"/>
      <c r="AD363" s="278"/>
    </row>
    <row r="364" spans="1:32" ht="36.75" hidden="1" customHeight="1" x14ac:dyDescent="0.3">
      <c r="A364" s="385"/>
      <c r="B364" s="375"/>
      <c r="C364" s="316"/>
      <c r="D364" s="316"/>
      <c r="E364" s="316"/>
      <c r="F364" s="316"/>
      <c r="G364" s="316"/>
      <c r="H364" s="316"/>
      <c r="I364" s="316"/>
      <c r="J364" s="316"/>
      <c r="K364" s="316"/>
      <c r="L364" s="316"/>
      <c r="M364" s="316"/>
      <c r="N364" s="316"/>
      <c r="O364" s="316"/>
      <c r="P364" s="316"/>
      <c r="Q364" s="316"/>
      <c r="R364" s="316"/>
      <c r="S364" s="316"/>
      <c r="T364" s="316"/>
      <c r="U364" s="316"/>
      <c r="V364" s="317"/>
      <c r="W364" s="317"/>
      <c r="X364" s="317"/>
      <c r="Y364" s="315"/>
      <c r="Z364" s="322"/>
      <c r="AA364" s="319"/>
      <c r="AB364" s="177"/>
      <c r="AC364" s="177"/>
      <c r="AD364" s="278"/>
    </row>
    <row r="365" spans="1:32" ht="69" customHeight="1" x14ac:dyDescent="0.3">
      <c r="A365" s="386" t="s">
        <v>1152</v>
      </c>
      <c r="B365" s="387" t="s">
        <v>14</v>
      </c>
      <c r="C365" s="302"/>
      <c r="D365" s="302"/>
      <c r="E365" s="302"/>
      <c r="F365" s="302"/>
      <c r="G365" s="302"/>
      <c r="H365" s="302"/>
      <c r="I365" s="302"/>
      <c r="J365" s="302"/>
      <c r="K365" s="302"/>
      <c r="L365" s="302"/>
      <c r="M365" s="302"/>
      <c r="N365" s="302"/>
      <c r="O365" s="302"/>
      <c r="P365" s="302"/>
      <c r="Q365" s="302"/>
      <c r="R365" s="302"/>
      <c r="S365" s="302"/>
      <c r="T365" s="302"/>
      <c r="U365" s="302"/>
      <c r="V365" s="303"/>
      <c r="W365" s="303"/>
      <c r="X365" s="303"/>
      <c r="Y365" s="301" t="s">
        <v>434</v>
      </c>
      <c r="Z365" s="325">
        <f>Z366+Z436</f>
        <v>462976276.40000004</v>
      </c>
      <c r="AA365" s="377">
        <f>AA366+AA436</f>
        <v>429254034.45000005</v>
      </c>
      <c r="AB365" s="178"/>
      <c r="AC365" s="178"/>
      <c r="AD365" s="273" t="s">
        <v>434</v>
      </c>
      <c r="AF365" s="274"/>
    </row>
    <row r="366" spans="1:32" ht="18.600000000000001" customHeight="1" x14ac:dyDescent="0.3">
      <c r="A366" s="349" t="s">
        <v>369</v>
      </c>
      <c r="B366" s="302" t="s">
        <v>14</v>
      </c>
      <c r="C366" s="302" t="s">
        <v>129</v>
      </c>
      <c r="D366" s="302" t="s">
        <v>124</v>
      </c>
      <c r="E366" s="302"/>
      <c r="F366" s="302"/>
      <c r="G366" s="302"/>
      <c r="H366" s="302"/>
      <c r="I366" s="302"/>
      <c r="J366" s="302"/>
      <c r="K366" s="302"/>
      <c r="L366" s="302"/>
      <c r="M366" s="302"/>
      <c r="N366" s="302"/>
      <c r="O366" s="302"/>
      <c r="P366" s="302"/>
      <c r="Q366" s="302"/>
      <c r="R366" s="302"/>
      <c r="S366" s="302"/>
      <c r="T366" s="302"/>
      <c r="U366" s="302"/>
      <c r="V366" s="303"/>
      <c r="W366" s="303"/>
      <c r="X366" s="303"/>
      <c r="Y366" s="301" t="s">
        <v>369</v>
      </c>
      <c r="Z366" s="325">
        <f>Z367+Z382+Z416+Z425</f>
        <v>433278450.35000002</v>
      </c>
      <c r="AA366" s="377">
        <f>AA367+AA382+AA416+AA425</f>
        <v>402216942.84000003</v>
      </c>
      <c r="AB366" s="178"/>
      <c r="AC366" s="178"/>
      <c r="AD366" s="273" t="s">
        <v>369</v>
      </c>
      <c r="AF366" s="274"/>
    </row>
    <row r="367" spans="1:32" ht="29.25" customHeight="1" x14ac:dyDescent="0.3">
      <c r="A367" s="301" t="s">
        <v>146</v>
      </c>
      <c r="B367" s="302" t="s">
        <v>14</v>
      </c>
      <c r="C367" s="302" t="s">
        <v>129</v>
      </c>
      <c r="D367" s="302" t="s">
        <v>113</v>
      </c>
      <c r="E367" s="302"/>
      <c r="F367" s="302"/>
      <c r="G367" s="302"/>
      <c r="H367" s="302"/>
      <c r="I367" s="302"/>
      <c r="J367" s="302"/>
      <c r="K367" s="302"/>
      <c r="L367" s="302"/>
      <c r="M367" s="302"/>
      <c r="N367" s="302"/>
      <c r="O367" s="302"/>
      <c r="P367" s="302"/>
      <c r="Q367" s="302"/>
      <c r="R367" s="302"/>
      <c r="S367" s="302"/>
      <c r="T367" s="302"/>
      <c r="U367" s="302"/>
      <c r="V367" s="303"/>
      <c r="W367" s="303"/>
      <c r="X367" s="303"/>
      <c r="Y367" s="301" t="s">
        <v>146</v>
      </c>
      <c r="Z367" s="325">
        <f>Z370+Z372+Z376+Z374</f>
        <v>148213370.97</v>
      </c>
      <c r="AA367" s="377">
        <f>AA370+AA372+AA376+AA374+AA378+AA368+AA380</f>
        <v>111099150.61999999</v>
      </c>
      <c r="AB367" s="178"/>
      <c r="AC367" s="178"/>
      <c r="AD367" s="273" t="s">
        <v>146</v>
      </c>
    </row>
    <row r="368" spans="1:32" ht="183" customHeight="1" x14ac:dyDescent="0.3">
      <c r="A368" s="311" t="s">
        <v>727</v>
      </c>
      <c r="B368" s="216" t="s">
        <v>14</v>
      </c>
      <c r="C368" s="216" t="s">
        <v>129</v>
      </c>
      <c r="D368" s="216" t="s">
        <v>113</v>
      </c>
      <c r="E368" s="216" t="s">
        <v>728</v>
      </c>
      <c r="F368" s="216"/>
      <c r="G368" s="216"/>
      <c r="H368" s="216"/>
      <c r="I368" s="216"/>
      <c r="J368" s="216"/>
      <c r="K368" s="216"/>
      <c r="L368" s="216"/>
      <c r="M368" s="216"/>
      <c r="N368" s="216"/>
      <c r="O368" s="216"/>
      <c r="P368" s="216"/>
      <c r="Q368" s="216"/>
      <c r="R368" s="216"/>
      <c r="S368" s="216"/>
      <c r="T368" s="216"/>
      <c r="U368" s="302"/>
      <c r="V368" s="303"/>
      <c r="W368" s="303"/>
      <c r="X368" s="303"/>
      <c r="Y368" s="301"/>
      <c r="Z368" s="325"/>
      <c r="AA368" s="314">
        <f>AA369</f>
        <v>681008.52</v>
      </c>
      <c r="AB368" s="178"/>
      <c r="AC368" s="178"/>
      <c r="AD368" s="273"/>
    </row>
    <row r="369" spans="1:32" ht="103.5" customHeight="1" x14ac:dyDescent="0.3">
      <c r="A369" s="324" t="s">
        <v>441</v>
      </c>
      <c r="B369" s="316" t="s">
        <v>14</v>
      </c>
      <c r="C369" s="316" t="s">
        <v>129</v>
      </c>
      <c r="D369" s="316" t="s">
        <v>113</v>
      </c>
      <c r="E369" s="216" t="s">
        <v>728</v>
      </c>
      <c r="F369" s="316"/>
      <c r="G369" s="316"/>
      <c r="H369" s="316"/>
      <c r="I369" s="316"/>
      <c r="J369" s="316"/>
      <c r="K369" s="316"/>
      <c r="L369" s="316"/>
      <c r="M369" s="316"/>
      <c r="N369" s="316"/>
      <c r="O369" s="316"/>
      <c r="P369" s="316"/>
      <c r="Q369" s="316"/>
      <c r="R369" s="316"/>
      <c r="S369" s="316"/>
      <c r="T369" s="316" t="s">
        <v>300</v>
      </c>
      <c r="U369" s="302"/>
      <c r="V369" s="303"/>
      <c r="W369" s="303"/>
      <c r="X369" s="303"/>
      <c r="Y369" s="301"/>
      <c r="Z369" s="325"/>
      <c r="AA369" s="314">
        <v>681008.52</v>
      </c>
      <c r="AB369" s="178"/>
      <c r="AC369" s="178"/>
      <c r="AD369" s="273"/>
    </row>
    <row r="370" spans="1:32" ht="156" customHeight="1" x14ac:dyDescent="0.3">
      <c r="A370" s="311" t="s">
        <v>721</v>
      </c>
      <c r="B370" s="216" t="s">
        <v>14</v>
      </c>
      <c r="C370" s="216" t="s">
        <v>129</v>
      </c>
      <c r="D370" s="216" t="s">
        <v>113</v>
      </c>
      <c r="E370" s="216" t="s">
        <v>722</v>
      </c>
      <c r="F370" s="216"/>
      <c r="G370" s="216"/>
      <c r="H370" s="216"/>
      <c r="I370" s="216"/>
      <c r="J370" s="216"/>
      <c r="K370" s="216"/>
      <c r="L370" s="216"/>
      <c r="M370" s="216"/>
      <c r="N370" s="216"/>
      <c r="O370" s="216"/>
      <c r="P370" s="216"/>
      <c r="Q370" s="216"/>
      <c r="R370" s="216"/>
      <c r="S370" s="216"/>
      <c r="T370" s="216"/>
      <c r="U370" s="216"/>
      <c r="V370" s="312"/>
      <c r="W370" s="312"/>
      <c r="X370" s="312"/>
      <c r="Y370" s="311" t="s">
        <v>435</v>
      </c>
      <c r="Z370" s="313">
        <f>Z371</f>
        <v>53135293.75</v>
      </c>
      <c r="AA370" s="314">
        <f>AA371</f>
        <v>51764678.990000002</v>
      </c>
      <c r="AB370" s="276"/>
      <c r="AC370" s="276"/>
      <c r="AD370" s="277" t="s">
        <v>435</v>
      </c>
    </row>
    <row r="371" spans="1:32" ht="123" customHeight="1" x14ac:dyDescent="0.3">
      <c r="A371" s="324" t="s">
        <v>436</v>
      </c>
      <c r="B371" s="316" t="s">
        <v>14</v>
      </c>
      <c r="C371" s="316" t="s">
        <v>129</v>
      </c>
      <c r="D371" s="316" t="s">
        <v>113</v>
      </c>
      <c r="E371" s="216" t="s">
        <v>722</v>
      </c>
      <c r="F371" s="316"/>
      <c r="G371" s="316"/>
      <c r="H371" s="316"/>
      <c r="I371" s="316"/>
      <c r="J371" s="316"/>
      <c r="K371" s="316"/>
      <c r="L371" s="316"/>
      <c r="M371" s="316"/>
      <c r="N371" s="316"/>
      <c r="O371" s="316"/>
      <c r="P371" s="316"/>
      <c r="Q371" s="316"/>
      <c r="R371" s="316"/>
      <c r="S371" s="316"/>
      <c r="T371" s="316" t="s">
        <v>300</v>
      </c>
      <c r="U371" s="316"/>
      <c r="V371" s="317"/>
      <c r="W371" s="317"/>
      <c r="X371" s="317"/>
      <c r="Y371" s="324" t="s">
        <v>436</v>
      </c>
      <c r="Z371" s="322">
        <f>51839521.42+139201+360800+876960-81188.67</f>
        <v>53135293.75</v>
      </c>
      <c r="AA371" s="334">
        <f>25891205.53+371880+7692825.96+130080+3149000+14433000+68250+28437.5</f>
        <v>51764678.990000002</v>
      </c>
      <c r="AB371" s="177"/>
      <c r="AC371" s="177"/>
      <c r="AD371" s="279" t="s">
        <v>436</v>
      </c>
      <c r="AF371" s="274"/>
    </row>
    <row r="372" spans="1:32" ht="156.75" customHeight="1" x14ac:dyDescent="0.3">
      <c r="A372" s="311" t="s">
        <v>723</v>
      </c>
      <c r="B372" s="216" t="s">
        <v>14</v>
      </c>
      <c r="C372" s="216" t="s">
        <v>129</v>
      </c>
      <c r="D372" s="216" t="s">
        <v>113</v>
      </c>
      <c r="E372" s="216" t="s">
        <v>724</v>
      </c>
      <c r="F372" s="216"/>
      <c r="G372" s="216"/>
      <c r="H372" s="216"/>
      <c r="I372" s="216"/>
      <c r="J372" s="216"/>
      <c r="K372" s="216"/>
      <c r="L372" s="216"/>
      <c r="M372" s="216"/>
      <c r="N372" s="216"/>
      <c r="O372" s="216"/>
      <c r="P372" s="216"/>
      <c r="Q372" s="216"/>
      <c r="R372" s="216"/>
      <c r="S372" s="216"/>
      <c r="T372" s="216"/>
      <c r="U372" s="216"/>
      <c r="V372" s="312"/>
      <c r="W372" s="312"/>
      <c r="X372" s="312"/>
      <c r="Y372" s="311" t="s">
        <v>437</v>
      </c>
      <c r="Z372" s="313">
        <f>Z373</f>
        <v>47299566</v>
      </c>
      <c r="AA372" s="314">
        <f>AA373</f>
        <v>12108495.350000001</v>
      </c>
      <c r="AB372" s="276"/>
      <c r="AC372" s="276"/>
      <c r="AD372" s="277" t="s">
        <v>437</v>
      </c>
    </row>
    <row r="373" spans="1:32" ht="117" customHeight="1" thickBot="1" x14ac:dyDescent="0.35">
      <c r="A373" s="355" t="s">
        <v>438</v>
      </c>
      <c r="B373" s="328" t="s">
        <v>14</v>
      </c>
      <c r="C373" s="328" t="s">
        <v>129</v>
      </c>
      <c r="D373" s="328" t="s">
        <v>113</v>
      </c>
      <c r="E373" s="296" t="s">
        <v>724</v>
      </c>
      <c r="F373" s="328"/>
      <c r="G373" s="328"/>
      <c r="H373" s="328"/>
      <c r="I373" s="328"/>
      <c r="J373" s="328"/>
      <c r="K373" s="328"/>
      <c r="L373" s="328"/>
      <c r="M373" s="328"/>
      <c r="N373" s="328"/>
      <c r="O373" s="328"/>
      <c r="P373" s="328"/>
      <c r="Q373" s="328"/>
      <c r="R373" s="328"/>
      <c r="S373" s="328"/>
      <c r="T373" s="328" t="s">
        <v>300</v>
      </c>
      <c r="U373" s="328"/>
      <c r="V373" s="329"/>
      <c r="W373" s="329"/>
      <c r="X373" s="329"/>
      <c r="Y373" s="355" t="s">
        <v>438</v>
      </c>
      <c r="Z373" s="330">
        <f>2000000-80000+36300000-36300000+36300000+8865630+213936</f>
        <v>47299566</v>
      </c>
      <c r="AA373" s="393">
        <f>1000000+200000+510260.4+71924.95+36300000-36300000+1500000+300000+7900000+626310</f>
        <v>12108495.350000001</v>
      </c>
      <c r="AB373" s="177"/>
      <c r="AC373" s="177"/>
      <c r="AD373" s="279" t="s">
        <v>438</v>
      </c>
      <c r="AF373" s="274"/>
    </row>
    <row r="374" spans="1:32" ht="123.75" customHeight="1" x14ac:dyDescent="0.3">
      <c r="A374" s="388" t="s">
        <v>537</v>
      </c>
      <c r="B374" s="337" t="s">
        <v>14</v>
      </c>
      <c r="C374" s="337" t="s">
        <v>129</v>
      </c>
      <c r="D374" s="337" t="s">
        <v>113</v>
      </c>
      <c r="E374" s="356" t="s">
        <v>725</v>
      </c>
      <c r="F374" s="316"/>
      <c r="G374" s="316"/>
      <c r="H374" s="316"/>
      <c r="I374" s="316"/>
      <c r="J374" s="316"/>
      <c r="K374" s="316"/>
      <c r="L374" s="316"/>
      <c r="M374" s="316"/>
      <c r="N374" s="316"/>
      <c r="O374" s="316"/>
      <c r="P374" s="316"/>
      <c r="Q374" s="316"/>
      <c r="R374" s="316"/>
      <c r="S374" s="316"/>
      <c r="T374" s="316"/>
      <c r="U374" s="316"/>
      <c r="V374" s="317"/>
      <c r="W374" s="317"/>
      <c r="X374" s="317"/>
      <c r="Y374" s="324"/>
      <c r="Z374" s="322">
        <f>Z375</f>
        <v>80000</v>
      </c>
      <c r="AA374" s="319">
        <f>AA375</f>
        <v>0</v>
      </c>
      <c r="AB374" s="177"/>
      <c r="AC374" s="177"/>
      <c r="AD374" s="279"/>
    </row>
    <row r="375" spans="1:32" ht="126" customHeight="1" x14ac:dyDescent="0.3">
      <c r="A375" s="429" t="s">
        <v>537</v>
      </c>
      <c r="B375" s="430" t="s">
        <v>14</v>
      </c>
      <c r="C375" s="430" t="s">
        <v>129</v>
      </c>
      <c r="D375" s="430" t="s">
        <v>113</v>
      </c>
      <c r="E375" s="431" t="s">
        <v>725</v>
      </c>
      <c r="F375" s="432"/>
      <c r="G375" s="328"/>
      <c r="H375" s="328"/>
      <c r="I375" s="328"/>
      <c r="J375" s="328"/>
      <c r="K375" s="328"/>
      <c r="L375" s="328"/>
      <c r="M375" s="328"/>
      <c r="N375" s="328"/>
      <c r="O375" s="328"/>
      <c r="P375" s="328"/>
      <c r="Q375" s="328"/>
      <c r="R375" s="328"/>
      <c r="S375" s="328"/>
      <c r="T375" s="328" t="s">
        <v>300</v>
      </c>
      <c r="U375" s="328"/>
      <c r="V375" s="329"/>
      <c r="W375" s="329"/>
      <c r="X375" s="329"/>
      <c r="Y375" s="355"/>
      <c r="Z375" s="330">
        <v>80000</v>
      </c>
      <c r="AA375" s="428">
        <f>240000-240000</f>
        <v>0</v>
      </c>
      <c r="AB375" s="177"/>
      <c r="AC375" s="177"/>
      <c r="AD375" s="279"/>
      <c r="AF375" s="274"/>
    </row>
    <row r="376" spans="1:32" ht="202.5" customHeight="1" x14ac:dyDescent="0.3">
      <c r="A376" s="389" t="s">
        <v>227</v>
      </c>
      <c r="B376" s="234" t="s">
        <v>14</v>
      </c>
      <c r="C376" s="234" t="s">
        <v>129</v>
      </c>
      <c r="D376" s="234" t="s">
        <v>113</v>
      </c>
      <c r="E376" s="234" t="s">
        <v>726</v>
      </c>
      <c r="F376" s="216"/>
      <c r="G376" s="216"/>
      <c r="H376" s="216"/>
      <c r="I376" s="216"/>
      <c r="J376" s="216"/>
      <c r="K376" s="216"/>
      <c r="L376" s="216"/>
      <c r="M376" s="216"/>
      <c r="N376" s="216"/>
      <c r="O376" s="216"/>
      <c r="P376" s="216"/>
      <c r="Q376" s="216"/>
      <c r="R376" s="216"/>
      <c r="S376" s="216"/>
      <c r="T376" s="216"/>
      <c r="U376" s="216"/>
      <c r="V376" s="312"/>
      <c r="W376" s="312"/>
      <c r="X376" s="312"/>
      <c r="Y376" s="331" t="s">
        <v>227</v>
      </c>
      <c r="Z376" s="313">
        <f>Z377</f>
        <v>47698511.219999999</v>
      </c>
      <c r="AA376" s="314">
        <f>AA377</f>
        <v>41578579.039999999</v>
      </c>
      <c r="AB376" s="276"/>
      <c r="AC376" s="276"/>
      <c r="AD376" s="281" t="s">
        <v>227</v>
      </c>
    </row>
    <row r="377" spans="1:32" ht="261" customHeight="1" x14ac:dyDescent="0.3">
      <c r="A377" s="315" t="s">
        <v>439</v>
      </c>
      <c r="B377" s="316" t="s">
        <v>14</v>
      </c>
      <c r="C377" s="316" t="s">
        <v>129</v>
      </c>
      <c r="D377" s="316" t="s">
        <v>113</v>
      </c>
      <c r="E377" s="234" t="s">
        <v>726</v>
      </c>
      <c r="F377" s="316"/>
      <c r="G377" s="316"/>
      <c r="H377" s="316"/>
      <c r="I377" s="316"/>
      <c r="J377" s="316"/>
      <c r="K377" s="316"/>
      <c r="L377" s="316"/>
      <c r="M377" s="316"/>
      <c r="N377" s="316"/>
      <c r="O377" s="316"/>
      <c r="P377" s="316"/>
      <c r="Q377" s="316"/>
      <c r="R377" s="316"/>
      <c r="S377" s="316"/>
      <c r="T377" s="316" t="s">
        <v>300</v>
      </c>
      <c r="U377" s="316"/>
      <c r="V377" s="317"/>
      <c r="W377" s="317"/>
      <c r="X377" s="317"/>
      <c r="Y377" s="315" t="s">
        <v>439</v>
      </c>
      <c r="Z377" s="322">
        <f>47698500+11.22</f>
        <v>47698511.219999999</v>
      </c>
      <c r="AA377" s="334">
        <f>43977400-56.79-2398764.17</f>
        <v>41578579.039999999</v>
      </c>
      <c r="AB377" s="177"/>
      <c r="AC377" s="177"/>
      <c r="AD377" s="278" t="s">
        <v>439</v>
      </c>
    </row>
    <row r="378" spans="1:32" ht="43.5" customHeight="1" x14ac:dyDescent="0.3">
      <c r="A378" s="315" t="s">
        <v>878</v>
      </c>
      <c r="B378" s="316" t="s">
        <v>14</v>
      </c>
      <c r="C378" s="316" t="s">
        <v>129</v>
      </c>
      <c r="D378" s="316" t="s">
        <v>113</v>
      </c>
      <c r="E378" s="216" t="s">
        <v>880</v>
      </c>
      <c r="F378" s="316"/>
      <c r="G378" s="316"/>
      <c r="H378" s="316"/>
      <c r="I378" s="316"/>
      <c r="J378" s="316"/>
      <c r="K378" s="316"/>
      <c r="L378" s="316"/>
      <c r="M378" s="316"/>
      <c r="N378" s="316"/>
      <c r="O378" s="316"/>
      <c r="P378" s="316"/>
      <c r="Q378" s="316"/>
      <c r="R378" s="316"/>
      <c r="S378" s="316"/>
      <c r="T378" s="316"/>
      <c r="U378" s="316"/>
      <c r="V378" s="317"/>
      <c r="W378" s="317"/>
      <c r="X378" s="317"/>
      <c r="Y378" s="315"/>
      <c r="Z378" s="322"/>
      <c r="AA378" s="334">
        <f>AA379</f>
        <v>2009268.45</v>
      </c>
      <c r="AB378" s="177"/>
      <c r="AC378" s="177"/>
      <c r="AD378" s="278"/>
    </row>
    <row r="379" spans="1:32" ht="161.25" customHeight="1" x14ac:dyDescent="0.3">
      <c r="A379" s="315" t="s">
        <v>879</v>
      </c>
      <c r="B379" s="316" t="s">
        <v>14</v>
      </c>
      <c r="C379" s="316" t="s">
        <v>129</v>
      </c>
      <c r="D379" s="316" t="s">
        <v>113</v>
      </c>
      <c r="E379" s="216" t="s">
        <v>880</v>
      </c>
      <c r="F379" s="316"/>
      <c r="G379" s="316"/>
      <c r="H379" s="316"/>
      <c r="I379" s="316"/>
      <c r="J379" s="316"/>
      <c r="K379" s="316"/>
      <c r="L379" s="316"/>
      <c r="M379" s="316"/>
      <c r="N379" s="316"/>
      <c r="O379" s="316"/>
      <c r="P379" s="316"/>
      <c r="Q379" s="316"/>
      <c r="R379" s="316"/>
      <c r="S379" s="316"/>
      <c r="T379" s="316" t="s">
        <v>355</v>
      </c>
      <c r="U379" s="316"/>
      <c r="V379" s="317"/>
      <c r="W379" s="317"/>
      <c r="X379" s="317"/>
      <c r="Y379" s="315"/>
      <c r="Z379" s="322"/>
      <c r="AA379" s="334">
        <f>80226.97+1929041.48</f>
        <v>2009268.45</v>
      </c>
      <c r="AB379" s="177"/>
      <c r="AC379" s="177"/>
      <c r="AD379" s="278"/>
    </row>
    <row r="380" spans="1:32" ht="46.5" customHeight="1" x14ac:dyDescent="0.3">
      <c r="A380" s="415" t="s">
        <v>878</v>
      </c>
      <c r="B380" s="316" t="s">
        <v>14</v>
      </c>
      <c r="C380" s="316" t="s">
        <v>129</v>
      </c>
      <c r="D380" s="316" t="s">
        <v>113</v>
      </c>
      <c r="E380" s="216" t="s">
        <v>1154</v>
      </c>
      <c r="F380" s="316"/>
      <c r="G380" s="316"/>
      <c r="H380" s="316"/>
      <c r="I380" s="316"/>
      <c r="J380" s="316"/>
      <c r="K380" s="316"/>
      <c r="L380" s="316"/>
      <c r="M380" s="316"/>
      <c r="N380" s="316"/>
      <c r="O380" s="316"/>
      <c r="P380" s="316"/>
      <c r="Q380" s="316"/>
      <c r="R380" s="316"/>
      <c r="S380" s="316"/>
      <c r="T380" s="316"/>
      <c r="U380" s="316"/>
      <c r="V380" s="317"/>
      <c r="W380" s="317"/>
      <c r="X380" s="317"/>
      <c r="Y380" s="315"/>
      <c r="Z380" s="322"/>
      <c r="AA380" s="334">
        <f>AA381</f>
        <v>2957120.27</v>
      </c>
      <c r="AB380" s="177"/>
      <c r="AC380" s="177"/>
      <c r="AD380" s="278"/>
    </row>
    <row r="381" spans="1:32" ht="161.25" customHeight="1" x14ac:dyDescent="0.3">
      <c r="A381" s="315" t="s">
        <v>879</v>
      </c>
      <c r="B381" s="316" t="s">
        <v>14</v>
      </c>
      <c r="C381" s="316" t="s">
        <v>129</v>
      </c>
      <c r="D381" s="316" t="s">
        <v>113</v>
      </c>
      <c r="E381" s="216" t="s">
        <v>1154</v>
      </c>
      <c r="F381" s="316"/>
      <c r="G381" s="316"/>
      <c r="H381" s="316"/>
      <c r="I381" s="316"/>
      <c r="J381" s="316"/>
      <c r="K381" s="316"/>
      <c r="L381" s="316"/>
      <c r="M381" s="316"/>
      <c r="N381" s="316"/>
      <c r="O381" s="316"/>
      <c r="P381" s="316"/>
      <c r="Q381" s="316"/>
      <c r="R381" s="316"/>
      <c r="S381" s="316"/>
      <c r="T381" s="316" t="s">
        <v>355</v>
      </c>
      <c r="U381" s="316"/>
      <c r="V381" s="317"/>
      <c r="W381" s="317"/>
      <c r="X381" s="317"/>
      <c r="Y381" s="315"/>
      <c r="Z381" s="322"/>
      <c r="AA381" s="334">
        <v>2957120.27</v>
      </c>
      <c r="AB381" s="177"/>
      <c r="AC381" s="177"/>
      <c r="AD381" s="278"/>
    </row>
    <row r="382" spans="1:32" ht="36" customHeight="1" x14ac:dyDescent="0.3">
      <c r="A382" s="301" t="s">
        <v>147</v>
      </c>
      <c r="B382" s="302" t="s">
        <v>14</v>
      </c>
      <c r="C382" s="302" t="s">
        <v>129</v>
      </c>
      <c r="D382" s="302" t="s">
        <v>123</v>
      </c>
      <c r="E382" s="302"/>
      <c r="F382" s="302"/>
      <c r="G382" s="302"/>
      <c r="H382" s="302"/>
      <c r="I382" s="302"/>
      <c r="J382" s="302"/>
      <c r="K382" s="302"/>
      <c r="L382" s="302"/>
      <c r="M382" s="302"/>
      <c r="N382" s="302"/>
      <c r="O382" s="302"/>
      <c r="P382" s="302"/>
      <c r="Q382" s="302"/>
      <c r="R382" s="302"/>
      <c r="S382" s="302"/>
      <c r="T382" s="302"/>
      <c r="U382" s="302"/>
      <c r="V382" s="303"/>
      <c r="W382" s="303"/>
      <c r="X382" s="303"/>
      <c r="Y382" s="301" t="s">
        <v>147</v>
      </c>
      <c r="Z382" s="325">
        <f>Z383+Z385+Z387+Z389+Z391+Z393+Z395+Z397+Z399+Z406+Z408+Z410+Z414</f>
        <v>258302335.22</v>
      </c>
      <c r="AA382" s="377">
        <f>AA383+AA385+AA387+AA389+AA391+AA393+AA395+AA397+AA399+AA406+AA408+AA410+AA414+AA412+AA403+AA405</f>
        <v>262955314.56</v>
      </c>
      <c r="AB382" s="178"/>
      <c r="AC382" s="178"/>
      <c r="AD382" s="273" t="s">
        <v>147</v>
      </c>
    </row>
    <row r="383" spans="1:32" ht="192" customHeight="1" x14ac:dyDescent="0.3">
      <c r="A383" s="311" t="s">
        <v>727</v>
      </c>
      <c r="B383" s="216" t="s">
        <v>14</v>
      </c>
      <c r="C383" s="216" t="s">
        <v>129</v>
      </c>
      <c r="D383" s="216" t="s">
        <v>123</v>
      </c>
      <c r="E383" s="216" t="s">
        <v>728</v>
      </c>
      <c r="F383" s="216"/>
      <c r="G383" s="216"/>
      <c r="H383" s="216"/>
      <c r="I383" s="216"/>
      <c r="J383" s="216"/>
      <c r="K383" s="216"/>
      <c r="L383" s="216"/>
      <c r="M383" s="216"/>
      <c r="N383" s="216"/>
      <c r="O383" s="216"/>
      <c r="P383" s="216"/>
      <c r="Q383" s="216"/>
      <c r="R383" s="216"/>
      <c r="S383" s="216"/>
      <c r="T383" s="216"/>
      <c r="U383" s="216"/>
      <c r="V383" s="312"/>
      <c r="W383" s="312"/>
      <c r="X383" s="312"/>
      <c r="Y383" s="311" t="s">
        <v>440</v>
      </c>
      <c r="Z383" s="313">
        <f>Z384</f>
        <v>0</v>
      </c>
      <c r="AA383" s="314">
        <f>AA384</f>
        <v>1918991.48</v>
      </c>
      <c r="AB383" s="276"/>
      <c r="AC383" s="276"/>
      <c r="AD383" s="277" t="s">
        <v>440</v>
      </c>
    </row>
    <row r="384" spans="1:32" ht="112.5" customHeight="1" x14ac:dyDescent="0.3">
      <c r="A384" s="324" t="s">
        <v>441</v>
      </c>
      <c r="B384" s="316" t="s">
        <v>14</v>
      </c>
      <c r="C384" s="316" t="s">
        <v>129</v>
      </c>
      <c r="D384" s="316" t="s">
        <v>123</v>
      </c>
      <c r="E384" s="216" t="s">
        <v>728</v>
      </c>
      <c r="F384" s="316"/>
      <c r="G384" s="316"/>
      <c r="H384" s="316"/>
      <c r="I384" s="316"/>
      <c r="J384" s="316"/>
      <c r="K384" s="316"/>
      <c r="L384" s="316"/>
      <c r="M384" s="316"/>
      <c r="N384" s="316"/>
      <c r="O384" s="316"/>
      <c r="P384" s="316"/>
      <c r="Q384" s="316"/>
      <c r="R384" s="316"/>
      <c r="S384" s="316"/>
      <c r="T384" s="316" t="s">
        <v>300</v>
      </c>
      <c r="U384" s="316"/>
      <c r="V384" s="317"/>
      <c r="W384" s="317"/>
      <c r="X384" s="317"/>
      <c r="Y384" s="324" t="s">
        <v>441</v>
      </c>
      <c r="Z384" s="322">
        <f>3000000-3000000</f>
        <v>0</v>
      </c>
      <c r="AA384" s="334">
        <f>3500000-681008.52-900000</f>
        <v>1918991.48</v>
      </c>
      <c r="AB384" s="177"/>
      <c r="AC384" s="177"/>
      <c r="AD384" s="279" t="s">
        <v>441</v>
      </c>
      <c r="AF384" s="274"/>
    </row>
    <row r="385" spans="1:32" ht="213.75" customHeight="1" x14ac:dyDescent="0.3">
      <c r="A385" s="311" t="s">
        <v>729</v>
      </c>
      <c r="B385" s="216" t="s">
        <v>14</v>
      </c>
      <c r="C385" s="216" t="s">
        <v>129</v>
      </c>
      <c r="D385" s="216" t="s">
        <v>123</v>
      </c>
      <c r="E385" s="216" t="s">
        <v>730</v>
      </c>
      <c r="F385" s="216"/>
      <c r="G385" s="216"/>
      <c r="H385" s="216"/>
      <c r="I385" s="216"/>
      <c r="J385" s="216"/>
      <c r="K385" s="216"/>
      <c r="L385" s="216"/>
      <c r="M385" s="216"/>
      <c r="N385" s="216"/>
      <c r="O385" s="216"/>
      <c r="P385" s="216"/>
      <c r="Q385" s="216"/>
      <c r="R385" s="216"/>
      <c r="S385" s="216"/>
      <c r="T385" s="216"/>
      <c r="U385" s="216"/>
      <c r="V385" s="312"/>
      <c r="W385" s="312"/>
      <c r="X385" s="312"/>
      <c r="Y385" s="311" t="s">
        <v>442</v>
      </c>
      <c r="Z385" s="313">
        <v>300000</v>
      </c>
      <c r="AA385" s="314">
        <f>AA386</f>
        <v>0</v>
      </c>
      <c r="AB385" s="276"/>
      <c r="AC385" s="276"/>
      <c r="AD385" s="277" t="s">
        <v>442</v>
      </c>
    </row>
    <row r="386" spans="1:32" ht="126.75" customHeight="1" x14ac:dyDescent="0.3">
      <c r="A386" s="324" t="s">
        <v>443</v>
      </c>
      <c r="B386" s="316" t="s">
        <v>14</v>
      </c>
      <c r="C386" s="316" t="s">
        <v>129</v>
      </c>
      <c r="D386" s="316" t="s">
        <v>123</v>
      </c>
      <c r="E386" s="216" t="s">
        <v>730</v>
      </c>
      <c r="F386" s="316"/>
      <c r="G386" s="316"/>
      <c r="H386" s="316"/>
      <c r="I386" s="316"/>
      <c r="J386" s="316"/>
      <c r="K386" s="316"/>
      <c r="L386" s="316"/>
      <c r="M386" s="316"/>
      <c r="N386" s="316"/>
      <c r="O386" s="316"/>
      <c r="P386" s="316"/>
      <c r="Q386" s="316"/>
      <c r="R386" s="316"/>
      <c r="S386" s="316"/>
      <c r="T386" s="316" t="s">
        <v>300</v>
      </c>
      <c r="U386" s="316"/>
      <c r="V386" s="317"/>
      <c r="W386" s="317"/>
      <c r="X386" s="317"/>
      <c r="Y386" s="324" t="s">
        <v>443</v>
      </c>
      <c r="Z386" s="322">
        <f>300000-175950</f>
        <v>124050</v>
      </c>
      <c r="AA386" s="334">
        <f>300000-300000</f>
        <v>0</v>
      </c>
      <c r="AB386" s="177"/>
      <c r="AC386" s="177"/>
      <c r="AD386" s="279" t="s">
        <v>443</v>
      </c>
      <c r="AF386" s="274"/>
    </row>
    <row r="387" spans="1:32" ht="217.5" customHeight="1" x14ac:dyDescent="0.3">
      <c r="A387" s="311" t="s">
        <v>731</v>
      </c>
      <c r="B387" s="216" t="s">
        <v>14</v>
      </c>
      <c r="C387" s="216" t="s">
        <v>129</v>
      </c>
      <c r="D387" s="216" t="s">
        <v>123</v>
      </c>
      <c r="E387" s="216" t="s">
        <v>732</v>
      </c>
      <c r="F387" s="216"/>
      <c r="G387" s="216"/>
      <c r="H387" s="216"/>
      <c r="I387" s="216"/>
      <c r="J387" s="216"/>
      <c r="K387" s="216"/>
      <c r="L387" s="216"/>
      <c r="M387" s="216"/>
      <c r="N387" s="216"/>
      <c r="O387" s="216"/>
      <c r="P387" s="216"/>
      <c r="Q387" s="216"/>
      <c r="R387" s="216"/>
      <c r="S387" s="216"/>
      <c r="T387" s="216"/>
      <c r="U387" s="216"/>
      <c r="V387" s="312"/>
      <c r="W387" s="312"/>
      <c r="X387" s="312"/>
      <c r="Y387" s="311" t="s">
        <v>444</v>
      </c>
      <c r="Z387" s="313">
        <v>1650000</v>
      </c>
      <c r="AA387" s="314">
        <f>AA388</f>
        <v>1050000</v>
      </c>
      <c r="AB387" s="276"/>
      <c r="AC387" s="276"/>
      <c r="AD387" s="277" t="s">
        <v>444</v>
      </c>
    </row>
    <row r="388" spans="1:32" ht="120" customHeight="1" x14ac:dyDescent="0.3">
      <c r="A388" s="324" t="s">
        <v>445</v>
      </c>
      <c r="B388" s="316" t="s">
        <v>14</v>
      </c>
      <c r="C388" s="316" t="s">
        <v>129</v>
      </c>
      <c r="D388" s="316" t="s">
        <v>123</v>
      </c>
      <c r="E388" s="216" t="s">
        <v>732</v>
      </c>
      <c r="F388" s="316"/>
      <c r="G388" s="316"/>
      <c r="H388" s="316"/>
      <c r="I388" s="316"/>
      <c r="J388" s="316"/>
      <c r="K388" s="316"/>
      <c r="L388" s="316"/>
      <c r="M388" s="316"/>
      <c r="N388" s="316"/>
      <c r="O388" s="316"/>
      <c r="P388" s="316"/>
      <c r="Q388" s="316"/>
      <c r="R388" s="316"/>
      <c r="S388" s="316"/>
      <c r="T388" s="316" t="s">
        <v>300</v>
      </c>
      <c r="U388" s="316"/>
      <c r="V388" s="317"/>
      <c r="W388" s="317"/>
      <c r="X388" s="317"/>
      <c r="Y388" s="324" t="s">
        <v>445</v>
      </c>
      <c r="Z388" s="322">
        <v>1650000</v>
      </c>
      <c r="AA388" s="334">
        <f>1650000-600000</f>
        <v>1050000</v>
      </c>
      <c r="AB388" s="177"/>
      <c r="AC388" s="177"/>
      <c r="AD388" s="279" t="s">
        <v>445</v>
      </c>
      <c r="AF388" s="274"/>
    </row>
    <row r="389" spans="1:32" ht="186" customHeight="1" x14ac:dyDescent="0.3">
      <c r="A389" s="311" t="s">
        <v>733</v>
      </c>
      <c r="B389" s="216" t="s">
        <v>14</v>
      </c>
      <c r="C389" s="216" t="s">
        <v>129</v>
      </c>
      <c r="D389" s="216" t="s">
        <v>123</v>
      </c>
      <c r="E389" s="216" t="s">
        <v>734</v>
      </c>
      <c r="F389" s="216"/>
      <c r="G389" s="216"/>
      <c r="H389" s="216"/>
      <c r="I389" s="216"/>
      <c r="J389" s="216"/>
      <c r="K389" s="216"/>
      <c r="L389" s="216"/>
      <c r="M389" s="216"/>
      <c r="N389" s="216"/>
      <c r="O389" s="216"/>
      <c r="P389" s="216"/>
      <c r="Q389" s="216"/>
      <c r="R389" s="216"/>
      <c r="S389" s="216"/>
      <c r="T389" s="216"/>
      <c r="U389" s="216"/>
      <c r="V389" s="312"/>
      <c r="W389" s="312"/>
      <c r="X389" s="312"/>
      <c r="Y389" s="311" t="s">
        <v>446</v>
      </c>
      <c r="Z389" s="313">
        <f>Z390</f>
        <v>82287767.460000008</v>
      </c>
      <c r="AA389" s="321">
        <f>AA390</f>
        <v>83857600.170000002</v>
      </c>
      <c r="AB389" s="276"/>
      <c r="AC389" s="276"/>
      <c r="AD389" s="277" t="s">
        <v>446</v>
      </c>
    </row>
    <row r="390" spans="1:32" ht="135.75" customHeight="1" x14ac:dyDescent="0.3">
      <c r="A390" s="324" t="s">
        <v>447</v>
      </c>
      <c r="B390" s="316" t="s">
        <v>14</v>
      </c>
      <c r="C390" s="316" t="s">
        <v>129</v>
      </c>
      <c r="D390" s="316" t="s">
        <v>123</v>
      </c>
      <c r="E390" s="216" t="s">
        <v>734</v>
      </c>
      <c r="F390" s="316"/>
      <c r="G390" s="316"/>
      <c r="H390" s="316"/>
      <c r="I390" s="316"/>
      <c r="J390" s="316"/>
      <c r="K390" s="316"/>
      <c r="L390" s="316"/>
      <c r="M390" s="316"/>
      <c r="N390" s="316"/>
      <c r="O390" s="316"/>
      <c r="P390" s="316"/>
      <c r="Q390" s="316"/>
      <c r="R390" s="316"/>
      <c r="S390" s="316"/>
      <c r="T390" s="316" t="s">
        <v>300</v>
      </c>
      <c r="U390" s="316"/>
      <c r="V390" s="317"/>
      <c r="W390" s="317"/>
      <c r="X390" s="317"/>
      <c r="Y390" s="324" t="s">
        <v>447</v>
      </c>
      <c r="Z390" s="322">
        <f>79740646.79+2009982+81188.67+455950</f>
        <v>82287767.460000008</v>
      </c>
      <c r="AA390" s="319">
        <f>88897530.86+3600323+2515364.8+142530+4676000+402000-14433000-336460.99-78250-1528437.5</f>
        <v>83857600.170000002</v>
      </c>
      <c r="AB390" s="177"/>
      <c r="AC390" s="177"/>
      <c r="AD390" s="279" t="s">
        <v>447</v>
      </c>
      <c r="AF390" s="274"/>
    </row>
    <row r="391" spans="1:32" ht="173.25" customHeight="1" x14ac:dyDescent="0.3">
      <c r="A391" s="311" t="s">
        <v>735</v>
      </c>
      <c r="B391" s="216" t="s">
        <v>14</v>
      </c>
      <c r="C391" s="216" t="s">
        <v>129</v>
      </c>
      <c r="D391" s="216" t="s">
        <v>123</v>
      </c>
      <c r="E391" s="216" t="s">
        <v>736</v>
      </c>
      <c r="F391" s="216"/>
      <c r="G391" s="216"/>
      <c r="H391" s="216"/>
      <c r="I391" s="216"/>
      <c r="J391" s="216"/>
      <c r="K391" s="216"/>
      <c r="L391" s="216"/>
      <c r="M391" s="216"/>
      <c r="N391" s="216"/>
      <c r="O391" s="216"/>
      <c r="P391" s="216"/>
      <c r="Q391" s="216"/>
      <c r="R391" s="216"/>
      <c r="S391" s="216"/>
      <c r="T391" s="216"/>
      <c r="U391" s="216"/>
      <c r="V391" s="312"/>
      <c r="W391" s="312"/>
      <c r="X391" s="312"/>
      <c r="Y391" s="311" t="s">
        <v>448</v>
      </c>
      <c r="Z391" s="313">
        <v>7874294</v>
      </c>
      <c r="AA391" s="314">
        <f>AA392</f>
        <v>5378814.6899999995</v>
      </c>
      <c r="AB391" s="276"/>
      <c r="AC391" s="276"/>
      <c r="AD391" s="277" t="s">
        <v>448</v>
      </c>
    </row>
    <row r="392" spans="1:32" ht="142.5" customHeight="1" x14ac:dyDescent="0.3">
      <c r="A392" s="355" t="s">
        <v>449</v>
      </c>
      <c r="B392" s="328" t="s">
        <v>14</v>
      </c>
      <c r="C392" s="328" t="s">
        <v>129</v>
      </c>
      <c r="D392" s="328" t="s">
        <v>123</v>
      </c>
      <c r="E392" s="296" t="s">
        <v>736</v>
      </c>
      <c r="F392" s="328"/>
      <c r="G392" s="328"/>
      <c r="H392" s="328"/>
      <c r="I392" s="328"/>
      <c r="J392" s="328"/>
      <c r="K392" s="328"/>
      <c r="L392" s="328"/>
      <c r="M392" s="328"/>
      <c r="N392" s="328"/>
      <c r="O392" s="328"/>
      <c r="P392" s="328"/>
      <c r="Q392" s="328"/>
      <c r="R392" s="328"/>
      <c r="S392" s="328"/>
      <c r="T392" s="328" t="s">
        <v>300</v>
      </c>
      <c r="U392" s="328"/>
      <c r="V392" s="329"/>
      <c r="W392" s="329"/>
      <c r="X392" s="329"/>
      <c r="Y392" s="355" t="s">
        <v>449</v>
      </c>
      <c r="Z392" s="330">
        <v>7874294</v>
      </c>
      <c r="AA392" s="428">
        <f>6355514.52+25000-1001029.83-670</f>
        <v>5378814.6899999995</v>
      </c>
      <c r="AB392" s="177"/>
      <c r="AC392" s="177"/>
      <c r="AD392" s="279" t="s">
        <v>449</v>
      </c>
      <c r="AF392" s="274"/>
    </row>
    <row r="393" spans="1:32" ht="147.75" customHeight="1" x14ac:dyDescent="0.3">
      <c r="A393" s="311" t="s">
        <v>671</v>
      </c>
      <c r="B393" s="216" t="s">
        <v>14</v>
      </c>
      <c r="C393" s="216" t="s">
        <v>129</v>
      </c>
      <c r="D393" s="216" t="s">
        <v>123</v>
      </c>
      <c r="E393" s="216" t="s">
        <v>672</v>
      </c>
      <c r="F393" s="216"/>
      <c r="G393" s="216"/>
      <c r="H393" s="216"/>
      <c r="I393" s="216"/>
      <c r="J393" s="216"/>
      <c r="K393" s="216"/>
      <c r="L393" s="216"/>
      <c r="M393" s="216"/>
      <c r="N393" s="216"/>
      <c r="O393" s="216"/>
      <c r="P393" s="216"/>
      <c r="Q393" s="216"/>
      <c r="R393" s="216"/>
      <c r="S393" s="216"/>
      <c r="T393" s="216"/>
      <c r="U393" s="216"/>
      <c r="V393" s="312"/>
      <c r="W393" s="312"/>
      <c r="X393" s="312"/>
      <c r="Y393" s="311" t="s">
        <v>370</v>
      </c>
      <c r="Z393" s="313">
        <f>Z394</f>
        <v>6340037</v>
      </c>
      <c r="AA393" s="314">
        <f>AA394</f>
        <v>12342714.649999999</v>
      </c>
      <c r="AB393" s="276"/>
      <c r="AC393" s="276"/>
      <c r="AD393" s="277" t="s">
        <v>370</v>
      </c>
    </row>
    <row r="394" spans="1:32" ht="105" customHeight="1" x14ac:dyDescent="0.3">
      <c r="A394" s="355" t="s">
        <v>450</v>
      </c>
      <c r="B394" s="328" t="s">
        <v>14</v>
      </c>
      <c r="C394" s="328" t="s">
        <v>129</v>
      </c>
      <c r="D394" s="328" t="s">
        <v>123</v>
      </c>
      <c r="E394" s="296" t="s">
        <v>672</v>
      </c>
      <c r="F394" s="328"/>
      <c r="G394" s="328"/>
      <c r="H394" s="328"/>
      <c r="I394" s="328"/>
      <c r="J394" s="328"/>
      <c r="K394" s="328"/>
      <c r="L394" s="328"/>
      <c r="M394" s="328"/>
      <c r="N394" s="328"/>
      <c r="O394" s="328"/>
      <c r="P394" s="328"/>
      <c r="Q394" s="328"/>
      <c r="R394" s="328"/>
      <c r="S394" s="328"/>
      <c r="T394" s="328" t="s">
        <v>300</v>
      </c>
      <c r="U394" s="328"/>
      <c r="V394" s="329"/>
      <c r="W394" s="329"/>
      <c r="X394" s="329"/>
      <c r="Y394" s="355" t="s">
        <v>450</v>
      </c>
      <c r="Z394" s="330">
        <f>3500000+2840037</f>
        <v>6340037</v>
      </c>
      <c r="AA394" s="428">
        <f>17104500+70000+1413098.5+54716.15-500000-1500000+400-5500000+1200000</f>
        <v>12342714.649999999</v>
      </c>
      <c r="AB394" s="177"/>
      <c r="AC394" s="177"/>
      <c r="AD394" s="279" t="s">
        <v>450</v>
      </c>
      <c r="AF394" s="274"/>
    </row>
    <row r="395" spans="1:32" ht="133.5" customHeight="1" x14ac:dyDescent="0.3">
      <c r="A395" s="311" t="s">
        <v>737</v>
      </c>
      <c r="B395" s="216" t="s">
        <v>14</v>
      </c>
      <c r="C395" s="216" t="s">
        <v>129</v>
      </c>
      <c r="D395" s="216" t="s">
        <v>123</v>
      </c>
      <c r="E395" s="216" t="s">
        <v>738</v>
      </c>
      <c r="F395" s="216"/>
      <c r="G395" s="216"/>
      <c r="H395" s="216"/>
      <c r="I395" s="216"/>
      <c r="J395" s="216"/>
      <c r="K395" s="216"/>
      <c r="L395" s="216"/>
      <c r="M395" s="216"/>
      <c r="N395" s="216"/>
      <c r="O395" s="216"/>
      <c r="P395" s="216"/>
      <c r="Q395" s="216"/>
      <c r="R395" s="216"/>
      <c r="S395" s="216"/>
      <c r="T395" s="216"/>
      <c r="U395" s="216"/>
      <c r="V395" s="312"/>
      <c r="W395" s="312"/>
      <c r="X395" s="312"/>
      <c r="Y395" s="311" t="s">
        <v>451</v>
      </c>
      <c r="Z395" s="313">
        <v>300000</v>
      </c>
      <c r="AA395" s="314">
        <f>AA396</f>
        <v>467984</v>
      </c>
      <c r="AB395" s="276"/>
      <c r="AC395" s="276"/>
      <c r="AD395" s="277" t="s">
        <v>451</v>
      </c>
    </row>
    <row r="396" spans="1:32" ht="105.75" customHeight="1" x14ac:dyDescent="0.3">
      <c r="A396" s="324" t="s">
        <v>452</v>
      </c>
      <c r="B396" s="316" t="s">
        <v>14</v>
      </c>
      <c r="C396" s="316" t="s">
        <v>129</v>
      </c>
      <c r="D396" s="316" t="s">
        <v>123</v>
      </c>
      <c r="E396" s="216" t="s">
        <v>738</v>
      </c>
      <c r="F396" s="316"/>
      <c r="G396" s="316"/>
      <c r="H396" s="316"/>
      <c r="I396" s="316"/>
      <c r="J396" s="316"/>
      <c r="K396" s="316"/>
      <c r="L396" s="316"/>
      <c r="M396" s="316"/>
      <c r="N396" s="316"/>
      <c r="O396" s="316"/>
      <c r="P396" s="316"/>
      <c r="Q396" s="316"/>
      <c r="R396" s="316"/>
      <c r="S396" s="316"/>
      <c r="T396" s="316" t="s">
        <v>300</v>
      </c>
      <c r="U396" s="316"/>
      <c r="V396" s="317"/>
      <c r="W396" s="317"/>
      <c r="X396" s="317"/>
      <c r="Y396" s="324" t="s">
        <v>452</v>
      </c>
      <c r="Z396" s="322">
        <v>300000</v>
      </c>
      <c r="AA396" s="334">
        <f>258000+225000-15016</f>
        <v>467984</v>
      </c>
      <c r="AB396" s="177"/>
      <c r="AC396" s="177"/>
      <c r="AD396" s="279" t="s">
        <v>452</v>
      </c>
      <c r="AF396" s="274"/>
    </row>
    <row r="397" spans="1:32" ht="196.5" customHeight="1" x14ac:dyDescent="0.3">
      <c r="A397" s="311" t="s">
        <v>739</v>
      </c>
      <c r="B397" s="216" t="s">
        <v>14</v>
      </c>
      <c r="C397" s="216" t="s">
        <v>129</v>
      </c>
      <c r="D397" s="216" t="s">
        <v>123</v>
      </c>
      <c r="E397" s="216" t="s">
        <v>740</v>
      </c>
      <c r="F397" s="216"/>
      <c r="G397" s="216"/>
      <c r="H397" s="216"/>
      <c r="I397" s="216"/>
      <c r="J397" s="216"/>
      <c r="K397" s="216"/>
      <c r="L397" s="216"/>
      <c r="M397" s="216"/>
      <c r="N397" s="216"/>
      <c r="O397" s="216"/>
      <c r="P397" s="216"/>
      <c r="Q397" s="216"/>
      <c r="R397" s="216"/>
      <c r="S397" s="216"/>
      <c r="T397" s="216"/>
      <c r="U397" s="216"/>
      <c r="V397" s="312"/>
      <c r="W397" s="312"/>
      <c r="X397" s="312"/>
      <c r="Y397" s="311" t="s">
        <v>453</v>
      </c>
      <c r="Z397" s="313">
        <v>50000</v>
      </c>
      <c r="AA397" s="314">
        <f>AA398</f>
        <v>50000</v>
      </c>
      <c r="AB397" s="276"/>
      <c r="AC397" s="276"/>
      <c r="AD397" s="277" t="s">
        <v>453</v>
      </c>
    </row>
    <row r="398" spans="1:32" ht="162" customHeight="1" x14ac:dyDescent="0.3">
      <c r="A398" s="324" t="s">
        <v>454</v>
      </c>
      <c r="B398" s="316" t="s">
        <v>14</v>
      </c>
      <c r="C398" s="316" t="s">
        <v>129</v>
      </c>
      <c r="D398" s="316" t="s">
        <v>123</v>
      </c>
      <c r="E398" s="216" t="s">
        <v>740</v>
      </c>
      <c r="F398" s="316"/>
      <c r="G398" s="316"/>
      <c r="H398" s="316"/>
      <c r="I398" s="316"/>
      <c r="J398" s="316"/>
      <c r="K398" s="316"/>
      <c r="L398" s="316"/>
      <c r="M398" s="316"/>
      <c r="N398" s="316"/>
      <c r="O398" s="316"/>
      <c r="P398" s="316"/>
      <c r="Q398" s="316"/>
      <c r="R398" s="316"/>
      <c r="S398" s="316"/>
      <c r="T398" s="316" t="s">
        <v>300</v>
      </c>
      <c r="U398" s="316"/>
      <c r="V398" s="317"/>
      <c r="W398" s="317"/>
      <c r="X398" s="317"/>
      <c r="Y398" s="324" t="s">
        <v>454</v>
      </c>
      <c r="Z398" s="322">
        <v>50000</v>
      </c>
      <c r="AA398" s="334">
        <v>50000</v>
      </c>
      <c r="AB398" s="177"/>
      <c r="AC398" s="177"/>
      <c r="AD398" s="279" t="s">
        <v>454</v>
      </c>
      <c r="AF398" s="274"/>
    </row>
    <row r="399" spans="1:32" ht="278.25" customHeight="1" x14ac:dyDescent="0.3">
      <c r="A399" s="331" t="s">
        <v>226</v>
      </c>
      <c r="B399" s="216" t="s">
        <v>14</v>
      </c>
      <c r="C399" s="216" t="s">
        <v>129</v>
      </c>
      <c r="D399" s="216" t="s">
        <v>123</v>
      </c>
      <c r="E399" s="216" t="s">
        <v>741</v>
      </c>
      <c r="F399" s="216"/>
      <c r="G399" s="216"/>
      <c r="H399" s="216"/>
      <c r="I399" s="216"/>
      <c r="J399" s="216"/>
      <c r="K399" s="216"/>
      <c r="L399" s="216"/>
      <c r="M399" s="216"/>
      <c r="N399" s="216"/>
      <c r="O399" s="216"/>
      <c r="P399" s="216"/>
      <c r="Q399" s="216"/>
      <c r="R399" s="216"/>
      <c r="S399" s="216"/>
      <c r="T399" s="216"/>
      <c r="U399" s="216"/>
      <c r="V399" s="312"/>
      <c r="W399" s="312"/>
      <c r="X399" s="312"/>
      <c r="Y399" s="331" t="s">
        <v>226</v>
      </c>
      <c r="Z399" s="313">
        <f>Z400+Z401</f>
        <v>159293236.75999999</v>
      </c>
      <c r="AA399" s="314">
        <f>AA400+AA401</f>
        <v>155831249.56999999</v>
      </c>
      <c r="AB399" s="276"/>
      <c r="AC399" s="276"/>
      <c r="AD399" s="281" t="s">
        <v>226</v>
      </c>
    </row>
    <row r="400" spans="1:32" ht="99" customHeight="1" x14ac:dyDescent="0.3">
      <c r="A400" s="324" t="s">
        <v>422</v>
      </c>
      <c r="B400" s="216" t="s">
        <v>14</v>
      </c>
      <c r="C400" s="216" t="s">
        <v>129</v>
      </c>
      <c r="D400" s="216" t="s">
        <v>123</v>
      </c>
      <c r="E400" s="216" t="s">
        <v>741</v>
      </c>
      <c r="F400" s="216"/>
      <c r="G400" s="216"/>
      <c r="H400" s="216"/>
      <c r="I400" s="216"/>
      <c r="J400" s="216"/>
      <c r="K400" s="216"/>
      <c r="L400" s="216"/>
      <c r="M400" s="216"/>
      <c r="N400" s="216"/>
      <c r="O400" s="216"/>
      <c r="P400" s="216"/>
      <c r="Q400" s="216"/>
      <c r="R400" s="216"/>
      <c r="S400" s="216"/>
      <c r="T400" s="216" t="s">
        <v>281</v>
      </c>
      <c r="U400" s="216"/>
      <c r="V400" s="312"/>
      <c r="W400" s="312"/>
      <c r="X400" s="312"/>
      <c r="Y400" s="331"/>
      <c r="Z400" s="313">
        <v>7200</v>
      </c>
      <c r="AA400" s="314"/>
      <c r="AB400" s="276"/>
      <c r="AC400" s="276"/>
      <c r="AD400" s="281"/>
    </row>
    <row r="401" spans="1:32" ht="336.75" customHeight="1" x14ac:dyDescent="0.3">
      <c r="A401" s="315" t="s">
        <v>455</v>
      </c>
      <c r="B401" s="316" t="s">
        <v>14</v>
      </c>
      <c r="C401" s="316" t="s">
        <v>129</v>
      </c>
      <c r="D401" s="316" t="s">
        <v>123</v>
      </c>
      <c r="E401" s="216" t="s">
        <v>741</v>
      </c>
      <c r="F401" s="316"/>
      <c r="G401" s="316"/>
      <c r="H401" s="316"/>
      <c r="I401" s="316"/>
      <c r="J401" s="316"/>
      <c r="K401" s="316"/>
      <c r="L401" s="316"/>
      <c r="M401" s="316"/>
      <c r="N401" s="316"/>
      <c r="O401" s="316"/>
      <c r="P401" s="316"/>
      <c r="Q401" s="316"/>
      <c r="R401" s="316"/>
      <c r="S401" s="316"/>
      <c r="T401" s="316" t="s">
        <v>300</v>
      </c>
      <c r="U401" s="316"/>
      <c r="V401" s="317"/>
      <c r="W401" s="317"/>
      <c r="X401" s="317"/>
      <c r="Y401" s="315" t="s">
        <v>455</v>
      </c>
      <c r="Z401" s="322">
        <f>159292400+49.17-7200+787.59</f>
        <v>159286036.75999999</v>
      </c>
      <c r="AA401" s="334">
        <f>155831300-50.43</f>
        <v>155831249.56999999</v>
      </c>
      <c r="AB401" s="177"/>
      <c r="AC401" s="177"/>
      <c r="AD401" s="278" t="s">
        <v>455</v>
      </c>
    </row>
    <row r="402" spans="1:32" s="291" customFormat="1" ht="117" customHeight="1" x14ac:dyDescent="0.3">
      <c r="A402" s="315" t="s">
        <v>982</v>
      </c>
      <c r="B402" s="316" t="s">
        <v>14</v>
      </c>
      <c r="C402" s="316" t="s">
        <v>129</v>
      </c>
      <c r="D402" s="316" t="s">
        <v>123</v>
      </c>
      <c r="E402" s="216" t="s">
        <v>980</v>
      </c>
      <c r="F402" s="316"/>
      <c r="G402" s="316"/>
      <c r="H402" s="316"/>
      <c r="I402" s="316"/>
      <c r="J402" s="316"/>
      <c r="K402" s="316"/>
      <c r="L402" s="316"/>
      <c r="M402" s="316"/>
      <c r="N402" s="316"/>
      <c r="O402" s="316"/>
      <c r="P402" s="316"/>
      <c r="Q402" s="316"/>
      <c r="R402" s="316"/>
      <c r="S402" s="316"/>
      <c r="T402" s="316"/>
      <c r="U402" s="316"/>
      <c r="V402" s="317"/>
      <c r="W402" s="317"/>
      <c r="X402" s="317"/>
      <c r="Y402" s="315"/>
      <c r="Z402" s="322"/>
      <c r="AA402" s="334">
        <f>AA403</f>
        <v>1064000</v>
      </c>
      <c r="AB402" s="294"/>
      <c r="AC402" s="294"/>
      <c r="AD402" s="295"/>
    </row>
    <row r="403" spans="1:32" s="291" customFormat="1" ht="334.5" customHeight="1" x14ac:dyDescent="0.3">
      <c r="A403" s="315" t="s">
        <v>455</v>
      </c>
      <c r="B403" s="316" t="s">
        <v>14</v>
      </c>
      <c r="C403" s="316" t="s">
        <v>129</v>
      </c>
      <c r="D403" s="316" t="s">
        <v>123</v>
      </c>
      <c r="E403" s="216" t="s">
        <v>980</v>
      </c>
      <c r="F403" s="316"/>
      <c r="G403" s="316"/>
      <c r="H403" s="316"/>
      <c r="I403" s="316"/>
      <c r="J403" s="316"/>
      <c r="K403" s="316"/>
      <c r="L403" s="316"/>
      <c r="M403" s="316"/>
      <c r="N403" s="316"/>
      <c r="O403" s="316"/>
      <c r="P403" s="316"/>
      <c r="Q403" s="316"/>
      <c r="R403" s="316"/>
      <c r="S403" s="316"/>
      <c r="T403" s="316" t="s">
        <v>300</v>
      </c>
      <c r="U403" s="316"/>
      <c r="V403" s="317"/>
      <c r="W403" s="317"/>
      <c r="X403" s="317"/>
      <c r="Y403" s="315"/>
      <c r="Z403" s="322"/>
      <c r="AA403" s="334">
        <v>1064000</v>
      </c>
      <c r="AB403" s="294"/>
      <c r="AC403" s="294"/>
      <c r="AD403" s="295"/>
    </row>
    <row r="404" spans="1:32" s="291" customFormat="1" ht="120" customHeight="1" x14ac:dyDescent="0.3">
      <c r="A404" s="315" t="s">
        <v>982</v>
      </c>
      <c r="B404" s="316" t="s">
        <v>14</v>
      </c>
      <c r="C404" s="316" t="s">
        <v>129</v>
      </c>
      <c r="D404" s="316" t="s">
        <v>123</v>
      </c>
      <c r="E404" s="216" t="s">
        <v>981</v>
      </c>
      <c r="F404" s="316"/>
      <c r="G404" s="316"/>
      <c r="H404" s="316"/>
      <c r="I404" s="316"/>
      <c r="J404" s="316"/>
      <c r="K404" s="316"/>
      <c r="L404" s="316"/>
      <c r="M404" s="316"/>
      <c r="N404" s="316"/>
      <c r="O404" s="316"/>
      <c r="P404" s="316"/>
      <c r="Q404" s="316"/>
      <c r="R404" s="316"/>
      <c r="S404" s="316"/>
      <c r="T404" s="316"/>
      <c r="U404" s="316"/>
      <c r="V404" s="317"/>
      <c r="W404" s="317"/>
      <c r="X404" s="317"/>
      <c r="Y404" s="315"/>
      <c r="Z404" s="322"/>
      <c r="AA404" s="334">
        <f>AA405</f>
        <v>456000</v>
      </c>
      <c r="AB404" s="294"/>
      <c r="AC404" s="294"/>
      <c r="AD404" s="295"/>
    </row>
    <row r="405" spans="1:32" s="291" customFormat="1" ht="341.25" customHeight="1" x14ac:dyDescent="0.3">
      <c r="A405" s="315" t="s">
        <v>455</v>
      </c>
      <c r="B405" s="316" t="s">
        <v>14</v>
      </c>
      <c r="C405" s="316" t="s">
        <v>129</v>
      </c>
      <c r="D405" s="316" t="s">
        <v>123</v>
      </c>
      <c r="E405" s="216" t="s">
        <v>981</v>
      </c>
      <c r="F405" s="316"/>
      <c r="G405" s="316"/>
      <c r="H405" s="316"/>
      <c r="I405" s="316"/>
      <c r="J405" s="316"/>
      <c r="K405" s="316"/>
      <c r="L405" s="316"/>
      <c r="M405" s="316"/>
      <c r="N405" s="316"/>
      <c r="O405" s="316"/>
      <c r="P405" s="316"/>
      <c r="Q405" s="316"/>
      <c r="R405" s="316"/>
      <c r="S405" s="316"/>
      <c r="T405" s="316" t="s">
        <v>300</v>
      </c>
      <c r="U405" s="316"/>
      <c r="V405" s="317"/>
      <c r="W405" s="317"/>
      <c r="X405" s="317"/>
      <c r="Y405" s="315"/>
      <c r="Z405" s="322"/>
      <c r="AA405" s="334">
        <v>456000</v>
      </c>
      <c r="AB405" s="294"/>
      <c r="AC405" s="294"/>
      <c r="AD405" s="295"/>
    </row>
    <row r="406" spans="1:32" ht="139.5" customHeight="1" x14ac:dyDescent="0.3">
      <c r="A406" s="311" t="s">
        <v>742</v>
      </c>
      <c r="B406" s="216" t="s">
        <v>14</v>
      </c>
      <c r="C406" s="216" t="s">
        <v>129</v>
      </c>
      <c r="D406" s="216" t="s">
        <v>123</v>
      </c>
      <c r="E406" s="216" t="s">
        <v>743</v>
      </c>
      <c r="F406" s="216"/>
      <c r="G406" s="216"/>
      <c r="H406" s="216"/>
      <c r="I406" s="216"/>
      <c r="J406" s="216"/>
      <c r="K406" s="216"/>
      <c r="L406" s="216"/>
      <c r="M406" s="216"/>
      <c r="N406" s="216"/>
      <c r="O406" s="216"/>
      <c r="P406" s="216"/>
      <c r="Q406" s="216"/>
      <c r="R406" s="216"/>
      <c r="S406" s="216"/>
      <c r="T406" s="216"/>
      <c r="U406" s="216"/>
      <c r="V406" s="312"/>
      <c r="W406" s="312"/>
      <c r="X406" s="312"/>
      <c r="Y406" s="311" t="s">
        <v>456</v>
      </c>
      <c r="Z406" s="313">
        <v>80000</v>
      </c>
      <c r="AA406" s="314">
        <f>AA407</f>
        <v>79746.58</v>
      </c>
      <c r="AB406" s="276"/>
      <c r="AC406" s="276"/>
      <c r="AD406" s="277" t="s">
        <v>456</v>
      </c>
    </row>
    <row r="407" spans="1:32" ht="110.25" customHeight="1" x14ac:dyDescent="0.3">
      <c r="A407" s="324" t="s">
        <v>457</v>
      </c>
      <c r="B407" s="316" t="s">
        <v>14</v>
      </c>
      <c r="C407" s="316" t="s">
        <v>129</v>
      </c>
      <c r="D407" s="316" t="s">
        <v>123</v>
      </c>
      <c r="E407" s="216" t="s">
        <v>743</v>
      </c>
      <c r="F407" s="316"/>
      <c r="G407" s="316"/>
      <c r="H407" s="316"/>
      <c r="I407" s="316"/>
      <c r="J407" s="316"/>
      <c r="K407" s="316"/>
      <c r="L407" s="316"/>
      <c r="M407" s="316"/>
      <c r="N407" s="316"/>
      <c r="O407" s="316"/>
      <c r="P407" s="316"/>
      <c r="Q407" s="316"/>
      <c r="R407" s="316"/>
      <c r="S407" s="316"/>
      <c r="T407" s="316" t="s">
        <v>300</v>
      </c>
      <c r="U407" s="316"/>
      <c r="V407" s="317"/>
      <c r="W407" s="317"/>
      <c r="X407" s="317"/>
      <c r="Y407" s="324" t="s">
        <v>457</v>
      </c>
      <c r="Z407" s="322">
        <v>80000</v>
      </c>
      <c r="AA407" s="334">
        <f>80000-253.42</f>
        <v>79746.58</v>
      </c>
      <c r="AB407" s="177"/>
      <c r="AC407" s="177"/>
      <c r="AD407" s="279" t="s">
        <v>457</v>
      </c>
      <c r="AF407" s="274"/>
    </row>
    <row r="408" spans="1:32" ht="144.75" customHeight="1" x14ac:dyDescent="0.3">
      <c r="A408" s="311" t="s">
        <v>744</v>
      </c>
      <c r="B408" s="216" t="s">
        <v>14</v>
      </c>
      <c r="C408" s="216" t="s">
        <v>129</v>
      </c>
      <c r="D408" s="216" t="s">
        <v>123</v>
      </c>
      <c r="E408" s="216" t="s">
        <v>745</v>
      </c>
      <c r="F408" s="216"/>
      <c r="G408" s="216"/>
      <c r="H408" s="216"/>
      <c r="I408" s="216"/>
      <c r="J408" s="216"/>
      <c r="K408" s="216"/>
      <c r="L408" s="216"/>
      <c r="M408" s="216"/>
      <c r="N408" s="216"/>
      <c r="O408" s="216"/>
      <c r="P408" s="216"/>
      <c r="Q408" s="216"/>
      <c r="R408" s="216"/>
      <c r="S408" s="216"/>
      <c r="T408" s="216"/>
      <c r="U408" s="216"/>
      <c r="V408" s="312"/>
      <c r="W408" s="312"/>
      <c r="X408" s="312"/>
      <c r="Y408" s="311" t="s">
        <v>458</v>
      </c>
      <c r="Z408" s="313">
        <v>50000</v>
      </c>
      <c r="AA408" s="314">
        <f>AA409</f>
        <v>49853.42</v>
      </c>
      <c r="AB408" s="276"/>
      <c r="AC408" s="276"/>
      <c r="AD408" s="277" t="s">
        <v>458</v>
      </c>
    </row>
    <row r="409" spans="1:32" ht="93.75" customHeight="1" x14ac:dyDescent="0.3">
      <c r="A409" s="324" t="s">
        <v>459</v>
      </c>
      <c r="B409" s="316" t="s">
        <v>14</v>
      </c>
      <c r="C409" s="316" t="s">
        <v>129</v>
      </c>
      <c r="D409" s="316" t="s">
        <v>123</v>
      </c>
      <c r="E409" s="216" t="s">
        <v>745</v>
      </c>
      <c r="F409" s="316"/>
      <c r="G409" s="316"/>
      <c r="H409" s="316"/>
      <c r="I409" s="316"/>
      <c r="J409" s="316"/>
      <c r="K409" s="316"/>
      <c r="L409" s="316"/>
      <c r="M409" s="316"/>
      <c r="N409" s="316"/>
      <c r="O409" s="316"/>
      <c r="P409" s="316"/>
      <c r="Q409" s="316"/>
      <c r="R409" s="316"/>
      <c r="S409" s="316"/>
      <c r="T409" s="316" t="s">
        <v>300</v>
      </c>
      <c r="U409" s="316"/>
      <c r="V409" s="317"/>
      <c r="W409" s="317"/>
      <c r="X409" s="317"/>
      <c r="Y409" s="324" t="s">
        <v>459</v>
      </c>
      <c r="Z409" s="322">
        <v>50000</v>
      </c>
      <c r="AA409" s="334">
        <f>50000-146.58</f>
        <v>49853.42</v>
      </c>
      <c r="AB409" s="177"/>
      <c r="AC409" s="177"/>
      <c r="AD409" s="279" t="s">
        <v>459</v>
      </c>
      <c r="AF409" s="274"/>
    </row>
    <row r="410" spans="1:32" ht="171.75" customHeight="1" x14ac:dyDescent="0.3">
      <c r="A410" s="311" t="s">
        <v>746</v>
      </c>
      <c r="B410" s="216" t="s">
        <v>14</v>
      </c>
      <c r="C410" s="216" t="s">
        <v>129</v>
      </c>
      <c r="D410" s="216" t="s">
        <v>123</v>
      </c>
      <c r="E410" s="216" t="s">
        <v>747</v>
      </c>
      <c r="F410" s="216"/>
      <c r="G410" s="216"/>
      <c r="H410" s="216"/>
      <c r="I410" s="216"/>
      <c r="J410" s="216"/>
      <c r="K410" s="216"/>
      <c r="L410" s="216"/>
      <c r="M410" s="216"/>
      <c r="N410" s="216"/>
      <c r="O410" s="216"/>
      <c r="P410" s="216"/>
      <c r="Q410" s="216"/>
      <c r="R410" s="216"/>
      <c r="S410" s="216"/>
      <c r="T410" s="216"/>
      <c r="U410" s="216"/>
      <c r="V410" s="312"/>
      <c r="W410" s="312"/>
      <c r="X410" s="312"/>
      <c r="Y410" s="311" t="s">
        <v>460</v>
      </c>
      <c r="Z410" s="313">
        <v>20000</v>
      </c>
      <c r="AA410" s="314">
        <f>AA411</f>
        <v>20000</v>
      </c>
      <c r="AB410" s="276"/>
      <c r="AC410" s="276"/>
      <c r="AD410" s="277" t="s">
        <v>460</v>
      </c>
    </row>
    <row r="411" spans="1:32" ht="109.5" customHeight="1" thickBot="1" x14ac:dyDescent="0.35">
      <c r="A411" s="324" t="s">
        <v>461</v>
      </c>
      <c r="B411" s="316" t="s">
        <v>14</v>
      </c>
      <c r="C411" s="316" t="s">
        <v>129</v>
      </c>
      <c r="D411" s="316" t="s">
        <v>123</v>
      </c>
      <c r="E411" s="216" t="s">
        <v>747</v>
      </c>
      <c r="F411" s="316"/>
      <c r="G411" s="316"/>
      <c r="H411" s="316"/>
      <c r="I411" s="316"/>
      <c r="J411" s="316"/>
      <c r="K411" s="316"/>
      <c r="L411" s="316"/>
      <c r="M411" s="316"/>
      <c r="N411" s="316"/>
      <c r="O411" s="316"/>
      <c r="P411" s="316"/>
      <c r="Q411" s="316"/>
      <c r="R411" s="316"/>
      <c r="S411" s="316"/>
      <c r="T411" s="316" t="s">
        <v>300</v>
      </c>
      <c r="U411" s="316"/>
      <c r="V411" s="317"/>
      <c r="W411" s="317"/>
      <c r="X411" s="317"/>
      <c r="Y411" s="324" t="s">
        <v>461</v>
      </c>
      <c r="Z411" s="322">
        <v>20000</v>
      </c>
      <c r="AA411" s="334">
        <v>20000</v>
      </c>
      <c r="AB411" s="177"/>
      <c r="AC411" s="177"/>
      <c r="AD411" s="279" t="s">
        <v>461</v>
      </c>
      <c r="AF411" s="274"/>
    </row>
    <row r="412" spans="1:32" ht="123.75" customHeight="1" thickBot="1" x14ac:dyDescent="0.35">
      <c r="A412" s="390" t="s">
        <v>537</v>
      </c>
      <c r="B412" s="316" t="s">
        <v>14</v>
      </c>
      <c r="C412" s="316" t="s">
        <v>129</v>
      </c>
      <c r="D412" s="316" t="s">
        <v>123</v>
      </c>
      <c r="E412" s="216" t="s">
        <v>725</v>
      </c>
      <c r="F412" s="316"/>
      <c r="G412" s="316"/>
      <c r="H412" s="316"/>
      <c r="I412" s="316"/>
      <c r="J412" s="316"/>
      <c r="K412" s="316"/>
      <c r="L412" s="316"/>
      <c r="M412" s="316"/>
      <c r="N412" s="316"/>
      <c r="O412" s="316"/>
      <c r="P412" s="316"/>
      <c r="Q412" s="316"/>
      <c r="R412" s="316"/>
      <c r="S412" s="316"/>
      <c r="T412" s="316"/>
      <c r="U412" s="316"/>
      <c r="V412" s="317"/>
      <c r="W412" s="317"/>
      <c r="X412" s="317"/>
      <c r="Y412" s="324"/>
      <c r="Z412" s="322">
        <v>0</v>
      </c>
      <c r="AA412" s="319">
        <f>AA413</f>
        <v>234360</v>
      </c>
      <c r="AB412" s="177"/>
      <c r="AC412" s="177"/>
      <c r="AD412" s="279"/>
    </row>
    <row r="413" spans="1:32" ht="117" customHeight="1" x14ac:dyDescent="0.3">
      <c r="A413" s="433" t="s">
        <v>537</v>
      </c>
      <c r="B413" s="328" t="s">
        <v>14</v>
      </c>
      <c r="C413" s="328" t="s">
        <v>129</v>
      </c>
      <c r="D413" s="328" t="s">
        <v>123</v>
      </c>
      <c r="E413" s="296" t="s">
        <v>725</v>
      </c>
      <c r="F413" s="328"/>
      <c r="G413" s="328"/>
      <c r="H413" s="328"/>
      <c r="I413" s="328"/>
      <c r="J413" s="328"/>
      <c r="K413" s="328"/>
      <c r="L413" s="328"/>
      <c r="M413" s="328"/>
      <c r="N413" s="328"/>
      <c r="O413" s="328"/>
      <c r="P413" s="328"/>
      <c r="Q413" s="328"/>
      <c r="R413" s="328"/>
      <c r="S413" s="328"/>
      <c r="T413" s="328" t="s">
        <v>300</v>
      </c>
      <c r="U413" s="328"/>
      <c r="V413" s="329"/>
      <c r="W413" s="329"/>
      <c r="X413" s="329"/>
      <c r="Y413" s="355"/>
      <c r="Z413" s="330">
        <v>0</v>
      </c>
      <c r="AA413" s="428">
        <f>320000-85640</f>
        <v>234360</v>
      </c>
      <c r="AB413" s="177"/>
      <c r="AC413" s="177"/>
      <c r="AD413" s="279"/>
      <c r="AF413" s="274"/>
    </row>
    <row r="414" spans="1:32" ht="101.25" customHeight="1" x14ac:dyDescent="0.3">
      <c r="A414" s="311" t="s">
        <v>462</v>
      </c>
      <c r="B414" s="216" t="s">
        <v>14</v>
      </c>
      <c r="C414" s="216" t="s">
        <v>129</v>
      </c>
      <c r="D414" s="216" t="s">
        <v>123</v>
      </c>
      <c r="E414" s="216" t="s">
        <v>748</v>
      </c>
      <c r="F414" s="216"/>
      <c r="G414" s="216"/>
      <c r="H414" s="216"/>
      <c r="I414" s="216"/>
      <c r="J414" s="216"/>
      <c r="K414" s="216"/>
      <c r="L414" s="216"/>
      <c r="M414" s="216"/>
      <c r="N414" s="216"/>
      <c r="O414" s="216"/>
      <c r="P414" s="216"/>
      <c r="Q414" s="216"/>
      <c r="R414" s="216"/>
      <c r="S414" s="216"/>
      <c r="T414" s="216"/>
      <c r="U414" s="216"/>
      <c r="V414" s="312"/>
      <c r="W414" s="312"/>
      <c r="X414" s="312"/>
      <c r="Y414" s="311" t="s">
        <v>462</v>
      </c>
      <c r="Z414" s="313">
        <v>57000</v>
      </c>
      <c r="AA414" s="314">
        <f>AA415</f>
        <v>154000</v>
      </c>
      <c r="AB414" s="276"/>
      <c r="AC414" s="276"/>
      <c r="AD414" s="277" t="s">
        <v>462</v>
      </c>
    </row>
    <row r="415" spans="1:32" ht="144" customHeight="1" x14ac:dyDescent="0.3">
      <c r="A415" s="311" t="s">
        <v>463</v>
      </c>
      <c r="B415" s="316" t="s">
        <v>14</v>
      </c>
      <c r="C415" s="316" t="s">
        <v>129</v>
      </c>
      <c r="D415" s="316" t="s">
        <v>123</v>
      </c>
      <c r="E415" s="216" t="s">
        <v>748</v>
      </c>
      <c r="F415" s="316"/>
      <c r="G415" s="316"/>
      <c r="H415" s="316"/>
      <c r="I415" s="316"/>
      <c r="J415" s="316"/>
      <c r="K415" s="316"/>
      <c r="L415" s="316"/>
      <c r="M415" s="316"/>
      <c r="N415" s="316"/>
      <c r="O415" s="316"/>
      <c r="P415" s="316"/>
      <c r="Q415" s="316"/>
      <c r="R415" s="316"/>
      <c r="S415" s="316"/>
      <c r="T415" s="316" t="s">
        <v>300</v>
      </c>
      <c r="U415" s="316"/>
      <c r="V415" s="317"/>
      <c r="W415" s="317"/>
      <c r="X415" s="317"/>
      <c r="Y415" s="324" t="s">
        <v>463</v>
      </c>
      <c r="Z415" s="322">
        <v>57000</v>
      </c>
      <c r="AA415" s="348">
        <f>144000+10000</f>
        <v>154000</v>
      </c>
      <c r="AB415" s="177"/>
      <c r="AC415" s="177"/>
      <c r="AD415" s="279" t="s">
        <v>463</v>
      </c>
      <c r="AF415" s="274"/>
    </row>
    <row r="416" spans="1:32" ht="57" customHeight="1" x14ac:dyDescent="0.3">
      <c r="A416" s="301" t="s">
        <v>148</v>
      </c>
      <c r="B416" s="302" t="s">
        <v>14</v>
      </c>
      <c r="C416" s="302" t="s">
        <v>129</v>
      </c>
      <c r="D416" s="302" t="s">
        <v>129</v>
      </c>
      <c r="E416" s="302"/>
      <c r="F416" s="302"/>
      <c r="G416" s="302"/>
      <c r="H416" s="302"/>
      <c r="I416" s="302"/>
      <c r="J416" s="302"/>
      <c r="K416" s="302"/>
      <c r="L416" s="302"/>
      <c r="M416" s="302"/>
      <c r="N416" s="302"/>
      <c r="O416" s="302"/>
      <c r="P416" s="302"/>
      <c r="Q416" s="302"/>
      <c r="R416" s="302"/>
      <c r="S416" s="302"/>
      <c r="T416" s="302"/>
      <c r="U416" s="302"/>
      <c r="V416" s="303"/>
      <c r="W416" s="303"/>
      <c r="X416" s="303"/>
      <c r="Y416" s="301" t="s">
        <v>148</v>
      </c>
      <c r="Z416" s="325">
        <f>Z417+Z420+Z422</f>
        <v>3139440</v>
      </c>
      <c r="AA416" s="305">
        <f>AA417+AA420+AA422</f>
        <v>4066340</v>
      </c>
      <c r="AB416" s="283"/>
      <c r="AC416" s="178"/>
      <c r="AD416" s="273" t="s">
        <v>148</v>
      </c>
    </row>
    <row r="417" spans="1:32" ht="164.25" customHeight="1" x14ac:dyDescent="0.3">
      <c r="A417" s="311" t="s">
        <v>961</v>
      </c>
      <c r="B417" s="216" t="s">
        <v>14</v>
      </c>
      <c r="C417" s="216" t="s">
        <v>129</v>
      </c>
      <c r="D417" s="216" t="s">
        <v>129</v>
      </c>
      <c r="E417" s="216" t="s">
        <v>750</v>
      </c>
      <c r="F417" s="216"/>
      <c r="G417" s="216"/>
      <c r="H417" s="216"/>
      <c r="I417" s="216"/>
      <c r="J417" s="216"/>
      <c r="K417" s="216"/>
      <c r="L417" s="216"/>
      <c r="M417" s="216"/>
      <c r="N417" s="216"/>
      <c r="O417" s="216"/>
      <c r="P417" s="216"/>
      <c r="Q417" s="216"/>
      <c r="R417" s="216"/>
      <c r="S417" s="216"/>
      <c r="T417" s="216"/>
      <c r="U417" s="216"/>
      <c r="V417" s="312"/>
      <c r="W417" s="312"/>
      <c r="X417" s="312"/>
      <c r="Y417" s="311" t="s">
        <v>464</v>
      </c>
      <c r="Z417" s="313">
        <v>1500000</v>
      </c>
      <c r="AA417" s="327">
        <f>AA419+AA418</f>
        <v>2500000</v>
      </c>
      <c r="AB417" s="276"/>
      <c r="AC417" s="276"/>
      <c r="AD417" s="277" t="s">
        <v>464</v>
      </c>
    </row>
    <row r="418" spans="1:32" ht="124.5" customHeight="1" x14ac:dyDescent="0.3">
      <c r="A418" s="324" t="s">
        <v>960</v>
      </c>
      <c r="B418" s="216" t="s">
        <v>14</v>
      </c>
      <c r="C418" s="216" t="s">
        <v>129</v>
      </c>
      <c r="D418" s="216" t="s">
        <v>129</v>
      </c>
      <c r="E418" s="216" t="s">
        <v>750</v>
      </c>
      <c r="F418" s="216"/>
      <c r="G418" s="216"/>
      <c r="H418" s="216"/>
      <c r="I418" s="216"/>
      <c r="J418" s="216"/>
      <c r="K418" s="216"/>
      <c r="L418" s="216"/>
      <c r="M418" s="216"/>
      <c r="N418" s="216"/>
      <c r="O418" s="216"/>
      <c r="P418" s="216"/>
      <c r="Q418" s="216"/>
      <c r="R418" s="216"/>
      <c r="S418" s="216"/>
      <c r="T418" s="216" t="s">
        <v>281</v>
      </c>
      <c r="U418" s="216"/>
      <c r="V418" s="312"/>
      <c r="W418" s="312"/>
      <c r="X418" s="312"/>
      <c r="Y418" s="311"/>
      <c r="Z418" s="313"/>
      <c r="AA418" s="327">
        <f>35000+65000+5000</f>
        <v>105000</v>
      </c>
      <c r="AB418" s="276"/>
      <c r="AC418" s="276"/>
      <c r="AD418" s="277"/>
    </row>
    <row r="419" spans="1:32" ht="140.25" customHeight="1" x14ac:dyDescent="0.3">
      <c r="A419" s="324" t="s">
        <v>465</v>
      </c>
      <c r="B419" s="316" t="s">
        <v>14</v>
      </c>
      <c r="C419" s="316" t="s">
        <v>129</v>
      </c>
      <c r="D419" s="316" t="s">
        <v>129</v>
      </c>
      <c r="E419" s="216" t="s">
        <v>750</v>
      </c>
      <c r="F419" s="316"/>
      <c r="G419" s="316"/>
      <c r="H419" s="316"/>
      <c r="I419" s="316"/>
      <c r="J419" s="316"/>
      <c r="K419" s="316"/>
      <c r="L419" s="316"/>
      <c r="M419" s="316"/>
      <c r="N419" s="316"/>
      <c r="O419" s="316"/>
      <c r="P419" s="316"/>
      <c r="Q419" s="316"/>
      <c r="R419" s="316"/>
      <c r="S419" s="316"/>
      <c r="T419" s="316" t="s">
        <v>300</v>
      </c>
      <c r="U419" s="316"/>
      <c r="V419" s="317"/>
      <c r="W419" s="317"/>
      <c r="X419" s="317"/>
      <c r="Y419" s="324" t="s">
        <v>465</v>
      </c>
      <c r="Z419" s="322">
        <v>1500000</v>
      </c>
      <c r="AA419" s="334">
        <f>1985000+15000-100000+500000-35000+35000-5000</f>
        <v>2395000</v>
      </c>
      <c r="AB419" s="177"/>
      <c r="AC419" s="177"/>
      <c r="AD419" s="279" t="s">
        <v>465</v>
      </c>
      <c r="AF419" s="274"/>
    </row>
    <row r="420" spans="1:32" ht="145.5" customHeight="1" x14ac:dyDescent="0.3">
      <c r="A420" s="311" t="s">
        <v>962</v>
      </c>
      <c r="B420" s="216" t="s">
        <v>14</v>
      </c>
      <c r="C420" s="216" t="s">
        <v>129</v>
      </c>
      <c r="D420" s="216" t="s">
        <v>129</v>
      </c>
      <c r="E420" s="216" t="s">
        <v>752</v>
      </c>
      <c r="F420" s="216"/>
      <c r="G420" s="216"/>
      <c r="H420" s="216"/>
      <c r="I420" s="216"/>
      <c r="J420" s="216"/>
      <c r="K420" s="216"/>
      <c r="L420" s="216"/>
      <c r="M420" s="216"/>
      <c r="N420" s="216"/>
      <c r="O420" s="216"/>
      <c r="P420" s="216"/>
      <c r="Q420" s="216"/>
      <c r="R420" s="216"/>
      <c r="S420" s="216"/>
      <c r="T420" s="216"/>
      <c r="U420" s="216"/>
      <c r="V420" s="312"/>
      <c r="W420" s="312"/>
      <c r="X420" s="312"/>
      <c r="Y420" s="311" t="s">
        <v>466</v>
      </c>
      <c r="Z420" s="313">
        <f>Z421</f>
        <v>300000</v>
      </c>
      <c r="AA420" s="314">
        <f>AA421</f>
        <v>0</v>
      </c>
      <c r="AB420" s="276"/>
      <c r="AC420" s="276"/>
      <c r="AD420" s="277" t="s">
        <v>466</v>
      </c>
    </row>
    <row r="421" spans="1:32" ht="150" customHeight="1" x14ac:dyDescent="0.3">
      <c r="A421" s="324" t="s">
        <v>467</v>
      </c>
      <c r="B421" s="316" t="s">
        <v>14</v>
      </c>
      <c r="C421" s="316" t="s">
        <v>129</v>
      </c>
      <c r="D421" s="316" t="s">
        <v>129</v>
      </c>
      <c r="E421" s="216" t="s">
        <v>752</v>
      </c>
      <c r="F421" s="316"/>
      <c r="G421" s="316"/>
      <c r="H421" s="316"/>
      <c r="I421" s="316"/>
      <c r="J421" s="316"/>
      <c r="K421" s="316"/>
      <c r="L421" s="316"/>
      <c r="M421" s="316"/>
      <c r="N421" s="316"/>
      <c r="O421" s="316"/>
      <c r="P421" s="316"/>
      <c r="Q421" s="316"/>
      <c r="R421" s="316"/>
      <c r="S421" s="316"/>
      <c r="T421" s="316" t="s">
        <v>300</v>
      </c>
      <c r="U421" s="316"/>
      <c r="V421" s="317"/>
      <c r="W421" s="317"/>
      <c r="X421" s="317"/>
      <c r="Y421" s="324" t="s">
        <v>467</v>
      </c>
      <c r="Z421" s="322">
        <f>100000+200000</f>
        <v>300000</v>
      </c>
      <c r="AA421" s="334">
        <f>100000-100000</f>
        <v>0</v>
      </c>
      <c r="AB421" s="177"/>
      <c r="AC421" s="177"/>
      <c r="AD421" s="279" t="s">
        <v>467</v>
      </c>
      <c r="AF421" s="274"/>
    </row>
    <row r="422" spans="1:32" ht="183" customHeight="1" x14ac:dyDescent="0.3">
      <c r="A422" s="324" t="s">
        <v>545</v>
      </c>
      <c r="B422" s="316" t="s">
        <v>14</v>
      </c>
      <c r="C422" s="316" t="s">
        <v>129</v>
      </c>
      <c r="D422" s="316" t="s">
        <v>129</v>
      </c>
      <c r="E422" s="216" t="s">
        <v>753</v>
      </c>
      <c r="F422" s="316"/>
      <c r="G422" s="316"/>
      <c r="H422" s="316"/>
      <c r="I422" s="316"/>
      <c r="J422" s="316"/>
      <c r="K422" s="316"/>
      <c r="L422" s="316"/>
      <c r="M422" s="316"/>
      <c r="N422" s="316"/>
      <c r="O422" s="316"/>
      <c r="P422" s="316"/>
      <c r="Q422" s="316"/>
      <c r="R422" s="316"/>
      <c r="S422" s="316"/>
      <c r="T422" s="316"/>
      <c r="U422" s="316"/>
      <c r="V422" s="317"/>
      <c r="W422" s="317"/>
      <c r="X422" s="317"/>
      <c r="Y422" s="324"/>
      <c r="Z422" s="322">
        <f>Z423</f>
        <v>1339440</v>
      </c>
      <c r="AA422" s="319">
        <f>AA423+AA424</f>
        <v>1566340</v>
      </c>
      <c r="AB422" s="177"/>
      <c r="AC422" s="177"/>
      <c r="AD422" s="279"/>
    </row>
    <row r="423" spans="1:32" ht="55.5" customHeight="1" x14ac:dyDescent="0.3">
      <c r="A423" s="324" t="s">
        <v>1164</v>
      </c>
      <c r="B423" s="316" t="s">
        <v>14</v>
      </c>
      <c r="C423" s="316" t="s">
        <v>129</v>
      </c>
      <c r="D423" s="316" t="s">
        <v>129</v>
      </c>
      <c r="E423" s="216" t="s">
        <v>753</v>
      </c>
      <c r="F423" s="316"/>
      <c r="G423" s="316"/>
      <c r="H423" s="316"/>
      <c r="I423" s="316"/>
      <c r="J423" s="316"/>
      <c r="K423" s="316"/>
      <c r="L423" s="316"/>
      <c r="M423" s="316"/>
      <c r="N423" s="316"/>
      <c r="O423" s="316"/>
      <c r="P423" s="316"/>
      <c r="Q423" s="316"/>
      <c r="R423" s="316"/>
      <c r="S423" s="316"/>
      <c r="T423" s="316" t="s">
        <v>281</v>
      </c>
      <c r="U423" s="316"/>
      <c r="V423" s="317"/>
      <c r="W423" s="317"/>
      <c r="X423" s="317"/>
      <c r="Y423" s="324"/>
      <c r="Z423" s="322">
        <v>1339440</v>
      </c>
      <c r="AA423" s="334">
        <v>239030.39999999999</v>
      </c>
      <c r="AB423" s="177"/>
      <c r="AC423" s="177"/>
      <c r="AD423" s="279"/>
    </row>
    <row r="424" spans="1:32" ht="56.25" customHeight="1" x14ac:dyDescent="0.3">
      <c r="A424" s="324" t="s">
        <v>529</v>
      </c>
      <c r="B424" s="316" t="s">
        <v>14</v>
      </c>
      <c r="C424" s="316" t="s">
        <v>129</v>
      </c>
      <c r="D424" s="316" t="s">
        <v>129</v>
      </c>
      <c r="E424" s="216" t="s">
        <v>753</v>
      </c>
      <c r="F424" s="316"/>
      <c r="G424" s="316"/>
      <c r="H424" s="316"/>
      <c r="I424" s="316"/>
      <c r="J424" s="316"/>
      <c r="K424" s="316"/>
      <c r="L424" s="316"/>
      <c r="M424" s="316"/>
      <c r="N424" s="316"/>
      <c r="O424" s="316"/>
      <c r="P424" s="316"/>
      <c r="Q424" s="316"/>
      <c r="R424" s="316"/>
      <c r="S424" s="316"/>
      <c r="T424" s="316" t="s">
        <v>300</v>
      </c>
      <c r="U424" s="316"/>
      <c r="V424" s="317"/>
      <c r="W424" s="317"/>
      <c r="X424" s="317"/>
      <c r="Y424" s="324"/>
      <c r="Z424" s="322"/>
      <c r="AA424" s="334">
        <v>1327309.6000000001</v>
      </c>
      <c r="AB424" s="177"/>
      <c r="AC424" s="177"/>
      <c r="AD424" s="279"/>
    </row>
    <row r="425" spans="1:32" ht="37.15" customHeight="1" x14ac:dyDescent="0.3">
      <c r="A425" s="301" t="s">
        <v>149</v>
      </c>
      <c r="B425" s="302" t="s">
        <v>14</v>
      </c>
      <c r="C425" s="302" t="s">
        <v>129</v>
      </c>
      <c r="D425" s="302" t="s">
        <v>118</v>
      </c>
      <c r="E425" s="302"/>
      <c r="F425" s="302"/>
      <c r="G425" s="302"/>
      <c r="H425" s="302"/>
      <c r="I425" s="302"/>
      <c r="J425" s="302"/>
      <c r="K425" s="302"/>
      <c r="L425" s="302"/>
      <c r="M425" s="302"/>
      <c r="N425" s="302"/>
      <c r="O425" s="302"/>
      <c r="P425" s="302"/>
      <c r="Q425" s="302"/>
      <c r="R425" s="302"/>
      <c r="S425" s="302"/>
      <c r="T425" s="302"/>
      <c r="U425" s="302"/>
      <c r="V425" s="303"/>
      <c r="W425" s="303"/>
      <c r="X425" s="303"/>
      <c r="Y425" s="301" t="s">
        <v>149</v>
      </c>
      <c r="Z425" s="325">
        <f>Z426+Z430+Z434</f>
        <v>23623304.16</v>
      </c>
      <c r="AA425" s="377">
        <f>AA426+AA430+AA434</f>
        <v>24096137.660000004</v>
      </c>
      <c r="AB425" s="178"/>
      <c r="AC425" s="178"/>
      <c r="AD425" s="273" t="s">
        <v>149</v>
      </c>
      <c r="AF425" s="274"/>
    </row>
    <row r="426" spans="1:32" ht="192" customHeight="1" x14ac:dyDescent="0.3">
      <c r="A426" s="311" t="s">
        <v>754</v>
      </c>
      <c r="B426" s="216" t="s">
        <v>14</v>
      </c>
      <c r="C426" s="216" t="s">
        <v>129</v>
      </c>
      <c r="D426" s="216" t="s">
        <v>118</v>
      </c>
      <c r="E426" s="216" t="s">
        <v>755</v>
      </c>
      <c r="F426" s="216"/>
      <c r="G426" s="216"/>
      <c r="H426" s="216"/>
      <c r="I426" s="216"/>
      <c r="J426" s="216"/>
      <c r="K426" s="216"/>
      <c r="L426" s="216"/>
      <c r="M426" s="216"/>
      <c r="N426" s="216"/>
      <c r="O426" s="216"/>
      <c r="P426" s="216"/>
      <c r="Q426" s="216"/>
      <c r="R426" s="216"/>
      <c r="S426" s="216"/>
      <c r="T426" s="216"/>
      <c r="U426" s="216"/>
      <c r="V426" s="312"/>
      <c r="W426" s="312"/>
      <c r="X426" s="312"/>
      <c r="Y426" s="311" t="s">
        <v>471</v>
      </c>
      <c r="Z426" s="313">
        <f>Z427+Z428+Z429</f>
        <v>5529184.1099999994</v>
      </c>
      <c r="AA426" s="321">
        <f>AA427+AA428+AA429</f>
        <v>5523184.1100000003</v>
      </c>
      <c r="AB426" s="276"/>
      <c r="AC426" s="276"/>
      <c r="AD426" s="277" t="s">
        <v>471</v>
      </c>
      <c r="AF426" s="274"/>
    </row>
    <row r="427" spans="1:32" ht="183" customHeight="1" x14ac:dyDescent="0.3">
      <c r="A427" s="315" t="s">
        <v>472</v>
      </c>
      <c r="B427" s="316" t="s">
        <v>14</v>
      </c>
      <c r="C427" s="316" t="s">
        <v>129</v>
      </c>
      <c r="D427" s="316" t="s">
        <v>118</v>
      </c>
      <c r="E427" s="216" t="s">
        <v>755</v>
      </c>
      <c r="F427" s="316"/>
      <c r="G427" s="316"/>
      <c r="H427" s="316"/>
      <c r="I427" s="316"/>
      <c r="J427" s="316"/>
      <c r="K427" s="316"/>
      <c r="L427" s="316"/>
      <c r="M427" s="316"/>
      <c r="N427" s="316"/>
      <c r="O427" s="316"/>
      <c r="P427" s="316"/>
      <c r="Q427" s="316"/>
      <c r="R427" s="316"/>
      <c r="S427" s="316"/>
      <c r="T427" s="316" t="s">
        <v>29</v>
      </c>
      <c r="U427" s="316"/>
      <c r="V427" s="317"/>
      <c r="W427" s="317"/>
      <c r="X427" s="317"/>
      <c r="Y427" s="315" t="s">
        <v>472</v>
      </c>
      <c r="Z427" s="322">
        <f>5094122.63+257958.13+77903.35</f>
        <v>5429984.1099999994</v>
      </c>
      <c r="AA427" s="319">
        <f>4111354.93+1241629.18+22000+182000+130000-257000</f>
        <v>5429984.1100000003</v>
      </c>
      <c r="AB427" s="177"/>
      <c r="AC427" s="177"/>
      <c r="AD427" s="278" t="s">
        <v>472</v>
      </c>
      <c r="AF427" s="274"/>
    </row>
    <row r="428" spans="1:32" ht="111.75" customHeight="1" x14ac:dyDescent="0.3">
      <c r="A428" s="324" t="s">
        <v>473</v>
      </c>
      <c r="B428" s="316" t="s">
        <v>14</v>
      </c>
      <c r="C428" s="316" t="s">
        <v>129</v>
      </c>
      <c r="D428" s="316" t="s">
        <v>118</v>
      </c>
      <c r="E428" s="216" t="s">
        <v>755</v>
      </c>
      <c r="F428" s="316"/>
      <c r="G428" s="316"/>
      <c r="H428" s="316"/>
      <c r="I428" s="316"/>
      <c r="J428" s="316"/>
      <c r="K428" s="316"/>
      <c r="L428" s="316"/>
      <c r="M428" s="316"/>
      <c r="N428" s="316"/>
      <c r="O428" s="316"/>
      <c r="P428" s="316"/>
      <c r="Q428" s="316"/>
      <c r="R428" s="316"/>
      <c r="S428" s="316"/>
      <c r="T428" s="316" t="s">
        <v>281</v>
      </c>
      <c r="U428" s="316"/>
      <c r="V428" s="317"/>
      <c r="W428" s="317"/>
      <c r="X428" s="317"/>
      <c r="Y428" s="324" t="s">
        <v>473</v>
      </c>
      <c r="Z428" s="322">
        <v>93200</v>
      </c>
      <c r="AA428" s="319">
        <f>41035.2+19200+56000+100000+95000-218035.2-33</f>
        <v>93167</v>
      </c>
      <c r="AB428" s="177"/>
      <c r="AC428" s="177"/>
      <c r="AD428" s="279" t="s">
        <v>473</v>
      </c>
      <c r="AF428" s="274"/>
    </row>
    <row r="429" spans="1:32" ht="104.25" customHeight="1" x14ac:dyDescent="0.3">
      <c r="A429" s="324" t="s">
        <v>474</v>
      </c>
      <c r="B429" s="316" t="s">
        <v>14</v>
      </c>
      <c r="C429" s="316" t="s">
        <v>129</v>
      </c>
      <c r="D429" s="316" t="s">
        <v>118</v>
      </c>
      <c r="E429" s="216" t="s">
        <v>755</v>
      </c>
      <c r="F429" s="316"/>
      <c r="G429" s="316"/>
      <c r="H429" s="316"/>
      <c r="I429" s="316"/>
      <c r="J429" s="316"/>
      <c r="K429" s="316"/>
      <c r="L429" s="316"/>
      <c r="M429" s="316"/>
      <c r="N429" s="316"/>
      <c r="O429" s="316"/>
      <c r="P429" s="316"/>
      <c r="Q429" s="316"/>
      <c r="R429" s="316"/>
      <c r="S429" s="316"/>
      <c r="T429" s="316" t="s">
        <v>235</v>
      </c>
      <c r="U429" s="316"/>
      <c r="V429" s="317"/>
      <c r="W429" s="317"/>
      <c r="X429" s="317"/>
      <c r="Y429" s="324" t="s">
        <v>474</v>
      </c>
      <c r="Z429" s="322">
        <v>6000</v>
      </c>
      <c r="AA429" s="319">
        <v>33</v>
      </c>
      <c r="AB429" s="177"/>
      <c r="AC429" s="177"/>
      <c r="AD429" s="279" t="s">
        <v>474</v>
      </c>
      <c r="AF429" s="274"/>
    </row>
    <row r="430" spans="1:32" ht="210.75" customHeight="1" x14ac:dyDescent="0.3">
      <c r="A430" s="311" t="s">
        <v>756</v>
      </c>
      <c r="B430" s="216" t="s">
        <v>14</v>
      </c>
      <c r="C430" s="216" t="s">
        <v>129</v>
      </c>
      <c r="D430" s="216" t="s">
        <v>118</v>
      </c>
      <c r="E430" s="216" t="s">
        <v>757</v>
      </c>
      <c r="F430" s="216"/>
      <c r="G430" s="216"/>
      <c r="H430" s="216"/>
      <c r="I430" s="216"/>
      <c r="J430" s="216"/>
      <c r="K430" s="216"/>
      <c r="L430" s="216"/>
      <c r="M430" s="216"/>
      <c r="N430" s="216"/>
      <c r="O430" s="216"/>
      <c r="P430" s="216"/>
      <c r="Q430" s="216"/>
      <c r="R430" s="216"/>
      <c r="S430" s="216"/>
      <c r="T430" s="216"/>
      <c r="U430" s="216"/>
      <c r="V430" s="312"/>
      <c r="W430" s="312"/>
      <c r="X430" s="312"/>
      <c r="Y430" s="311" t="s">
        <v>475</v>
      </c>
      <c r="Z430" s="313">
        <v>14777720.050000001</v>
      </c>
      <c r="AA430" s="321">
        <f>AA431+AA432+AA433</f>
        <v>16187799.880000001</v>
      </c>
      <c r="AB430" s="276"/>
      <c r="AC430" s="276"/>
      <c r="AD430" s="277" t="s">
        <v>475</v>
      </c>
    </row>
    <row r="431" spans="1:32" ht="206.25" customHeight="1" x14ac:dyDescent="0.3">
      <c r="A431" s="315" t="s">
        <v>476</v>
      </c>
      <c r="B431" s="316" t="s">
        <v>14</v>
      </c>
      <c r="C431" s="316" t="s">
        <v>129</v>
      </c>
      <c r="D431" s="316" t="s">
        <v>118</v>
      </c>
      <c r="E431" s="216" t="s">
        <v>757</v>
      </c>
      <c r="F431" s="316"/>
      <c r="G431" s="316"/>
      <c r="H431" s="316"/>
      <c r="I431" s="316"/>
      <c r="J431" s="316"/>
      <c r="K431" s="316"/>
      <c r="L431" s="316"/>
      <c r="M431" s="316"/>
      <c r="N431" s="316"/>
      <c r="O431" s="316"/>
      <c r="P431" s="316"/>
      <c r="Q431" s="316"/>
      <c r="R431" s="316"/>
      <c r="S431" s="316"/>
      <c r="T431" s="316" t="s">
        <v>29</v>
      </c>
      <c r="U431" s="316"/>
      <c r="V431" s="317"/>
      <c r="W431" s="317"/>
      <c r="X431" s="317"/>
      <c r="Y431" s="315" t="s">
        <v>476</v>
      </c>
      <c r="Z431" s="322">
        <v>12363442.65</v>
      </c>
      <c r="AA431" s="319">
        <f>9377913+2832129.65+12600+67600+68000+807416.83+193613</f>
        <v>13359272.48</v>
      </c>
      <c r="AB431" s="177"/>
      <c r="AC431" s="177"/>
      <c r="AD431" s="278" t="s">
        <v>476</v>
      </c>
      <c r="AF431" s="274"/>
    </row>
    <row r="432" spans="1:32" ht="143.25" customHeight="1" x14ac:dyDescent="0.3">
      <c r="A432" s="355" t="s">
        <v>477</v>
      </c>
      <c r="B432" s="328" t="s">
        <v>14</v>
      </c>
      <c r="C432" s="328" t="s">
        <v>129</v>
      </c>
      <c r="D432" s="328" t="s">
        <v>118</v>
      </c>
      <c r="E432" s="296" t="s">
        <v>757</v>
      </c>
      <c r="F432" s="328"/>
      <c r="G432" s="328"/>
      <c r="H432" s="328"/>
      <c r="I432" s="328"/>
      <c r="J432" s="328"/>
      <c r="K432" s="328"/>
      <c r="L432" s="328"/>
      <c r="M432" s="328"/>
      <c r="N432" s="328"/>
      <c r="O432" s="328"/>
      <c r="P432" s="328"/>
      <c r="Q432" s="328"/>
      <c r="R432" s="328"/>
      <c r="S432" s="328"/>
      <c r="T432" s="328" t="s">
        <v>281</v>
      </c>
      <c r="U432" s="328"/>
      <c r="V432" s="329"/>
      <c r="W432" s="329"/>
      <c r="X432" s="329"/>
      <c r="Y432" s="355" t="s">
        <v>477</v>
      </c>
      <c r="Z432" s="330">
        <v>2398205.4</v>
      </c>
      <c r="AA432" s="393">
        <f>188870.4+696000+1818620+728583+239387+185000+685680-225000-42000-10000+45000-1500000</f>
        <v>2810140.4000000004</v>
      </c>
      <c r="AB432" s="177"/>
      <c r="AC432" s="177"/>
      <c r="AD432" s="279" t="s">
        <v>477</v>
      </c>
      <c r="AF432" s="274"/>
    </row>
    <row r="433" spans="1:32" ht="120" customHeight="1" x14ac:dyDescent="0.3">
      <c r="A433" s="324" t="s">
        <v>478</v>
      </c>
      <c r="B433" s="316" t="s">
        <v>14</v>
      </c>
      <c r="C433" s="316" t="s">
        <v>129</v>
      </c>
      <c r="D433" s="316" t="s">
        <v>118</v>
      </c>
      <c r="E433" s="216" t="s">
        <v>757</v>
      </c>
      <c r="F433" s="316"/>
      <c r="G433" s="316"/>
      <c r="H433" s="316"/>
      <c r="I433" s="316"/>
      <c r="J433" s="316"/>
      <c r="K433" s="316"/>
      <c r="L433" s="316"/>
      <c r="M433" s="316"/>
      <c r="N433" s="316"/>
      <c r="O433" s="316"/>
      <c r="P433" s="316"/>
      <c r="Q433" s="316"/>
      <c r="R433" s="316"/>
      <c r="S433" s="316"/>
      <c r="T433" s="316" t="s">
        <v>235</v>
      </c>
      <c r="U433" s="316"/>
      <c r="V433" s="317"/>
      <c r="W433" s="317"/>
      <c r="X433" s="317"/>
      <c r="Y433" s="324" t="s">
        <v>478</v>
      </c>
      <c r="Z433" s="322">
        <v>16072</v>
      </c>
      <c r="AA433" s="319">
        <f>8387+10000</f>
        <v>18387</v>
      </c>
      <c r="AB433" s="177"/>
      <c r="AC433" s="177"/>
      <c r="AD433" s="279" t="s">
        <v>478</v>
      </c>
      <c r="AF433" s="274"/>
    </row>
    <row r="434" spans="1:32" ht="207.75" customHeight="1" x14ac:dyDescent="0.3">
      <c r="A434" s="311" t="s">
        <v>758</v>
      </c>
      <c r="B434" s="216" t="s">
        <v>14</v>
      </c>
      <c r="C434" s="216" t="s">
        <v>129</v>
      </c>
      <c r="D434" s="216" t="s">
        <v>118</v>
      </c>
      <c r="E434" s="216" t="s">
        <v>759</v>
      </c>
      <c r="F434" s="216"/>
      <c r="G434" s="216"/>
      <c r="H434" s="216"/>
      <c r="I434" s="216"/>
      <c r="J434" s="216"/>
      <c r="K434" s="216"/>
      <c r="L434" s="216"/>
      <c r="M434" s="216"/>
      <c r="N434" s="216"/>
      <c r="O434" s="216"/>
      <c r="P434" s="216"/>
      <c r="Q434" s="216"/>
      <c r="R434" s="216"/>
      <c r="S434" s="216"/>
      <c r="T434" s="216"/>
      <c r="U434" s="216"/>
      <c r="V434" s="312"/>
      <c r="W434" s="312"/>
      <c r="X434" s="312"/>
      <c r="Y434" s="311" t="s">
        <v>479</v>
      </c>
      <c r="Z434" s="313">
        <v>3316400</v>
      </c>
      <c r="AA434" s="321">
        <f>AA435</f>
        <v>2385153.67</v>
      </c>
      <c r="AB434" s="276"/>
      <c r="AC434" s="276"/>
      <c r="AD434" s="277" t="s">
        <v>479</v>
      </c>
    </row>
    <row r="435" spans="1:32" ht="163.5" customHeight="1" x14ac:dyDescent="0.3">
      <c r="A435" s="324" t="s">
        <v>480</v>
      </c>
      <c r="B435" s="316" t="s">
        <v>14</v>
      </c>
      <c r="C435" s="316" t="s">
        <v>129</v>
      </c>
      <c r="D435" s="316" t="s">
        <v>118</v>
      </c>
      <c r="E435" s="216" t="s">
        <v>759</v>
      </c>
      <c r="F435" s="316"/>
      <c r="G435" s="316"/>
      <c r="H435" s="316"/>
      <c r="I435" s="316"/>
      <c r="J435" s="316"/>
      <c r="K435" s="316"/>
      <c r="L435" s="316"/>
      <c r="M435" s="316"/>
      <c r="N435" s="316"/>
      <c r="O435" s="316"/>
      <c r="P435" s="316"/>
      <c r="Q435" s="316"/>
      <c r="R435" s="316"/>
      <c r="S435" s="316"/>
      <c r="T435" s="316" t="s">
        <v>300</v>
      </c>
      <c r="U435" s="316"/>
      <c r="V435" s="317"/>
      <c r="W435" s="317"/>
      <c r="X435" s="317"/>
      <c r="Y435" s="324" t="s">
        <v>480</v>
      </c>
      <c r="Z435" s="322">
        <v>3316400</v>
      </c>
      <c r="AA435" s="319">
        <f>4178797.79-1500000-293644.12</f>
        <v>2385153.67</v>
      </c>
      <c r="AB435" s="177"/>
      <c r="AC435" s="177"/>
      <c r="AD435" s="279" t="s">
        <v>480</v>
      </c>
      <c r="AF435" s="274"/>
    </row>
    <row r="436" spans="1:32" ht="34.5" customHeight="1" x14ac:dyDescent="0.3">
      <c r="A436" s="301" t="s">
        <v>393</v>
      </c>
      <c r="B436" s="302" t="s">
        <v>14</v>
      </c>
      <c r="C436" s="302" t="s">
        <v>134</v>
      </c>
      <c r="D436" s="302" t="s">
        <v>124</v>
      </c>
      <c r="E436" s="302"/>
      <c r="F436" s="302"/>
      <c r="G436" s="302"/>
      <c r="H436" s="302"/>
      <c r="I436" s="302"/>
      <c r="J436" s="302"/>
      <c r="K436" s="302"/>
      <c r="L436" s="302"/>
      <c r="M436" s="302"/>
      <c r="N436" s="302"/>
      <c r="O436" s="302"/>
      <c r="P436" s="302"/>
      <c r="Q436" s="302"/>
      <c r="R436" s="302"/>
      <c r="S436" s="302"/>
      <c r="T436" s="302"/>
      <c r="U436" s="302"/>
      <c r="V436" s="303"/>
      <c r="W436" s="303"/>
      <c r="X436" s="303"/>
      <c r="Y436" s="301" t="s">
        <v>393</v>
      </c>
      <c r="Z436" s="325">
        <f>Z437+Z441</f>
        <v>29697826.050000001</v>
      </c>
      <c r="AA436" s="377">
        <f>AA437+AA441</f>
        <v>27037091.609999999</v>
      </c>
      <c r="AB436" s="178"/>
      <c r="AC436" s="178"/>
      <c r="AD436" s="273" t="s">
        <v>393</v>
      </c>
    </row>
    <row r="437" spans="1:32" ht="42.75" customHeight="1" x14ac:dyDescent="0.3">
      <c r="A437" s="301" t="s">
        <v>153</v>
      </c>
      <c r="B437" s="302" t="s">
        <v>14</v>
      </c>
      <c r="C437" s="302" t="s">
        <v>134</v>
      </c>
      <c r="D437" s="302" t="s">
        <v>113</v>
      </c>
      <c r="E437" s="302"/>
      <c r="F437" s="302"/>
      <c r="G437" s="302"/>
      <c r="H437" s="302"/>
      <c r="I437" s="302"/>
      <c r="J437" s="302"/>
      <c r="K437" s="302"/>
      <c r="L437" s="302"/>
      <c r="M437" s="302"/>
      <c r="N437" s="302"/>
      <c r="O437" s="302"/>
      <c r="P437" s="302"/>
      <c r="Q437" s="302"/>
      <c r="R437" s="302"/>
      <c r="S437" s="302"/>
      <c r="T437" s="302"/>
      <c r="U437" s="302"/>
      <c r="V437" s="303"/>
      <c r="W437" s="303"/>
      <c r="X437" s="303"/>
      <c r="Y437" s="301" t="s">
        <v>153</v>
      </c>
      <c r="Z437" s="325">
        <v>372000</v>
      </c>
      <c r="AA437" s="377">
        <f>AA438</f>
        <v>396616</v>
      </c>
      <c r="AB437" s="178"/>
      <c r="AC437" s="178"/>
      <c r="AD437" s="273" t="s">
        <v>153</v>
      </c>
    </row>
    <row r="438" spans="1:32" ht="208.5" customHeight="1" x14ac:dyDescent="0.3">
      <c r="A438" s="331" t="s">
        <v>481</v>
      </c>
      <c r="B438" s="216" t="s">
        <v>14</v>
      </c>
      <c r="C438" s="216" t="s">
        <v>134</v>
      </c>
      <c r="D438" s="216" t="s">
        <v>113</v>
      </c>
      <c r="E438" s="216" t="s">
        <v>695</v>
      </c>
      <c r="F438" s="216"/>
      <c r="G438" s="216"/>
      <c r="H438" s="216"/>
      <c r="I438" s="216"/>
      <c r="J438" s="216"/>
      <c r="K438" s="216"/>
      <c r="L438" s="216"/>
      <c r="M438" s="216"/>
      <c r="N438" s="216"/>
      <c r="O438" s="216"/>
      <c r="P438" s="216"/>
      <c r="Q438" s="216"/>
      <c r="R438" s="216"/>
      <c r="S438" s="216"/>
      <c r="T438" s="216"/>
      <c r="U438" s="216"/>
      <c r="V438" s="312"/>
      <c r="W438" s="312"/>
      <c r="X438" s="312"/>
      <c r="Y438" s="331" t="s">
        <v>481</v>
      </c>
      <c r="Z438" s="313">
        <v>372000</v>
      </c>
      <c r="AA438" s="314">
        <f>AA440+AA439</f>
        <v>396616</v>
      </c>
      <c r="AB438" s="276"/>
      <c r="AC438" s="276"/>
      <c r="AD438" s="281" t="s">
        <v>481</v>
      </c>
    </row>
    <row r="439" spans="1:32" ht="252" customHeight="1" x14ac:dyDescent="0.3">
      <c r="A439" s="315" t="s">
        <v>950</v>
      </c>
      <c r="B439" s="216" t="s">
        <v>14</v>
      </c>
      <c r="C439" s="216" t="s">
        <v>134</v>
      </c>
      <c r="D439" s="216" t="s">
        <v>113</v>
      </c>
      <c r="E439" s="216" t="s">
        <v>695</v>
      </c>
      <c r="F439" s="216"/>
      <c r="G439" s="216"/>
      <c r="H439" s="216"/>
      <c r="I439" s="216"/>
      <c r="J439" s="216"/>
      <c r="K439" s="216"/>
      <c r="L439" s="216"/>
      <c r="M439" s="216"/>
      <c r="N439" s="216"/>
      <c r="O439" s="216"/>
      <c r="P439" s="216"/>
      <c r="Q439" s="216"/>
      <c r="R439" s="216"/>
      <c r="S439" s="216"/>
      <c r="T439" s="216" t="s">
        <v>281</v>
      </c>
      <c r="U439" s="216"/>
      <c r="V439" s="312"/>
      <c r="W439" s="312"/>
      <c r="X439" s="312"/>
      <c r="Y439" s="331"/>
      <c r="Z439" s="313"/>
      <c r="AA439" s="314">
        <v>3816</v>
      </c>
      <c r="AB439" s="276"/>
      <c r="AC439" s="276"/>
      <c r="AD439" s="281"/>
    </row>
    <row r="440" spans="1:32" ht="236.25" customHeight="1" x14ac:dyDescent="0.3">
      <c r="A440" s="315" t="s">
        <v>483</v>
      </c>
      <c r="B440" s="316" t="s">
        <v>14</v>
      </c>
      <c r="C440" s="316" t="s">
        <v>134</v>
      </c>
      <c r="D440" s="316" t="s">
        <v>113</v>
      </c>
      <c r="E440" s="216" t="s">
        <v>695</v>
      </c>
      <c r="F440" s="316"/>
      <c r="G440" s="316"/>
      <c r="H440" s="316"/>
      <c r="I440" s="316"/>
      <c r="J440" s="316"/>
      <c r="K440" s="316"/>
      <c r="L440" s="316"/>
      <c r="M440" s="316"/>
      <c r="N440" s="316"/>
      <c r="O440" s="316"/>
      <c r="P440" s="316"/>
      <c r="Q440" s="316"/>
      <c r="R440" s="316"/>
      <c r="S440" s="316"/>
      <c r="T440" s="316" t="s">
        <v>396</v>
      </c>
      <c r="U440" s="316"/>
      <c r="V440" s="317"/>
      <c r="W440" s="317"/>
      <c r="X440" s="317"/>
      <c r="Y440" s="315" t="s">
        <v>483</v>
      </c>
      <c r="Z440" s="322">
        <v>372000</v>
      </c>
      <c r="AA440" s="334">
        <f>381600-3816+15016</f>
        <v>392800</v>
      </c>
      <c r="AB440" s="177"/>
      <c r="AC440" s="177"/>
      <c r="AD440" s="278" t="s">
        <v>483</v>
      </c>
      <c r="AF440" s="274"/>
    </row>
    <row r="441" spans="1:32" ht="34.5" customHeight="1" x14ac:dyDescent="0.3">
      <c r="A441" s="301" t="s">
        <v>155</v>
      </c>
      <c r="B441" s="302" t="s">
        <v>14</v>
      </c>
      <c r="C441" s="302" t="s">
        <v>134</v>
      </c>
      <c r="D441" s="302" t="s">
        <v>127</v>
      </c>
      <c r="E441" s="302"/>
      <c r="F441" s="302"/>
      <c r="G441" s="302"/>
      <c r="H441" s="302"/>
      <c r="I441" s="302"/>
      <c r="J441" s="302"/>
      <c r="K441" s="302"/>
      <c r="L441" s="302"/>
      <c r="M441" s="302"/>
      <c r="N441" s="302"/>
      <c r="O441" s="302"/>
      <c r="P441" s="302"/>
      <c r="Q441" s="302"/>
      <c r="R441" s="302"/>
      <c r="S441" s="302"/>
      <c r="T441" s="302"/>
      <c r="U441" s="302"/>
      <c r="V441" s="303"/>
      <c r="W441" s="303"/>
      <c r="X441" s="303"/>
      <c r="Y441" s="301" t="s">
        <v>155</v>
      </c>
      <c r="Z441" s="325">
        <f>Z442+Z445+Z447+Z450+Z455</f>
        <v>29325826.050000001</v>
      </c>
      <c r="AA441" s="377">
        <f>AA442+AA445+AA447+AA450+AA455</f>
        <v>26640475.609999999</v>
      </c>
      <c r="AB441" s="178"/>
      <c r="AC441" s="178"/>
      <c r="AD441" s="273" t="s">
        <v>155</v>
      </c>
    </row>
    <row r="442" spans="1:32" ht="166.5" customHeight="1" x14ac:dyDescent="0.3">
      <c r="A442" s="311" t="s">
        <v>552</v>
      </c>
      <c r="B442" s="216" t="s">
        <v>14</v>
      </c>
      <c r="C442" s="216" t="s">
        <v>134</v>
      </c>
      <c r="D442" s="216" t="s">
        <v>127</v>
      </c>
      <c r="E442" s="216" t="s">
        <v>760</v>
      </c>
      <c r="F442" s="216"/>
      <c r="G442" s="216"/>
      <c r="H442" s="216"/>
      <c r="I442" s="216"/>
      <c r="J442" s="216"/>
      <c r="K442" s="216"/>
      <c r="L442" s="216"/>
      <c r="M442" s="216"/>
      <c r="N442" s="216"/>
      <c r="O442" s="216"/>
      <c r="P442" s="216"/>
      <c r="Q442" s="216"/>
      <c r="R442" s="216"/>
      <c r="S442" s="216"/>
      <c r="T442" s="216"/>
      <c r="U442" s="216"/>
      <c r="V442" s="312"/>
      <c r="W442" s="312"/>
      <c r="X442" s="312"/>
      <c r="Y442" s="311" t="s">
        <v>484</v>
      </c>
      <c r="Z442" s="313">
        <f>Z444</f>
        <v>6086232</v>
      </c>
      <c r="AA442" s="321">
        <f>AA444+AA443</f>
        <v>1241856</v>
      </c>
      <c r="AB442" s="276"/>
      <c r="AC442" s="276"/>
      <c r="AD442" s="277" t="s">
        <v>484</v>
      </c>
      <c r="AF442" s="274"/>
    </row>
    <row r="443" spans="1:32" ht="90.75" customHeight="1" x14ac:dyDescent="0.3">
      <c r="A443" s="311" t="s">
        <v>958</v>
      </c>
      <c r="B443" s="216" t="s">
        <v>14</v>
      </c>
      <c r="C443" s="216" t="s">
        <v>134</v>
      </c>
      <c r="D443" s="216" t="s">
        <v>127</v>
      </c>
      <c r="E443" s="216" t="s">
        <v>760</v>
      </c>
      <c r="F443" s="216"/>
      <c r="G443" s="216"/>
      <c r="H443" s="216"/>
      <c r="I443" s="216"/>
      <c r="J443" s="216"/>
      <c r="K443" s="216"/>
      <c r="L443" s="216"/>
      <c r="M443" s="216"/>
      <c r="N443" s="216"/>
      <c r="O443" s="216"/>
      <c r="P443" s="216"/>
      <c r="Q443" s="216"/>
      <c r="R443" s="216"/>
      <c r="S443" s="216"/>
      <c r="T443" s="216" t="s">
        <v>281</v>
      </c>
      <c r="U443" s="216"/>
      <c r="V443" s="312"/>
      <c r="W443" s="312"/>
      <c r="X443" s="312"/>
      <c r="Y443" s="311"/>
      <c r="Z443" s="313"/>
      <c r="AA443" s="321">
        <v>10000</v>
      </c>
      <c r="AB443" s="276"/>
      <c r="AC443" s="276"/>
      <c r="AD443" s="277"/>
      <c r="AF443" s="274"/>
    </row>
    <row r="444" spans="1:32" ht="87.75" customHeight="1" x14ac:dyDescent="0.3">
      <c r="A444" s="324" t="s">
        <v>485</v>
      </c>
      <c r="B444" s="316" t="s">
        <v>14</v>
      </c>
      <c r="C444" s="316" t="s">
        <v>134</v>
      </c>
      <c r="D444" s="316" t="s">
        <v>127</v>
      </c>
      <c r="E444" s="216" t="s">
        <v>760</v>
      </c>
      <c r="F444" s="316"/>
      <c r="G444" s="316"/>
      <c r="H444" s="316"/>
      <c r="I444" s="316"/>
      <c r="J444" s="316"/>
      <c r="K444" s="316"/>
      <c r="L444" s="316"/>
      <c r="M444" s="316"/>
      <c r="N444" s="316"/>
      <c r="O444" s="316"/>
      <c r="P444" s="316"/>
      <c r="Q444" s="316"/>
      <c r="R444" s="316"/>
      <c r="S444" s="316"/>
      <c r="T444" s="316" t="s">
        <v>396</v>
      </c>
      <c r="U444" s="316"/>
      <c r="V444" s="317"/>
      <c r="W444" s="317"/>
      <c r="X444" s="317"/>
      <c r="Y444" s="324" t="s">
        <v>485</v>
      </c>
      <c r="Z444" s="322">
        <f>6086200+32</f>
        <v>6086232</v>
      </c>
      <c r="AA444" s="334">
        <f>1241900-44-10000</f>
        <v>1231856</v>
      </c>
      <c r="AB444" s="177"/>
      <c r="AC444" s="177"/>
      <c r="AD444" s="279" t="s">
        <v>485</v>
      </c>
      <c r="AF444" s="274"/>
    </row>
    <row r="445" spans="1:32" ht="199.5" customHeight="1" x14ac:dyDescent="0.3">
      <c r="A445" s="311" t="s">
        <v>553</v>
      </c>
      <c r="B445" s="216" t="s">
        <v>14</v>
      </c>
      <c r="C445" s="216" t="s">
        <v>134</v>
      </c>
      <c r="D445" s="216" t="s">
        <v>127</v>
      </c>
      <c r="E445" s="216" t="s">
        <v>761</v>
      </c>
      <c r="F445" s="216"/>
      <c r="G445" s="216"/>
      <c r="H445" s="216"/>
      <c r="I445" s="216"/>
      <c r="J445" s="216"/>
      <c r="K445" s="216"/>
      <c r="L445" s="216"/>
      <c r="M445" s="216"/>
      <c r="N445" s="216"/>
      <c r="O445" s="216"/>
      <c r="P445" s="216"/>
      <c r="Q445" s="216"/>
      <c r="R445" s="216"/>
      <c r="S445" s="216"/>
      <c r="T445" s="216"/>
      <c r="U445" s="216"/>
      <c r="V445" s="312"/>
      <c r="W445" s="312"/>
      <c r="X445" s="312"/>
      <c r="Y445" s="311" t="s">
        <v>486</v>
      </c>
      <c r="Z445" s="313">
        <f>Z446</f>
        <v>708409.96</v>
      </c>
      <c r="AA445" s="314">
        <f>AA446</f>
        <v>55097.52</v>
      </c>
      <c r="AB445" s="276"/>
      <c r="AC445" s="276"/>
      <c r="AD445" s="277" t="s">
        <v>486</v>
      </c>
    </row>
    <row r="446" spans="1:32" ht="150" customHeight="1" x14ac:dyDescent="0.3">
      <c r="A446" s="324" t="s">
        <v>487</v>
      </c>
      <c r="B446" s="316" t="s">
        <v>14</v>
      </c>
      <c r="C446" s="316" t="s">
        <v>134</v>
      </c>
      <c r="D446" s="316" t="s">
        <v>127</v>
      </c>
      <c r="E446" s="216" t="s">
        <v>761</v>
      </c>
      <c r="F446" s="316"/>
      <c r="G446" s="316"/>
      <c r="H446" s="316"/>
      <c r="I446" s="316"/>
      <c r="J446" s="316"/>
      <c r="K446" s="316"/>
      <c r="L446" s="316"/>
      <c r="M446" s="316"/>
      <c r="N446" s="316"/>
      <c r="O446" s="316"/>
      <c r="P446" s="316"/>
      <c r="Q446" s="316"/>
      <c r="R446" s="316"/>
      <c r="S446" s="316"/>
      <c r="T446" s="316" t="s">
        <v>396</v>
      </c>
      <c r="U446" s="316"/>
      <c r="V446" s="317"/>
      <c r="W446" s="317"/>
      <c r="X446" s="317"/>
      <c r="Y446" s="324" t="s">
        <v>487</v>
      </c>
      <c r="Z446" s="322">
        <f>708400+9.96</f>
        <v>708409.96</v>
      </c>
      <c r="AA446" s="334">
        <f>55100-2.48</f>
        <v>55097.52</v>
      </c>
      <c r="AB446" s="177"/>
      <c r="AC446" s="177"/>
      <c r="AD446" s="279" t="s">
        <v>487</v>
      </c>
    </row>
    <row r="447" spans="1:32" ht="201" customHeight="1" x14ac:dyDescent="0.3">
      <c r="A447" s="311" t="s">
        <v>554</v>
      </c>
      <c r="B447" s="216" t="s">
        <v>14</v>
      </c>
      <c r="C447" s="216" t="s">
        <v>134</v>
      </c>
      <c r="D447" s="216" t="s">
        <v>127</v>
      </c>
      <c r="E447" s="216" t="s">
        <v>792</v>
      </c>
      <c r="F447" s="216"/>
      <c r="G447" s="216"/>
      <c r="H447" s="216"/>
      <c r="I447" s="216"/>
      <c r="J447" s="216"/>
      <c r="K447" s="216"/>
      <c r="L447" s="216"/>
      <c r="M447" s="216"/>
      <c r="N447" s="216"/>
      <c r="O447" s="216"/>
      <c r="P447" s="216"/>
      <c r="Q447" s="216"/>
      <c r="R447" s="216"/>
      <c r="S447" s="216"/>
      <c r="T447" s="216"/>
      <c r="U447" s="216"/>
      <c r="V447" s="312"/>
      <c r="W447" s="312"/>
      <c r="X447" s="312"/>
      <c r="Y447" s="311" t="s">
        <v>488</v>
      </c>
      <c r="Z447" s="313">
        <f>Z449</f>
        <v>15108902.73</v>
      </c>
      <c r="AA447" s="321">
        <f>AA449+AA448</f>
        <v>12766392.48</v>
      </c>
      <c r="AB447" s="276"/>
      <c r="AC447" s="276"/>
      <c r="AD447" s="277" t="s">
        <v>488</v>
      </c>
    </row>
    <row r="448" spans="1:32" ht="140.25" customHeight="1" x14ac:dyDescent="0.3">
      <c r="A448" s="324" t="s">
        <v>959</v>
      </c>
      <c r="B448" s="216" t="s">
        <v>14</v>
      </c>
      <c r="C448" s="216" t="s">
        <v>134</v>
      </c>
      <c r="D448" s="216" t="s">
        <v>127</v>
      </c>
      <c r="E448" s="216" t="s">
        <v>792</v>
      </c>
      <c r="F448" s="216"/>
      <c r="G448" s="216"/>
      <c r="H448" s="216"/>
      <c r="I448" s="216"/>
      <c r="J448" s="216"/>
      <c r="K448" s="216"/>
      <c r="L448" s="216"/>
      <c r="M448" s="216"/>
      <c r="N448" s="216"/>
      <c r="O448" s="216"/>
      <c r="P448" s="216"/>
      <c r="Q448" s="216"/>
      <c r="R448" s="216"/>
      <c r="S448" s="216"/>
      <c r="T448" s="216" t="s">
        <v>281</v>
      </c>
      <c r="U448" s="216"/>
      <c r="V448" s="312"/>
      <c r="W448" s="312"/>
      <c r="X448" s="312"/>
      <c r="Y448" s="311"/>
      <c r="Z448" s="313"/>
      <c r="AA448" s="321">
        <v>100000</v>
      </c>
      <c r="AB448" s="276"/>
      <c r="AC448" s="276"/>
      <c r="AD448" s="277"/>
    </row>
    <row r="449" spans="1:32" ht="132" customHeight="1" x14ac:dyDescent="0.3">
      <c r="A449" s="324" t="s">
        <v>489</v>
      </c>
      <c r="B449" s="316" t="s">
        <v>14</v>
      </c>
      <c r="C449" s="316" t="s">
        <v>134</v>
      </c>
      <c r="D449" s="316" t="s">
        <v>127</v>
      </c>
      <c r="E449" s="216" t="s">
        <v>792</v>
      </c>
      <c r="F449" s="316"/>
      <c r="G449" s="316"/>
      <c r="H449" s="316"/>
      <c r="I449" s="316"/>
      <c r="J449" s="316"/>
      <c r="K449" s="316"/>
      <c r="L449" s="316"/>
      <c r="M449" s="316"/>
      <c r="N449" s="316"/>
      <c r="O449" s="316"/>
      <c r="P449" s="316"/>
      <c r="Q449" s="316"/>
      <c r="R449" s="316"/>
      <c r="S449" s="316"/>
      <c r="T449" s="316" t="s">
        <v>396</v>
      </c>
      <c r="U449" s="316"/>
      <c r="V449" s="317"/>
      <c r="W449" s="317"/>
      <c r="X449" s="317"/>
      <c r="Y449" s="324" t="s">
        <v>489</v>
      </c>
      <c r="Z449" s="322">
        <f>15108900+2.73</f>
        <v>15108902.73</v>
      </c>
      <c r="AA449" s="334">
        <f>15024600+54.55-100000-3663248.83+1404986.76</f>
        <v>12666392.48</v>
      </c>
      <c r="AB449" s="177"/>
      <c r="AC449" s="177"/>
      <c r="AD449" s="279" t="s">
        <v>489</v>
      </c>
    </row>
    <row r="450" spans="1:32" ht="163.5" customHeight="1" x14ac:dyDescent="0.3">
      <c r="A450" s="331" t="s">
        <v>225</v>
      </c>
      <c r="B450" s="216" t="s">
        <v>14</v>
      </c>
      <c r="C450" s="216" t="s">
        <v>134</v>
      </c>
      <c r="D450" s="216" t="s">
        <v>127</v>
      </c>
      <c r="E450" s="216" t="s">
        <v>763</v>
      </c>
      <c r="F450" s="216"/>
      <c r="G450" s="216"/>
      <c r="H450" s="216"/>
      <c r="I450" s="216"/>
      <c r="J450" s="216"/>
      <c r="K450" s="216"/>
      <c r="L450" s="216"/>
      <c r="M450" s="216"/>
      <c r="N450" s="216"/>
      <c r="O450" s="216"/>
      <c r="P450" s="216"/>
      <c r="Q450" s="216"/>
      <c r="R450" s="216"/>
      <c r="S450" s="216"/>
      <c r="T450" s="216"/>
      <c r="U450" s="216"/>
      <c r="V450" s="312"/>
      <c r="W450" s="312"/>
      <c r="X450" s="312"/>
      <c r="Y450" s="331" t="s">
        <v>225</v>
      </c>
      <c r="Z450" s="313">
        <f>Z452+Z453</f>
        <v>5672090.21</v>
      </c>
      <c r="AA450" s="321">
        <f>AA452+AA454+AA451</f>
        <v>10826938.460000001</v>
      </c>
      <c r="AB450" s="276"/>
      <c r="AC450" s="276"/>
      <c r="AD450" s="281" t="s">
        <v>225</v>
      </c>
    </row>
    <row r="451" spans="1:32" ht="202.5" customHeight="1" x14ac:dyDescent="0.3">
      <c r="A451" s="315" t="s">
        <v>951</v>
      </c>
      <c r="B451" s="216" t="s">
        <v>14</v>
      </c>
      <c r="C451" s="216" t="s">
        <v>134</v>
      </c>
      <c r="D451" s="216" t="s">
        <v>127</v>
      </c>
      <c r="E451" s="216" t="s">
        <v>763</v>
      </c>
      <c r="F451" s="216"/>
      <c r="G451" s="216"/>
      <c r="H451" s="216"/>
      <c r="I451" s="216"/>
      <c r="J451" s="216"/>
      <c r="K451" s="216"/>
      <c r="L451" s="216"/>
      <c r="M451" s="216"/>
      <c r="N451" s="216"/>
      <c r="O451" s="216"/>
      <c r="P451" s="216"/>
      <c r="Q451" s="216"/>
      <c r="R451" s="216"/>
      <c r="S451" s="216"/>
      <c r="T451" s="216" t="s">
        <v>281</v>
      </c>
      <c r="U451" s="216"/>
      <c r="V451" s="312"/>
      <c r="W451" s="312"/>
      <c r="X451" s="312"/>
      <c r="Y451" s="331"/>
      <c r="Z451" s="313"/>
      <c r="AA451" s="321">
        <v>50400</v>
      </c>
      <c r="AB451" s="276"/>
      <c r="AC451" s="276"/>
      <c r="AD451" s="281"/>
    </row>
    <row r="452" spans="1:32" ht="199.5" customHeight="1" x14ac:dyDescent="0.3">
      <c r="A452" s="315" t="s">
        <v>491</v>
      </c>
      <c r="B452" s="316" t="s">
        <v>14</v>
      </c>
      <c r="C452" s="316" t="s">
        <v>134</v>
      </c>
      <c r="D452" s="316" t="s">
        <v>127</v>
      </c>
      <c r="E452" s="216" t="s">
        <v>763</v>
      </c>
      <c r="F452" s="316"/>
      <c r="G452" s="316"/>
      <c r="H452" s="316"/>
      <c r="I452" s="316"/>
      <c r="J452" s="316"/>
      <c r="K452" s="316"/>
      <c r="L452" s="316"/>
      <c r="M452" s="316"/>
      <c r="N452" s="316"/>
      <c r="O452" s="316"/>
      <c r="P452" s="316"/>
      <c r="Q452" s="316"/>
      <c r="R452" s="316"/>
      <c r="S452" s="316"/>
      <c r="T452" s="316" t="s">
        <v>396</v>
      </c>
      <c r="U452" s="316"/>
      <c r="V452" s="317"/>
      <c r="W452" s="317"/>
      <c r="X452" s="317"/>
      <c r="Y452" s="315" t="s">
        <v>491</v>
      </c>
      <c r="Z452" s="322">
        <f>5672100-9.79-4234090.21</f>
        <v>1438000</v>
      </c>
      <c r="AA452" s="334">
        <f>7075400+22.92-4825400-50400+1000000</f>
        <v>3199622.92</v>
      </c>
      <c r="AB452" s="177"/>
      <c r="AC452" s="177"/>
      <c r="AD452" s="278" t="s">
        <v>491</v>
      </c>
    </row>
    <row r="453" spans="1:32" ht="171" hidden="1" customHeight="1" x14ac:dyDescent="0.3">
      <c r="A453" s="324" t="s">
        <v>480</v>
      </c>
      <c r="B453" s="316" t="s">
        <v>14</v>
      </c>
      <c r="C453" s="316" t="s">
        <v>134</v>
      </c>
      <c r="D453" s="316" t="s">
        <v>127</v>
      </c>
      <c r="E453" s="316" t="s">
        <v>490</v>
      </c>
      <c r="F453" s="316"/>
      <c r="G453" s="316"/>
      <c r="H453" s="316"/>
      <c r="I453" s="316"/>
      <c r="J453" s="316"/>
      <c r="K453" s="316"/>
      <c r="L453" s="316"/>
      <c r="M453" s="316"/>
      <c r="N453" s="316"/>
      <c r="O453" s="316"/>
      <c r="P453" s="316"/>
      <c r="Q453" s="316"/>
      <c r="R453" s="316"/>
      <c r="S453" s="316"/>
      <c r="T453" s="316" t="s">
        <v>300</v>
      </c>
      <c r="U453" s="316"/>
      <c r="V453" s="317"/>
      <c r="W453" s="317"/>
      <c r="X453" s="317"/>
      <c r="Y453" s="315"/>
      <c r="Z453" s="322">
        <v>4234090.21</v>
      </c>
      <c r="AA453" s="319"/>
      <c r="AB453" s="177"/>
      <c r="AC453" s="177"/>
      <c r="AD453" s="278"/>
    </row>
    <row r="454" spans="1:32" ht="135.75" customHeight="1" x14ac:dyDescent="0.3">
      <c r="A454" s="324" t="s">
        <v>480</v>
      </c>
      <c r="B454" s="316" t="s">
        <v>14</v>
      </c>
      <c r="C454" s="316" t="s">
        <v>134</v>
      </c>
      <c r="D454" s="316" t="s">
        <v>127</v>
      </c>
      <c r="E454" s="216" t="s">
        <v>763</v>
      </c>
      <c r="F454" s="316"/>
      <c r="G454" s="316"/>
      <c r="H454" s="316"/>
      <c r="I454" s="316"/>
      <c r="J454" s="316"/>
      <c r="K454" s="316"/>
      <c r="L454" s="316"/>
      <c r="M454" s="316"/>
      <c r="N454" s="316"/>
      <c r="O454" s="316"/>
      <c r="P454" s="316"/>
      <c r="Q454" s="316"/>
      <c r="R454" s="316"/>
      <c r="S454" s="316"/>
      <c r="T454" s="316" t="s">
        <v>300</v>
      </c>
      <c r="U454" s="316"/>
      <c r="V454" s="317"/>
      <c r="W454" s="317"/>
      <c r="X454" s="317"/>
      <c r="Y454" s="315"/>
      <c r="Z454" s="322"/>
      <c r="AA454" s="319">
        <f>4825400+164082.2+2587433.34</f>
        <v>7576915.54</v>
      </c>
      <c r="AB454" s="177"/>
      <c r="AC454" s="177"/>
      <c r="AD454" s="278"/>
    </row>
    <row r="455" spans="1:32" ht="151.5" customHeight="1" x14ac:dyDescent="0.3">
      <c r="A455" s="311" t="s">
        <v>555</v>
      </c>
      <c r="B455" s="216" t="s">
        <v>14</v>
      </c>
      <c r="C455" s="216" t="s">
        <v>134</v>
      </c>
      <c r="D455" s="216" t="s">
        <v>127</v>
      </c>
      <c r="E455" s="216" t="s">
        <v>764</v>
      </c>
      <c r="F455" s="216"/>
      <c r="G455" s="216"/>
      <c r="H455" s="216"/>
      <c r="I455" s="216"/>
      <c r="J455" s="216"/>
      <c r="K455" s="216"/>
      <c r="L455" s="216"/>
      <c r="M455" s="216"/>
      <c r="N455" s="216"/>
      <c r="O455" s="216"/>
      <c r="P455" s="216"/>
      <c r="Q455" s="216"/>
      <c r="R455" s="216"/>
      <c r="S455" s="216"/>
      <c r="T455" s="216"/>
      <c r="U455" s="216"/>
      <c r="V455" s="312"/>
      <c r="W455" s="312"/>
      <c r="X455" s="312"/>
      <c r="Y455" s="311" t="s">
        <v>468</v>
      </c>
      <c r="Z455" s="313">
        <f>Z456+Z457</f>
        <v>1750191.15</v>
      </c>
      <c r="AA455" s="321">
        <f>AA456+AA457</f>
        <v>1750191.15</v>
      </c>
      <c r="AB455" s="276"/>
      <c r="AC455" s="276"/>
      <c r="AD455" s="278"/>
    </row>
    <row r="456" spans="1:32" ht="188.25" customHeight="1" x14ac:dyDescent="0.3">
      <c r="A456" s="315" t="s">
        <v>469</v>
      </c>
      <c r="B456" s="316" t="s">
        <v>14</v>
      </c>
      <c r="C456" s="316" t="s">
        <v>134</v>
      </c>
      <c r="D456" s="316" t="s">
        <v>127</v>
      </c>
      <c r="E456" s="216" t="s">
        <v>764</v>
      </c>
      <c r="F456" s="316"/>
      <c r="G456" s="316"/>
      <c r="H456" s="316"/>
      <c r="I456" s="316"/>
      <c r="J456" s="316"/>
      <c r="K456" s="316"/>
      <c r="L456" s="316"/>
      <c r="M456" s="316"/>
      <c r="N456" s="316"/>
      <c r="O456" s="316"/>
      <c r="P456" s="316"/>
      <c r="Q456" s="316"/>
      <c r="R456" s="316"/>
      <c r="S456" s="316"/>
      <c r="T456" s="316" t="s">
        <v>29</v>
      </c>
      <c r="U456" s="316"/>
      <c r="V456" s="317"/>
      <c r="W456" s="317"/>
      <c r="X456" s="317"/>
      <c r="Y456" s="315" t="s">
        <v>469</v>
      </c>
      <c r="Z456" s="322">
        <f>1635414-1864</f>
        <v>1633550</v>
      </c>
      <c r="AA456" s="319">
        <f>1635414-8.85-350-150000</f>
        <v>1485055.15</v>
      </c>
      <c r="AB456" s="177"/>
      <c r="AC456" s="177"/>
      <c r="AD456" s="278"/>
    </row>
    <row r="457" spans="1:32" ht="126" customHeight="1" x14ac:dyDescent="0.3">
      <c r="A457" s="324" t="s">
        <v>470</v>
      </c>
      <c r="B457" s="316" t="s">
        <v>14</v>
      </c>
      <c r="C457" s="316" t="s">
        <v>134</v>
      </c>
      <c r="D457" s="316" t="s">
        <v>127</v>
      </c>
      <c r="E457" s="216" t="s">
        <v>764</v>
      </c>
      <c r="F457" s="316"/>
      <c r="G457" s="316"/>
      <c r="H457" s="316"/>
      <c r="I457" s="316"/>
      <c r="J457" s="316"/>
      <c r="K457" s="316"/>
      <c r="L457" s="316"/>
      <c r="M457" s="316"/>
      <c r="N457" s="316"/>
      <c r="O457" s="316"/>
      <c r="P457" s="316"/>
      <c r="Q457" s="316"/>
      <c r="R457" s="316"/>
      <c r="S457" s="316"/>
      <c r="T457" s="316" t="s">
        <v>281</v>
      </c>
      <c r="U457" s="316"/>
      <c r="V457" s="317"/>
      <c r="W457" s="317"/>
      <c r="X457" s="317"/>
      <c r="Y457" s="324" t="s">
        <v>470</v>
      </c>
      <c r="Z457" s="322">
        <f>114786-8.85+1864</f>
        <v>116641.15</v>
      </c>
      <c r="AA457" s="319">
        <f>114786+350+150000</f>
        <v>265136</v>
      </c>
      <c r="AB457" s="177"/>
      <c r="AC457" s="177"/>
      <c r="AD457" s="273" t="s">
        <v>492</v>
      </c>
    </row>
    <row r="458" spans="1:32" ht="72.75" customHeight="1" x14ac:dyDescent="0.3">
      <c r="A458" s="301" t="s">
        <v>521</v>
      </c>
      <c r="B458" s="302" t="s">
        <v>16</v>
      </c>
      <c r="C458" s="316"/>
      <c r="D458" s="316"/>
      <c r="E458" s="316"/>
      <c r="F458" s="316"/>
      <c r="G458" s="316"/>
      <c r="H458" s="316"/>
      <c r="I458" s="316"/>
      <c r="J458" s="316"/>
      <c r="K458" s="316"/>
      <c r="L458" s="316"/>
      <c r="M458" s="316"/>
      <c r="N458" s="316"/>
      <c r="O458" s="316"/>
      <c r="P458" s="316"/>
      <c r="Q458" s="316"/>
      <c r="R458" s="316"/>
      <c r="S458" s="316"/>
      <c r="T458" s="316"/>
      <c r="U458" s="316"/>
      <c r="V458" s="317"/>
      <c r="W458" s="317"/>
      <c r="X458" s="317"/>
      <c r="Y458" s="324"/>
      <c r="Z458" s="325">
        <f>Z459+Z468+Z472+Z476+Z484</f>
        <v>31066033.719999999</v>
      </c>
      <c r="AA458" s="305">
        <f>AA459+AA468+AA472+AA476+AA484</f>
        <v>27831114.66</v>
      </c>
      <c r="AB458" s="284"/>
      <c r="AC458" s="284"/>
      <c r="AD458" s="273"/>
    </row>
    <row r="459" spans="1:32" ht="37.15" customHeight="1" x14ac:dyDescent="0.3">
      <c r="A459" s="301" t="s">
        <v>276</v>
      </c>
      <c r="B459" s="302" t="s">
        <v>16</v>
      </c>
      <c r="C459" s="302" t="s">
        <v>113</v>
      </c>
      <c r="D459" s="302" t="s">
        <v>124</v>
      </c>
      <c r="E459" s="302"/>
      <c r="F459" s="302"/>
      <c r="G459" s="302"/>
      <c r="H459" s="302"/>
      <c r="I459" s="302"/>
      <c r="J459" s="302"/>
      <c r="K459" s="302"/>
      <c r="L459" s="302"/>
      <c r="M459" s="302"/>
      <c r="N459" s="302"/>
      <c r="O459" s="302"/>
      <c r="P459" s="302"/>
      <c r="Q459" s="302"/>
      <c r="R459" s="302"/>
      <c r="S459" s="302"/>
      <c r="T459" s="302"/>
      <c r="U459" s="302"/>
      <c r="V459" s="303"/>
      <c r="W459" s="303"/>
      <c r="X459" s="303"/>
      <c r="Y459" s="301" t="s">
        <v>276</v>
      </c>
      <c r="Z459" s="325">
        <f>Z460</f>
        <v>5980523.9000000004</v>
      </c>
      <c r="AA459" s="377">
        <f>AA460</f>
        <v>8924593.4900000002</v>
      </c>
      <c r="AB459" s="178"/>
      <c r="AC459" s="178"/>
      <c r="AD459" s="273" t="s">
        <v>276</v>
      </c>
    </row>
    <row r="460" spans="1:32" ht="37.15" customHeight="1" x14ac:dyDescent="0.3">
      <c r="A460" s="301" t="s">
        <v>132</v>
      </c>
      <c r="B460" s="302" t="s">
        <v>16</v>
      </c>
      <c r="C460" s="302" t="s">
        <v>113</v>
      </c>
      <c r="D460" s="302" t="s">
        <v>121</v>
      </c>
      <c r="E460" s="302"/>
      <c r="F460" s="302"/>
      <c r="G460" s="302"/>
      <c r="H460" s="302"/>
      <c r="I460" s="302"/>
      <c r="J460" s="302"/>
      <c r="K460" s="302"/>
      <c r="L460" s="302"/>
      <c r="M460" s="302"/>
      <c r="N460" s="302"/>
      <c r="O460" s="302"/>
      <c r="P460" s="302"/>
      <c r="Q460" s="302"/>
      <c r="R460" s="302"/>
      <c r="S460" s="302"/>
      <c r="T460" s="302"/>
      <c r="U460" s="302"/>
      <c r="V460" s="303"/>
      <c r="W460" s="303"/>
      <c r="X460" s="303"/>
      <c r="Y460" s="301" t="s">
        <v>132</v>
      </c>
      <c r="Z460" s="325">
        <f>Z461+Z465</f>
        <v>5980523.9000000004</v>
      </c>
      <c r="AA460" s="377">
        <f>AA461+AA465</f>
        <v>8924593.4900000002</v>
      </c>
      <c r="AB460" s="178"/>
      <c r="AC460" s="178"/>
      <c r="AD460" s="273" t="s">
        <v>132</v>
      </c>
    </row>
    <row r="461" spans="1:32" ht="204" customHeight="1" x14ac:dyDescent="0.3">
      <c r="A461" s="311" t="s">
        <v>765</v>
      </c>
      <c r="B461" s="216" t="s">
        <v>16</v>
      </c>
      <c r="C461" s="216" t="s">
        <v>113</v>
      </c>
      <c r="D461" s="216" t="s">
        <v>121</v>
      </c>
      <c r="E461" s="216" t="s">
        <v>782</v>
      </c>
      <c r="F461" s="216"/>
      <c r="G461" s="216"/>
      <c r="H461" s="216"/>
      <c r="I461" s="216"/>
      <c r="J461" s="216"/>
      <c r="K461" s="216"/>
      <c r="L461" s="216"/>
      <c r="M461" s="216"/>
      <c r="N461" s="216"/>
      <c r="O461" s="216"/>
      <c r="P461" s="216"/>
      <c r="Q461" s="216"/>
      <c r="R461" s="216"/>
      <c r="S461" s="216"/>
      <c r="T461" s="216"/>
      <c r="U461" s="216"/>
      <c r="V461" s="312"/>
      <c r="W461" s="312"/>
      <c r="X461" s="312"/>
      <c r="Y461" s="311" t="s">
        <v>493</v>
      </c>
      <c r="Z461" s="313">
        <f>Z462+Z463+Z464</f>
        <v>5332582.4000000004</v>
      </c>
      <c r="AA461" s="314">
        <f>AA462+AA463+AA464</f>
        <v>5332603.96</v>
      </c>
      <c r="AB461" s="276"/>
      <c r="AC461" s="276"/>
      <c r="AD461" s="277" t="s">
        <v>493</v>
      </c>
    </row>
    <row r="462" spans="1:32" ht="206.25" customHeight="1" x14ac:dyDescent="0.3">
      <c r="A462" s="315" t="s">
        <v>494</v>
      </c>
      <c r="B462" s="316" t="s">
        <v>16</v>
      </c>
      <c r="C462" s="316" t="s">
        <v>113</v>
      </c>
      <c r="D462" s="316" t="s">
        <v>121</v>
      </c>
      <c r="E462" s="216" t="s">
        <v>782</v>
      </c>
      <c r="F462" s="316"/>
      <c r="G462" s="316"/>
      <c r="H462" s="316"/>
      <c r="I462" s="316"/>
      <c r="J462" s="316"/>
      <c r="K462" s="316"/>
      <c r="L462" s="316"/>
      <c r="M462" s="316"/>
      <c r="N462" s="316"/>
      <c r="O462" s="316"/>
      <c r="P462" s="316"/>
      <c r="Q462" s="316"/>
      <c r="R462" s="316"/>
      <c r="S462" s="316"/>
      <c r="T462" s="316" t="s">
        <v>29</v>
      </c>
      <c r="U462" s="316"/>
      <c r="V462" s="317"/>
      <c r="W462" s="317"/>
      <c r="X462" s="317"/>
      <c r="Y462" s="315" t="s">
        <v>494</v>
      </c>
      <c r="Z462" s="322">
        <f>4149599+752496.13+227253.83</f>
        <v>5129348.96</v>
      </c>
      <c r="AA462" s="319">
        <f>3654258.3+1103586.01+4800+40000+40000+251704.65</f>
        <v>5094348.96</v>
      </c>
      <c r="AB462" s="177"/>
      <c r="AC462" s="177"/>
      <c r="AD462" s="278" t="s">
        <v>494</v>
      </c>
      <c r="AF462" s="274"/>
    </row>
    <row r="463" spans="1:32" ht="128.25" customHeight="1" x14ac:dyDescent="0.3">
      <c r="A463" s="324" t="s">
        <v>495</v>
      </c>
      <c r="B463" s="316" t="s">
        <v>16</v>
      </c>
      <c r="C463" s="316" t="s">
        <v>113</v>
      </c>
      <c r="D463" s="316" t="s">
        <v>121</v>
      </c>
      <c r="E463" s="216" t="s">
        <v>782</v>
      </c>
      <c r="F463" s="316"/>
      <c r="G463" s="316"/>
      <c r="H463" s="316"/>
      <c r="I463" s="316"/>
      <c r="J463" s="316"/>
      <c r="K463" s="316"/>
      <c r="L463" s="316"/>
      <c r="M463" s="316"/>
      <c r="N463" s="316"/>
      <c r="O463" s="316"/>
      <c r="P463" s="316"/>
      <c r="Q463" s="316"/>
      <c r="R463" s="316"/>
      <c r="S463" s="316"/>
      <c r="T463" s="316" t="s">
        <v>281</v>
      </c>
      <c r="U463" s="316"/>
      <c r="V463" s="317"/>
      <c r="W463" s="317"/>
      <c r="X463" s="317"/>
      <c r="Y463" s="324" t="s">
        <v>495</v>
      </c>
      <c r="Z463" s="322">
        <v>202874</v>
      </c>
      <c r="AA463" s="319">
        <f>60000+18000+5000+154700+160000-159826-2000-1000</f>
        <v>234874</v>
      </c>
      <c r="AB463" s="177"/>
      <c r="AC463" s="177"/>
      <c r="AD463" s="279" t="s">
        <v>495</v>
      </c>
      <c r="AF463" s="274"/>
    </row>
    <row r="464" spans="1:32" ht="120" customHeight="1" x14ac:dyDescent="0.3">
      <c r="A464" s="324" t="s">
        <v>496</v>
      </c>
      <c r="B464" s="316" t="s">
        <v>16</v>
      </c>
      <c r="C464" s="316" t="s">
        <v>113</v>
      </c>
      <c r="D464" s="316" t="s">
        <v>121</v>
      </c>
      <c r="E464" s="216" t="s">
        <v>782</v>
      </c>
      <c r="F464" s="316"/>
      <c r="G464" s="316"/>
      <c r="H464" s="316"/>
      <c r="I464" s="316"/>
      <c r="J464" s="316"/>
      <c r="K464" s="316"/>
      <c r="L464" s="316"/>
      <c r="M464" s="316"/>
      <c r="N464" s="316"/>
      <c r="O464" s="316"/>
      <c r="P464" s="316"/>
      <c r="Q464" s="316"/>
      <c r="R464" s="316"/>
      <c r="S464" s="316"/>
      <c r="T464" s="316" t="s">
        <v>235</v>
      </c>
      <c r="U464" s="316"/>
      <c r="V464" s="317"/>
      <c r="W464" s="317"/>
      <c r="X464" s="317"/>
      <c r="Y464" s="324" t="s">
        <v>496</v>
      </c>
      <c r="Z464" s="322">
        <v>359.44</v>
      </c>
      <c r="AA464" s="319">
        <f>381+2000+1000</f>
        <v>3381</v>
      </c>
      <c r="AB464" s="177"/>
      <c r="AC464" s="177"/>
      <c r="AD464" s="279" t="s">
        <v>496</v>
      </c>
      <c r="AF464" s="274"/>
    </row>
    <row r="465" spans="1:32" ht="217.5" customHeight="1" x14ac:dyDescent="0.3">
      <c r="A465" s="311" t="s">
        <v>777</v>
      </c>
      <c r="B465" s="216" t="s">
        <v>16</v>
      </c>
      <c r="C465" s="216" t="s">
        <v>113</v>
      </c>
      <c r="D465" s="216" t="s">
        <v>121</v>
      </c>
      <c r="E465" s="216" t="s">
        <v>766</v>
      </c>
      <c r="F465" s="216"/>
      <c r="G465" s="216"/>
      <c r="H465" s="216"/>
      <c r="I465" s="216"/>
      <c r="J465" s="216"/>
      <c r="K465" s="216"/>
      <c r="L465" s="216"/>
      <c r="M465" s="216"/>
      <c r="N465" s="216"/>
      <c r="O465" s="216"/>
      <c r="P465" s="216"/>
      <c r="Q465" s="216"/>
      <c r="R465" s="216"/>
      <c r="S465" s="216"/>
      <c r="T465" s="216"/>
      <c r="U465" s="216"/>
      <c r="V465" s="312"/>
      <c r="W465" s="312"/>
      <c r="X465" s="312"/>
      <c r="Y465" s="311" t="s">
        <v>497</v>
      </c>
      <c r="Z465" s="313">
        <f>Z466+Z467</f>
        <v>647941.5</v>
      </c>
      <c r="AA465" s="321">
        <f>AA466+AA467</f>
        <v>3591989.5300000003</v>
      </c>
      <c r="AB465" s="276"/>
      <c r="AC465" s="276"/>
      <c r="AD465" s="277" t="s">
        <v>497</v>
      </c>
    </row>
    <row r="466" spans="1:32" ht="154.5" customHeight="1" x14ac:dyDescent="0.3">
      <c r="A466" s="324" t="s">
        <v>790</v>
      </c>
      <c r="B466" s="316" t="s">
        <v>16</v>
      </c>
      <c r="C466" s="316" t="s">
        <v>113</v>
      </c>
      <c r="D466" s="316" t="s">
        <v>121</v>
      </c>
      <c r="E466" s="216" t="s">
        <v>766</v>
      </c>
      <c r="F466" s="316"/>
      <c r="G466" s="316"/>
      <c r="H466" s="316"/>
      <c r="I466" s="316"/>
      <c r="J466" s="316"/>
      <c r="K466" s="316"/>
      <c r="L466" s="316"/>
      <c r="M466" s="316"/>
      <c r="N466" s="316"/>
      <c r="O466" s="316"/>
      <c r="P466" s="316"/>
      <c r="Q466" s="316"/>
      <c r="R466" s="316"/>
      <c r="S466" s="316"/>
      <c r="T466" s="316" t="s">
        <v>281</v>
      </c>
      <c r="U466" s="316"/>
      <c r="V466" s="317"/>
      <c r="W466" s="317"/>
      <c r="X466" s="317"/>
      <c r="Y466" s="324" t="s">
        <v>498</v>
      </c>
      <c r="Z466" s="322">
        <f>647941.5-17100</f>
        <v>630841.5</v>
      </c>
      <c r="AA466" s="319">
        <f>594607+74084.99+142058.27+679113.31+92230.61+219062+1000000+472707.35+300000-30000</f>
        <v>3543863.5300000003</v>
      </c>
      <c r="AB466" s="177"/>
      <c r="AC466" s="177"/>
      <c r="AD466" s="279" t="s">
        <v>498</v>
      </c>
      <c r="AF466" s="274"/>
    </row>
    <row r="467" spans="1:32" ht="123.75" customHeight="1" x14ac:dyDescent="0.3">
      <c r="A467" s="324" t="s">
        <v>496</v>
      </c>
      <c r="B467" s="316" t="s">
        <v>16</v>
      </c>
      <c r="C467" s="316" t="s">
        <v>113</v>
      </c>
      <c r="D467" s="316" t="s">
        <v>121</v>
      </c>
      <c r="E467" s="216" t="s">
        <v>766</v>
      </c>
      <c r="F467" s="316"/>
      <c r="G467" s="316"/>
      <c r="H467" s="316"/>
      <c r="I467" s="316"/>
      <c r="J467" s="316"/>
      <c r="K467" s="316"/>
      <c r="L467" s="316"/>
      <c r="M467" s="316"/>
      <c r="N467" s="316"/>
      <c r="O467" s="316"/>
      <c r="P467" s="316"/>
      <c r="Q467" s="316"/>
      <c r="R467" s="316"/>
      <c r="S467" s="316"/>
      <c r="T467" s="316" t="s">
        <v>235</v>
      </c>
      <c r="U467" s="316"/>
      <c r="V467" s="317"/>
      <c r="W467" s="317"/>
      <c r="X467" s="317"/>
      <c r="Y467" s="324"/>
      <c r="Z467" s="322">
        <v>17100</v>
      </c>
      <c r="AA467" s="319">
        <f>18126+30000</f>
        <v>48126</v>
      </c>
      <c r="AB467" s="177"/>
      <c r="AC467" s="177"/>
      <c r="AD467" s="279"/>
      <c r="AF467" s="274"/>
    </row>
    <row r="468" spans="1:32" ht="75.75" customHeight="1" x14ac:dyDescent="0.3">
      <c r="A468" s="301" t="s">
        <v>303</v>
      </c>
      <c r="B468" s="302" t="s">
        <v>16</v>
      </c>
      <c r="C468" s="302" t="s">
        <v>114</v>
      </c>
      <c r="D468" s="302" t="s">
        <v>124</v>
      </c>
      <c r="E468" s="302"/>
      <c r="F468" s="302"/>
      <c r="G468" s="302"/>
      <c r="H468" s="302"/>
      <c r="I468" s="302"/>
      <c r="J468" s="302"/>
      <c r="K468" s="302"/>
      <c r="L468" s="302"/>
      <c r="M468" s="302"/>
      <c r="N468" s="302"/>
      <c r="O468" s="302"/>
      <c r="P468" s="302"/>
      <c r="Q468" s="302"/>
      <c r="R468" s="302"/>
      <c r="S468" s="302"/>
      <c r="T468" s="302"/>
      <c r="U468" s="302"/>
      <c r="V468" s="303"/>
      <c r="W468" s="303"/>
      <c r="X468" s="303"/>
      <c r="Y468" s="301" t="s">
        <v>303</v>
      </c>
      <c r="Z468" s="325">
        <v>2642421.77</v>
      </c>
      <c r="AA468" s="377">
        <f>AA469</f>
        <v>2497749.9900000002</v>
      </c>
      <c r="AB468" s="178"/>
      <c r="AC468" s="178"/>
      <c r="AD468" s="273" t="s">
        <v>303</v>
      </c>
    </row>
    <row r="469" spans="1:32" ht="85.5" customHeight="1" x14ac:dyDescent="0.3">
      <c r="A469" s="301" t="s">
        <v>243</v>
      </c>
      <c r="B469" s="302" t="s">
        <v>16</v>
      </c>
      <c r="C469" s="302" t="s">
        <v>114</v>
      </c>
      <c r="D469" s="302" t="s">
        <v>118</v>
      </c>
      <c r="E469" s="302"/>
      <c r="F469" s="302"/>
      <c r="G469" s="302"/>
      <c r="H469" s="302"/>
      <c r="I469" s="302"/>
      <c r="J469" s="302"/>
      <c r="K469" s="302"/>
      <c r="L469" s="302"/>
      <c r="M469" s="302"/>
      <c r="N469" s="302"/>
      <c r="O469" s="302"/>
      <c r="P469" s="302"/>
      <c r="Q469" s="302"/>
      <c r="R469" s="302"/>
      <c r="S469" s="302"/>
      <c r="T469" s="302"/>
      <c r="U469" s="302"/>
      <c r="V469" s="303"/>
      <c r="W469" s="303"/>
      <c r="X469" s="303"/>
      <c r="Y469" s="301" t="s">
        <v>243</v>
      </c>
      <c r="Z469" s="325">
        <v>2642421.77</v>
      </c>
      <c r="AA469" s="377">
        <f>AA470</f>
        <v>2497749.9900000002</v>
      </c>
      <c r="AB469" s="178"/>
      <c r="AC469" s="178"/>
      <c r="AD469" s="273" t="s">
        <v>243</v>
      </c>
    </row>
    <row r="470" spans="1:32" ht="234" customHeight="1" x14ac:dyDescent="0.3">
      <c r="A470" s="311" t="s">
        <v>767</v>
      </c>
      <c r="B470" s="216" t="s">
        <v>16</v>
      </c>
      <c r="C470" s="216" t="s">
        <v>114</v>
      </c>
      <c r="D470" s="216" t="s">
        <v>118</v>
      </c>
      <c r="E470" s="216" t="s">
        <v>768</v>
      </c>
      <c r="F470" s="216"/>
      <c r="G470" s="216"/>
      <c r="H470" s="216"/>
      <c r="I470" s="216"/>
      <c r="J470" s="216"/>
      <c r="K470" s="216"/>
      <c r="L470" s="216"/>
      <c r="M470" s="216"/>
      <c r="N470" s="216"/>
      <c r="O470" s="216"/>
      <c r="P470" s="216"/>
      <c r="Q470" s="216"/>
      <c r="R470" s="216"/>
      <c r="S470" s="216"/>
      <c r="T470" s="216"/>
      <c r="U470" s="216"/>
      <c r="V470" s="312"/>
      <c r="W470" s="312"/>
      <c r="X470" s="312"/>
      <c r="Y470" s="311" t="s">
        <v>499</v>
      </c>
      <c r="Z470" s="313">
        <v>2642421.77</v>
      </c>
      <c r="AA470" s="321">
        <f>AA471</f>
        <v>2497749.9900000002</v>
      </c>
      <c r="AB470" s="276"/>
      <c r="AC470" s="276"/>
      <c r="AD470" s="277" t="s">
        <v>499</v>
      </c>
    </row>
    <row r="471" spans="1:32" ht="126.75" customHeight="1" x14ac:dyDescent="0.3">
      <c r="A471" s="324" t="s">
        <v>500</v>
      </c>
      <c r="B471" s="316" t="s">
        <v>16</v>
      </c>
      <c r="C471" s="316" t="s">
        <v>114</v>
      </c>
      <c r="D471" s="316" t="s">
        <v>118</v>
      </c>
      <c r="E471" s="216" t="s">
        <v>768</v>
      </c>
      <c r="F471" s="316"/>
      <c r="G471" s="316"/>
      <c r="H471" s="316"/>
      <c r="I471" s="316"/>
      <c r="J471" s="316"/>
      <c r="K471" s="316"/>
      <c r="L471" s="316"/>
      <c r="M471" s="316"/>
      <c r="N471" s="316"/>
      <c r="O471" s="316"/>
      <c r="P471" s="316"/>
      <c r="Q471" s="316"/>
      <c r="R471" s="316"/>
      <c r="S471" s="316"/>
      <c r="T471" s="316" t="s">
        <v>300</v>
      </c>
      <c r="U471" s="316"/>
      <c r="V471" s="317"/>
      <c r="W471" s="317"/>
      <c r="X471" s="317"/>
      <c r="Y471" s="324" t="s">
        <v>500</v>
      </c>
      <c r="Z471" s="322">
        <v>2642421.77</v>
      </c>
      <c r="AA471" s="319">
        <f>2756699.99-299819.56+40869.56</f>
        <v>2497749.9900000002</v>
      </c>
      <c r="AB471" s="177"/>
      <c r="AC471" s="177"/>
      <c r="AD471" s="279" t="s">
        <v>500</v>
      </c>
      <c r="AF471" s="274"/>
    </row>
    <row r="472" spans="1:32" ht="34.5" customHeight="1" x14ac:dyDescent="0.3">
      <c r="A472" s="301" t="s">
        <v>369</v>
      </c>
      <c r="B472" s="302" t="s">
        <v>16</v>
      </c>
      <c r="C472" s="302" t="s">
        <v>129</v>
      </c>
      <c r="D472" s="302" t="s">
        <v>124</v>
      </c>
      <c r="E472" s="302"/>
      <c r="F472" s="302"/>
      <c r="G472" s="302"/>
      <c r="H472" s="302"/>
      <c r="I472" s="302"/>
      <c r="J472" s="302"/>
      <c r="K472" s="302"/>
      <c r="L472" s="302"/>
      <c r="M472" s="302"/>
      <c r="N472" s="302"/>
      <c r="O472" s="302"/>
      <c r="P472" s="302"/>
      <c r="Q472" s="302"/>
      <c r="R472" s="302"/>
      <c r="S472" s="302"/>
      <c r="T472" s="302"/>
      <c r="U472" s="302"/>
      <c r="V472" s="303"/>
      <c r="W472" s="303"/>
      <c r="X472" s="303"/>
      <c r="Y472" s="301" t="s">
        <v>369</v>
      </c>
      <c r="Z472" s="325">
        <v>8098730</v>
      </c>
      <c r="AA472" s="377">
        <f>AA473</f>
        <v>5036834.5599999996</v>
      </c>
      <c r="AB472" s="178"/>
      <c r="AC472" s="178"/>
      <c r="AD472" s="273" t="s">
        <v>369</v>
      </c>
    </row>
    <row r="473" spans="1:32" ht="36" customHeight="1" x14ac:dyDescent="0.3">
      <c r="A473" s="301" t="s">
        <v>147</v>
      </c>
      <c r="B473" s="302" t="s">
        <v>16</v>
      </c>
      <c r="C473" s="302" t="s">
        <v>129</v>
      </c>
      <c r="D473" s="302" t="s">
        <v>123</v>
      </c>
      <c r="E473" s="302"/>
      <c r="F473" s="302"/>
      <c r="G473" s="302"/>
      <c r="H473" s="302"/>
      <c r="I473" s="302"/>
      <c r="J473" s="302"/>
      <c r="K473" s="302"/>
      <c r="L473" s="302"/>
      <c r="M473" s="302"/>
      <c r="N473" s="302"/>
      <c r="O473" s="302"/>
      <c r="P473" s="302"/>
      <c r="Q473" s="302"/>
      <c r="R473" s="302"/>
      <c r="S473" s="302"/>
      <c r="T473" s="302"/>
      <c r="U473" s="302"/>
      <c r="V473" s="303"/>
      <c r="W473" s="303"/>
      <c r="X473" s="303"/>
      <c r="Y473" s="301" t="s">
        <v>147</v>
      </c>
      <c r="Z473" s="325">
        <v>8098730</v>
      </c>
      <c r="AA473" s="377">
        <f>AA474</f>
        <v>5036834.5599999996</v>
      </c>
      <c r="AB473" s="178"/>
      <c r="AC473" s="178"/>
      <c r="AD473" s="273" t="s">
        <v>147</v>
      </c>
    </row>
    <row r="474" spans="1:32" ht="175.5" customHeight="1" x14ac:dyDescent="0.3">
      <c r="A474" s="311" t="s">
        <v>769</v>
      </c>
      <c r="B474" s="216" t="s">
        <v>16</v>
      </c>
      <c r="C474" s="216" t="s">
        <v>129</v>
      </c>
      <c r="D474" s="216" t="s">
        <v>123</v>
      </c>
      <c r="E474" s="216" t="s">
        <v>770</v>
      </c>
      <c r="F474" s="216"/>
      <c r="G474" s="216"/>
      <c r="H474" s="216"/>
      <c r="I474" s="216"/>
      <c r="J474" s="216"/>
      <c r="K474" s="216"/>
      <c r="L474" s="216"/>
      <c r="M474" s="216"/>
      <c r="N474" s="216"/>
      <c r="O474" s="216"/>
      <c r="P474" s="216"/>
      <c r="Q474" s="216"/>
      <c r="R474" s="216"/>
      <c r="S474" s="216"/>
      <c r="T474" s="216"/>
      <c r="U474" s="216"/>
      <c r="V474" s="312"/>
      <c r="W474" s="312"/>
      <c r="X474" s="312"/>
      <c r="Y474" s="311" t="s">
        <v>501</v>
      </c>
      <c r="Z474" s="313">
        <v>8098730</v>
      </c>
      <c r="AA474" s="314">
        <f>AA475</f>
        <v>5036834.5599999996</v>
      </c>
      <c r="AB474" s="276"/>
      <c r="AC474" s="276"/>
      <c r="AD474" s="277" t="s">
        <v>501</v>
      </c>
    </row>
    <row r="475" spans="1:32" ht="144" customHeight="1" x14ac:dyDescent="0.3">
      <c r="A475" s="355" t="s">
        <v>502</v>
      </c>
      <c r="B475" s="328" t="s">
        <v>16</v>
      </c>
      <c r="C475" s="328" t="s">
        <v>129</v>
      </c>
      <c r="D475" s="328" t="s">
        <v>123</v>
      </c>
      <c r="E475" s="296" t="s">
        <v>770</v>
      </c>
      <c r="F475" s="328"/>
      <c r="G475" s="328"/>
      <c r="H475" s="328"/>
      <c r="I475" s="328"/>
      <c r="J475" s="328"/>
      <c r="K475" s="328"/>
      <c r="L475" s="328"/>
      <c r="M475" s="328"/>
      <c r="N475" s="328"/>
      <c r="O475" s="328"/>
      <c r="P475" s="328"/>
      <c r="Q475" s="328"/>
      <c r="R475" s="328"/>
      <c r="S475" s="328"/>
      <c r="T475" s="328" t="s">
        <v>300</v>
      </c>
      <c r="U475" s="328"/>
      <c r="V475" s="329"/>
      <c r="W475" s="329"/>
      <c r="X475" s="329"/>
      <c r="Y475" s="355" t="s">
        <v>502</v>
      </c>
      <c r="Z475" s="330">
        <v>8098730</v>
      </c>
      <c r="AA475" s="428">
        <f>8708940.34-1072105.78-2600000</f>
        <v>5036834.5599999996</v>
      </c>
      <c r="AB475" s="177"/>
      <c r="AC475" s="177"/>
      <c r="AD475" s="279" t="s">
        <v>502</v>
      </c>
      <c r="AF475" s="274"/>
    </row>
    <row r="476" spans="1:32" ht="36" customHeight="1" x14ac:dyDescent="0.3">
      <c r="A476" s="301" t="s">
        <v>382</v>
      </c>
      <c r="B476" s="302" t="s">
        <v>16</v>
      </c>
      <c r="C476" s="302" t="s">
        <v>117</v>
      </c>
      <c r="D476" s="302" t="s">
        <v>124</v>
      </c>
      <c r="E476" s="302"/>
      <c r="F476" s="302"/>
      <c r="G476" s="302"/>
      <c r="H476" s="302"/>
      <c r="I476" s="302"/>
      <c r="J476" s="302"/>
      <c r="K476" s="302"/>
      <c r="L476" s="302"/>
      <c r="M476" s="302"/>
      <c r="N476" s="302"/>
      <c r="O476" s="302"/>
      <c r="P476" s="302"/>
      <c r="Q476" s="302"/>
      <c r="R476" s="302"/>
      <c r="S476" s="302"/>
      <c r="T476" s="302"/>
      <c r="U476" s="302"/>
      <c r="V476" s="303"/>
      <c r="W476" s="303"/>
      <c r="X476" s="303"/>
      <c r="Y476" s="301" t="s">
        <v>382</v>
      </c>
      <c r="Z476" s="325">
        <v>14233372.449999999</v>
      </c>
      <c r="AA476" s="377">
        <f>AA477</f>
        <v>11371936.620000001</v>
      </c>
      <c r="AB476" s="178"/>
      <c r="AC476" s="178"/>
      <c r="AD476" s="273" t="s">
        <v>382</v>
      </c>
    </row>
    <row r="477" spans="1:32" ht="36.75" customHeight="1" x14ac:dyDescent="0.3">
      <c r="A477" s="301" t="s">
        <v>150</v>
      </c>
      <c r="B477" s="302" t="s">
        <v>16</v>
      </c>
      <c r="C477" s="302" t="s">
        <v>117</v>
      </c>
      <c r="D477" s="302" t="s">
        <v>113</v>
      </c>
      <c r="E477" s="302"/>
      <c r="F477" s="302"/>
      <c r="G477" s="302"/>
      <c r="H477" s="302"/>
      <c r="I477" s="302"/>
      <c r="J477" s="302"/>
      <c r="K477" s="302"/>
      <c r="L477" s="302"/>
      <c r="M477" s="302"/>
      <c r="N477" s="302"/>
      <c r="O477" s="302"/>
      <c r="P477" s="302"/>
      <c r="Q477" s="302"/>
      <c r="R477" s="302"/>
      <c r="S477" s="302"/>
      <c r="T477" s="302"/>
      <c r="U477" s="302"/>
      <c r="V477" s="303"/>
      <c r="W477" s="303"/>
      <c r="X477" s="303"/>
      <c r="Y477" s="301" t="s">
        <v>150</v>
      </c>
      <c r="Z477" s="325">
        <f>Z478+Z480+Z482</f>
        <v>14233372.449999999</v>
      </c>
      <c r="AA477" s="377">
        <f>AA478+AA480+AA482</f>
        <v>11371936.620000001</v>
      </c>
      <c r="AB477" s="178"/>
      <c r="AC477" s="178"/>
      <c r="AD477" s="273" t="s">
        <v>150</v>
      </c>
    </row>
    <row r="478" spans="1:32" ht="147.75" customHeight="1" x14ac:dyDescent="0.3">
      <c r="A478" s="311" t="s">
        <v>771</v>
      </c>
      <c r="B478" s="216" t="s">
        <v>16</v>
      </c>
      <c r="C478" s="216" t="s">
        <v>117</v>
      </c>
      <c r="D478" s="216" t="s">
        <v>113</v>
      </c>
      <c r="E478" s="216" t="s">
        <v>772</v>
      </c>
      <c r="F478" s="216"/>
      <c r="G478" s="216"/>
      <c r="H478" s="216"/>
      <c r="I478" s="216"/>
      <c r="J478" s="216"/>
      <c r="K478" s="216"/>
      <c r="L478" s="216"/>
      <c r="M478" s="216"/>
      <c r="N478" s="216"/>
      <c r="O478" s="216"/>
      <c r="P478" s="216"/>
      <c r="Q478" s="216"/>
      <c r="R478" s="216"/>
      <c r="S478" s="216"/>
      <c r="T478" s="216"/>
      <c r="U478" s="216"/>
      <c r="V478" s="312"/>
      <c r="W478" s="312"/>
      <c r="X478" s="312"/>
      <c r="Y478" s="311" t="s">
        <v>503</v>
      </c>
      <c r="Z478" s="313">
        <v>6071322.5599999996</v>
      </c>
      <c r="AA478" s="314">
        <f>AA479</f>
        <v>4819591.7</v>
      </c>
      <c r="AB478" s="276"/>
      <c r="AC478" s="276"/>
      <c r="AD478" s="277" t="s">
        <v>503</v>
      </c>
    </row>
    <row r="479" spans="1:32" ht="104.25" customHeight="1" x14ac:dyDescent="0.3">
      <c r="A479" s="324" t="s">
        <v>504</v>
      </c>
      <c r="B479" s="316" t="s">
        <v>16</v>
      </c>
      <c r="C479" s="316" t="s">
        <v>117</v>
      </c>
      <c r="D479" s="316" t="s">
        <v>113</v>
      </c>
      <c r="E479" s="216" t="s">
        <v>772</v>
      </c>
      <c r="F479" s="316"/>
      <c r="G479" s="316"/>
      <c r="H479" s="316"/>
      <c r="I479" s="316"/>
      <c r="J479" s="316"/>
      <c r="K479" s="316"/>
      <c r="L479" s="316"/>
      <c r="M479" s="316"/>
      <c r="N479" s="316"/>
      <c r="O479" s="316"/>
      <c r="P479" s="316"/>
      <c r="Q479" s="316"/>
      <c r="R479" s="316"/>
      <c r="S479" s="316"/>
      <c r="T479" s="316" t="s">
        <v>300</v>
      </c>
      <c r="U479" s="316"/>
      <c r="V479" s="317"/>
      <c r="W479" s="317"/>
      <c r="X479" s="317"/>
      <c r="Y479" s="324" t="s">
        <v>504</v>
      </c>
      <c r="Z479" s="322">
        <v>6071322.5599999996</v>
      </c>
      <c r="AA479" s="334">
        <f>5324800-505208.3</f>
        <v>4819591.7</v>
      </c>
      <c r="AB479" s="177"/>
      <c r="AC479" s="177"/>
      <c r="AD479" s="279" t="s">
        <v>504</v>
      </c>
    </row>
    <row r="480" spans="1:32" ht="128.25" customHeight="1" x14ac:dyDescent="0.3">
      <c r="A480" s="311" t="s">
        <v>773</v>
      </c>
      <c r="B480" s="216" t="s">
        <v>16</v>
      </c>
      <c r="C480" s="216" t="s">
        <v>117</v>
      </c>
      <c r="D480" s="216" t="s">
        <v>113</v>
      </c>
      <c r="E480" s="216" t="s">
        <v>774</v>
      </c>
      <c r="F480" s="216"/>
      <c r="G480" s="216"/>
      <c r="H480" s="216"/>
      <c r="I480" s="216"/>
      <c r="J480" s="216"/>
      <c r="K480" s="216"/>
      <c r="L480" s="216"/>
      <c r="M480" s="216"/>
      <c r="N480" s="216"/>
      <c r="O480" s="216"/>
      <c r="P480" s="216"/>
      <c r="Q480" s="216"/>
      <c r="R480" s="216"/>
      <c r="S480" s="216"/>
      <c r="T480" s="216"/>
      <c r="U480" s="216"/>
      <c r="V480" s="312"/>
      <c r="W480" s="312"/>
      <c r="X480" s="312"/>
      <c r="Y480" s="311" t="s">
        <v>505</v>
      </c>
      <c r="Z480" s="313">
        <v>3323531.2</v>
      </c>
      <c r="AA480" s="314">
        <f>AA481</f>
        <v>2373340.6700000004</v>
      </c>
      <c r="AB480" s="276"/>
      <c r="AC480" s="276"/>
      <c r="AD480" s="277" t="s">
        <v>505</v>
      </c>
    </row>
    <row r="481" spans="1:32" ht="115.5" customHeight="1" x14ac:dyDescent="0.3">
      <c r="A481" s="355" t="s">
        <v>506</v>
      </c>
      <c r="B481" s="328" t="s">
        <v>16</v>
      </c>
      <c r="C481" s="328" t="s">
        <v>117</v>
      </c>
      <c r="D481" s="328" t="s">
        <v>113</v>
      </c>
      <c r="E481" s="296" t="s">
        <v>774</v>
      </c>
      <c r="F481" s="328"/>
      <c r="G481" s="328"/>
      <c r="H481" s="328"/>
      <c r="I481" s="328"/>
      <c r="J481" s="328"/>
      <c r="K481" s="328"/>
      <c r="L481" s="328"/>
      <c r="M481" s="328"/>
      <c r="N481" s="328"/>
      <c r="O481" s="328"/>
      <c r="P481" s="328"/>
      <c r="Q481" s="328"/>
      <c r="R481" s="328"/>
      <c r="S481" s="328"/>
      <c r="T481" s="328" t="s">
        <v>300</v>
      </c>
      <c r="U481" s="328"/>
      <c r="V481" s="329"/>
      <c r="W481" s="329"/>
      <c r="X481" s="329"/>
      <c r="Y481" s="355" t="s">
        <v>506</v>
      </c>
      <c r="Z481" s="330">
        <v>3323531.2</v>
      </c>
      <c r="AA481" s="428">
        <f>3005000-229237.3+47577.97-450000</f>
        <v>2373340.6700000004</v>
      </c>
      <c r="AB481" s="177"/>
      <c r="AC481" s="177"/>
      <c r="AD481" s="279" t="s">
        <v>506</v>
      </c>
    </row>
    <row r="482" spans="1:32" ht="129" customHeight="1" x14ac:dyDescent="0.3">
      <c r="A482" s="311" t="s">
        <v>775</v>
      </c>
      <c r="B482" s="216" t="s">
        <v>16</v>
      </c>
      <c r="C482" s="216" t="s">
        <v>117</v>
      </c>
      <c r="D482" s="216" t="s">
        <v>113</v>
      </c>
      <c r="E482" s="216" t="s">
        <v>776</v>
      </c>
      <c r="F482" s="216"/>
      <c r="G482" s="216"/>
      <c r="H482" s="216"/>
      <c r="I482" s="216"/>
      <c r="J482" s="216"/>
      <c r="K482" s="216"/>
      <c r="L482" s="216"/>
      <c r="M482" s="216"/>
      <c r="N482" s="216"/>
      <c r="O482" s="216"/>
      <c r="P482" s="216"/>
      <c r="Q482" s="216"/>
      <c r="R482" s="216"/>
      <c r="S482" s="216"/>
      <c r="T482" s="216"/>
      <c r="U482" s="216"/>
      <c r="V482" s="312"/>
      <c r="W482" s="312"/>
      <c r="X482" s="312"/>
      <c r="Y482" s="311" t="s">
        <v>507</v>
      </c>
      <c r="Z482" s="313">
        <v>4838518.6900000004</v>
      </c>
      <c r="AA482" s="314">
        <f>AA483</f>
        <v>4179004.25</v>
      </c>
      <c r="AB482" s="276"/>
      <c r="AC482" s="276"/>
      <c r="AD482" s="277" t="s">
        <v>507</v>
      </c>
    </row>
    <row r="483" spans="1:32" ht="101.25" customHeight="1" x14ac:dyDescent="0.3">
      <c r="A483" s="355" t="s">
        <v>508</v>
      </c>
      <c r="B483" s="328" t="s">
        <v>16</v>
      </c>
      <c r="C483" s="328" t="s">
        <v>117</v>
      </c>
      <c r="D483" s="449" t="s">
        <v>113</v>
      </c>
      <c r="E483" s="296" t="s">
        <v>776</v>
      </c>
      <c r="F483" s="328"/>
      <c r="G483" s="328"/>
      <c r="H483" s="328"/>
      <c r="I483" s="328"/>
      <c r="J483" s="328"/>
      <c r="K483" s="328"/>
      <c r="L483" s="328"/>
      <c r="M483" s="328"/>
      <c r="N483" s="328"/>
      <c r="O483" s="328"/>
      <c r="P483" s="328"/>
      <c r="Q483" s="328"/>
      <c r="R483" s="328"/>
      <c r="S483" s="328"/>
      <c r="T483" s="328" t="s">
        <v>300</v>
      </c>
      <c r="U483" s="328"/>
      <c r="V483" s="329"/>
      <c r="W483" s="329"/>
      <c r="X483" s="329"/>
      <c r="Y483" s="355" t="s">
        <v>508</v>
      </c>
      <c r="Z483" s="330">
        <v>4838518.6900000004</v>
      </c>
      <c r="AA483" s="428">
        <f>4856532-437527.75+800000-1040000</f>
        <v>4179004.25</v>
      </c>
      <c r="AB483" s="177"/>
      <c r="AC483" s="177"/>
      <c r="AD483" s="279" t="s">
        <v>508</v>
      </c>
    </row>
    <row r="484" spans="1:32" ht="18" hidden="1" customHeight="1" x14ac:dyDescent="0.3">
      <c r="A484" s="301" t="s">
        <v>393</v>
      </c>
      <c r="B484" s="302" t="s">
        <v>16</v>
      </c>
      <c r="C484" s="302" t="s">
        <v>134</v>
      </c>
      <c r="D484" s="302" t="s">
        <v>124</v>
      </c>
      <c r="E484" s="302"/>
      <c r="F484" s="302"/>
      <c r="G484" s="302"/>
      <c r="H484" s="302"/>
      <c r="I484" s="302"/>
      <c r="J484" s="302"/>
      <c r="K484" s="302"/>
      <c r="L484" s="302"/>
      <c r="M484" s="302"/>
      <c r="N484" s="302"/>
      <c r="O484" s="302"/>
      <c r="P484" s="302"/>
      <c r="Q484" s="302"/>
      <c r="R484" s="302"/>
      <c r="S484" s="302"/>
      <c r="T484" s="302"/>
      <c r="U484" s="302"/>
      <c r="V484" s="303"/>
      <c r="W484" s="303"/>
      <c r="X484" s="303"/>
      <c r="Y484" s="301" t="s">
        <v>393</v>
      </c>
      <c r="Z484" s="325">
        <v>110985.60000000001</v>
      </c>
      <c r="AA484" s="377"/>
      <c r="AB484" s="178"/>
      <c r="AC484" s="178"/>
      <c r="AD484" s="273" t="s">
        <v>393</v>
      </c>
    </row>
    <row r="485" spans="1:32" ht="18" hidden="1" customHeight="1" x14ac:dyDescent="0.3">
      <c r="A485" s="301" t="s">
        <v>153</v>
      </c>
      <c r="B485" s="302" t="s">
        <v>16</v>
      </c>
      <c r="C485" s="302" t="s">
        <v>134</v>
      </c>
      <c r="D485" s="302" t="s">
        <v>113</v>
      </c>
      <c r="E485" s="302"/>
      <c r="F485" s="302"/>
      <c r="G485" s="302"/>
      <c r="H485" s="302"/>
      <c r="I485" s="302"/>
      <c r="J485" s="302"/>
      <c r="K485" s="302"/>
      <c r="L485" s="302"/>
      <c r="M485" s="302"/>
      <c r="N485" s="302"/>
      <c r="O485" s="302"/>
      <c r="P485" s="302"/>
      <c r="Q485" s="302"/>
      <c r="R485" s="302"/>
      <c r="S485" s="302"/>
      <c r="T485" s="302"/>
      <c r="U485" s="302"/>
      <c r="V485" s="303"/>
      <c r="W485" s="303"/>
      <c r="X485" s="303"/>
      <c r="Y485" s="301" t="s">
        <v>153</v>
      </c>
      <c r="Z485" s="325">
        <v>110985.60000000001</v>
      </c>
      <c r="AA485" s="377"/>
      <c r="AB485" s="178"/>
      <c r="AC485" s="178"/>
      <c r="AD485" s="273" t="s">
        <v>153</v>
      </c>
    </row>
    <row r="486" spans="1:32" ht="220.5" hidden="1" customHeight="1" x14ac:dyDescent="0.3">
      <c r="A486" s="331" t="s">
        <v>481</v>
      </c>
      <c r="B486" s="216" t="s">
        <v>16</v>
      </c>
      <c r="C486" s="216" t="s">
        <v>134</v>
      </c>
      <c r="D486" s="216" t="s">
        <v>113</v>
      </c>
      <c r="E486" s="216" t="s">
        <v>482</v>
      </c>
      <c r="F486" s="216"/>
      <c r="G486" s="216"/>
      <c r="H486" s="216"/>
      <c r="I486" s="216"/>
      <c r="J486" s="216"/>
      <c r="K486" s="216"/>
      <c r="L486" s="216"/>
      <c r="M486" s="216"/>
      <c r="N486" s="216"/>
      <c r="O486" s="216"/>
      <c r="P486" s="216"/>
      <c r="Q486" s="216"/>
      <c r="R486" s="216"/>
      <c r="S486" s="216"/>
      <c r="T486" s="216"/>
      <c r="U486" s="216"/>
      <c r="V486" s="312"/>
      <c r="W486" s="312"/>
      <c r="X486" s="312"/>
      <c r="Y486" s="331" t="s">
        <v>481</v>
      </c>
      <c r="Z486" s="313">
        <v>0</v>
      </c>
      <c r="AA486" s="314"/>
      <c r="AB486" s="276"/>
      <c r="AC486" s="276"/>
      <c r="AD486" s="281" t="s">
        <v>481</v>
      </c>
    </row>
    <row r="487" spans="1:32" ht="8.25" hidden="1" customHeight="1" x14ac:dyDescent="0.3">
      <c r="A487" s="315" t="s">
        <v>483</v>
      </c>
      <c r="B487" s="316" t="s">
        <v>16</v>
      </c>
      <c r="C487" s="316" t="s">
        <v>134</v>
      </c>
      <c r="D487" s="316" t="s">
        <v>113</v>
      </c>
      <c r="E487" s="316" t="s">
        <v>482</v>
      </c>
      <c r="F487" s="316"/>
      <c r="G487" s="316"/>
      <c r="H487" s="316"/>
      <c r="I487" s="316"/>
      <c r="J487" s="316"/>
      <c r="K487" s="316"/>
      <c r="L487" s="316"/>
      <c r="M487" s="316"/>
      <c r="N487" s="316"/>
      <c r="O487" s="316"/>
      <c r="P487" s="316"/>
      <c r="Q487" s="316"/>
      <c r="R487" s="316"/>
      <c r="S487" s="316"/>
      <c r="T487" s="316" t="s">
        <v>396</v>
      </c>
      <c r="U487" s="316"/>
      <c r="V487" s="317"/>
      <c r="W487" s="317"/>
      <c r="X487" s="317"/>
      <c r="Y487" s="315" t="s">
        <v>483</v>
      </c>
      <c r="Z487" s="322">
        <v>0</v>
      </c>
      <c r="AA487" s="319">
        <v>0</v>
      </c>
      <c r="AB487" s="177"/>
      <c r="AC487" s="177"/>
      <c r="AD487" s="278" t="s">
        <v>483</v>
      </c>
      <c r="AF487" s="274"/>
    </row>
    <row r="488" spans="1:32" ht="36" customHeight="1" x14ac:dyDescent="0.3">
      <c r="A488" s="333" t="s">
        <v>509</v>
      </c>
      <c r="B488" s="302"/>
      <c r="C488" s="302"/>
      <c r="D488" s="302"/>
      <c r="E488" s="302"/>
      <c r="F488" s="302"/>
      <c r="G488" s="302"/>
      <c r="H488" s="302"/>
      <c r="I488" s="302"/>
      <c r="J488" s="302"/>
      <c r="K488" s="302"/>
      <c r="L488" s="302"/>
      <c r="M488" s="302"/>
      <c r="N488" s="302"/>
      <c r="O488" s="302"/>
      <c r="P488" s="302"/>
      <c r="Q488" s="302"/>
      <c r="R488" s="302"/>
      <c r="S488" s="302"/>
      <c r="T488" s="302"/>
      <c r="U488" s="302"/>
      <c r="V488" s="303"/>
      <c r="W488" s="303"/>
      <c r="X488" s="303"/>
      <c r="Y488" s="333" t="s">
        <v>509</v>
      </c>
      <c r="Z488" s="325">
        <f>Z10+Z252+Z365+Z458</f>
        <v>699433358.06000006</v>
      </c>
      <c r="AA488" s="305">
        <f>AA10+AA252+AA365+AA458</f>
        <v>903084468.31000006</v>
      </c>
      <c r="AB488" s="178"/>
      <c r="AC488" s="178"/>
      <c r="AD488" s="285" t="s">
        <v>509</v>
      </c>
    </row>
    <row r="489" spans="1:32" ht="11.25" customHeight="1" x14ac:dyDescent="0.25">
      <c r="A489" s="272"/>
      <c r="B489" s="272"/>
      <c r="C489" s="272"/>
      <c r="D489" s="272"/>
      <c r="E489" s="272"/>
      <c r="F489" s="272"/>
      <c r="G489" s="272"/>
      <c r="H489" s="272"/>
      <c r="I489" s="272"/>
      <c r="J489" s="272"/>
      <c r="K489" s="272"/>
      <c r="L489" s="272"/>
      <c r="M489" s="272"/>
      <c r="N489" s="272"/>
      <c r="O489" s="272"/>
      <c r="P489" s="272"/>
      <c r="Q489" s="272"/>
      <c r="R489" s="272"/>
      <c r="S489" s="272"/>
      <c r="T489" s="272"/>
      <c r="U489" s="272"/>
      <c r="V489" s="272"/>
      <c r="W489" s="272"/>
      <c r="X489" s="272"/>
      <c r="Y489" s="272"/>
      <c r="Z489" s="272"/>
      <c r="AA489" s="272"/>
      <c r="AC489" s="274"/>
    </row>
    <row r="490" spans="1:32" ht="18" hidden="1" customHeight="1" x14ac:dyDescent="0.25">
      <c r="A490" s="272"/>
      <c r="B490" s="272"/>
      <c r="C490" s="272"/>
      <c r="D490" s="272"/>
      <c r="E490" s="272"/>
      <c r="F490" s="272"/>
      <c r="G490" s="272"/>
      <c r="H490" s="272"/>
      <c r="I490" s="272"/>
      <c r="J490" s="272"/>
      <c r="K490" s="272"/>
      <c r="L490" s="272"/>
      <c r="M490" s="272"/>
      <c r="N490" s="272"/>
      <c r="O490" s="272"/>
      <c r="P490" s="272"/>
      <c r="Q490" s="272"/>
      <c r="R490" s="272"/>
      <c r="S490" s="272"/>
      <c r="T490" s="272" t="s">
        <v>526</v>
      </c>
      <c r="U490" s="272"/>
      <c r="V490" s="272"/>
      <c r="W490" s="272"/>
      <c r="X490" s="272"/>
      <c r="Y490" s="272"/>
      <c r="Z490" s="286"/>
      <c r="AA490" s="286">
        <f>AA54+AA86+AA147+AA183+AA200+AA235+AA376+AA399+AA422+AA442+AA445+AA447+AA450+AA455+AA230+AA32+AA149+AA136+AA44+AA378+AA276+AA215+AA219+AA217+AA402+AA404+AA380+AA116</f>
        <v>505151898.38999987</v>
      </c>
      <c r="AB490" s="274"/>
      <c r="AC490" s="274"/>
    </row>
    <row r="491" spans="1:32" ht="14.25" hidden="1" customHeight="1" x14ac:dyDescent="0.25">
      <c r="A491" s="272"/>
      <c r="B491" s="272"/>
      <c r="C491" s="272"/>
      <c r="D491" s="272"/>
      <c r="E491" s="272"/>
      <c r="F491" s="272"/>
      <c r="G491" s="272"/>
      <c r="H491" s="272"/>
      <c r="I491" s="272"/>
      <c r="J491" s="272"/>
      <c r="K491" s="272"/>
      <c r="L491" s="272"/>
      <c r="M491" s="272"/>
      <c r="N491" s="272"/>
      <c r="O491" s="272"/>
      <c r="P491" s="272"/>
      <c r="Q491" s="272"/>
      <c r="R491" s="272"/>
      <c r="S491" s="272"/>
      <c r="T491" s="272" t="s">
        <v>527</v>
      </c>
      <c r="U491" s="272"/>
      <c r="V491" s="272"/>
      <c r="W491" s="272"/>
      <c r="X491" s="272"/>
      <c r="Y491" s="272"/>
      <c r="Z491" s="286"/>
      <c r="AA491" s="286">
        <f>+AA13+AA16+AA18+AA29+AA36+AA140+AA197+AA206+AA208+AA223+AA374+AA412+AA414+AA438+AA266+AA59+AA226+AA68+AA57</f>
        <v>15921743.559999999</v>
      </c>
      <c r="AB491" s="274"/>
      <c r="AC491" s="274"/>
    </row>
    <row r="492" spans="1:32" ht="15.75" hidden="1" x14ac:dyDescent="0.25">
      <c r="A492" s="272"/>
      <c r="B492" s="272"/>
      <c r="C492" s="272"/>
      <c r="D492" s="272"/>
      <c r="E492" s="272"/>
      <c r="F492" s="272"/>
      <c r="G492" s="272"/>
      <c r="H492" s="272"/>
      <c r="I492" s="272"/>
      <c r="J492" s="272"/>
      <c r="K492" s="272"/>
      <c r="L492" s="272"/>
      <c r="M492" s="272"/>
      <c r="N492" s="272"/>
      <c r="O492" s="272"/>
      <c r="P492" s="272"/>
      <c r="Q492" s="272"/>
      <c r="R492" s="272"/>
      <c r="S492" s="272"/>
      <c r="T492" s="272"/>
      <c r="U492" s="272"/>
      <c r="V492" s="272"/>
      <c r="W492" s="272"/>
      <c r="X492" s="272"/>
      <c r="Y492" s="272"/>
      <c r="Z492" s="286"/>
      <c r="AA492" s="286">
        <f>П6ПРОГРАММЫ!I54</f>
        <v>382010826.36000007</v>
      </c>
      <c r="AB492" s="274"/>
      <c r="AC492" s="274"/>
    </row>
    <row r="493" spans="1:32" ht="12" hidden="1" customHeight="1" x14ac:dyDescent="0.25">
      <c r="A493" s="272"/>
      <c r="B493" s="272"/>
      <c r="C493" s="272"/>
      <c r="D493" s="272"/>
      <c r="E493" s="272"/>
      <c r="F493" s="272"/>
      <c r="G493" s="272"/>
      <c r="H493" s="272"/>
      <c r="I493" s="272"/>
      <c r="J493" s="272"/>
      <c r="K493" s="272"/>
      <c r="L493" s="272"/>
      <c r="M493" s="272"/>
      <c r="N493" s="272"/>
      <c r="O493" s="272"/>
      <c r="P493" s="272"/>
      <c r="Q493" s="272"/>
      <c r="R493" s="272"/>
      <c r="S493" s="272"/>
      <c r="T493" s="272"/>
      <c r="U493" s="272"/>
      <c r="V493" s="272"/>
      <c r="W493" s="272"/>
      <c r="X493" s="272"/>
      <c r="Y493" s="272"/>
      <c r="Z493" s="272"/>
      <c r="AA493" s="272"/>
      <c r="AB493" s="274"/>
      <c r="AC493" s="274"/>
    </row>
    <row r="494" spans="1:32" ht="47.25" hidden="1" x14ac:dyDescent="0.25">
      <c r="A494" s="272"/>
      <c r="B494" s="272"/>
      <c r="C494" s="272"/>
      <c r="D494" s="272"/>
      <c r="E494" s="272"/>
      <c r="F494" s="272"/>
      <c r="G494" s="272"/>
      <c r="H494" s="272"/>
      <c r="I494" s="272"/>
      <c r="J494" s="272"/>
      <c r="K494" s="272"/>
      <c r="L494" s="272"/>
      <c r="M494" s="272"/>
      <c r="N494" s="272"/>
      <c r="O494" s="272"/>
      <c r="P494" s="272"/>
      <c r="Q494" s="272"/>
      <c r="R494" s="272"/>
      <c r="S494" s="272"/>
      <c r="T494" s="297" t="s">
        <v>988</v>
      </c>
      <c r="U494" s="272"/>
      <c r="V494" s="272"/>
      <c r="W494" s="272"/>
      <c r="X494" s="272"/>
      <c r="Y494" s="272"/>
      <c r="Z494" s="272"/>
      <c r="AA494" s="286">
        <f>П3ДОХОДЫ!E96+П3ДОХОДЫ!E25+11558055.37</f>
        <v>354241214.67000008</v>
      </c>
      <c r="AB494" s="286"/>
      <c r="AC494" s="298" t="s">
        <v>987</v>
      </c>
    </row>
    <row r="495" spans="1:32" ht="15.75" hidden="1" x14ac:dyDescent="0.25">
      <c r="A495" s="272"/>
      <c r="B495" s="272"/>
      <c r="C495" s="272"/>
      <c r="D495" s="272"/>
      <c r="E495" s="272"/>
      <c r="F495" s="272"/>
      <c r="G495" s="272"/>
      <c r="H495" s="272"/>
      <c r="I495" s="272"/>
      <c r="J495" s="272"/>
      <c r="K495" s="272"/>
      <c r="L495" s="272"/>
      <c r="M495" s="272"/>
      <c r="N495" s="272"/>
      <c r="O495" s="272"/>
      <c r="P495" s="272"/>
      <c r="Q495" s="272"/>
      <c r="R495" s="272"/>
      <c r="S495" s="272"/>
      <c r="T495" s="272" t="s">
        <v>983</v>
      </c>
      <c r="U495" s="272"/>
      <c r="V495" s="272"/>
      <c r="W495" s="272"/>
      <c r="X495" s="272"/>
      <c r="Y495" s="272"/>
      <c r="Z495" s="272"/>
      <c r="AA495" s="286">
        <f>AA14+AA17+AA19+AA21+AA24+AA26+AA27+AA28+AA259+AA260+AA261+AA427+AA428+AA429+AA462+AA463+AA464+AA37+AA20</f>
        <v>54838920.699999996</v>
      </c>
      <c r="AB495" s="286">
        <f>AA495/AA494*100</f>
        <v>15.480672047459581</v>
      </c>
      <c r="AC495" s="286">
        <v>26.39</v>
      </c>
    </row>
    <row r="496" spans="1:32" ht="15.75" hidden="1" x14ac:dyDescent="0.25">
      <c r="A496" s="272"/>
      <c r="B496" s="272"/>
      <c r="C496" s="272"/>
      <c r="D496" s="272"/>
      <c r="E496" s="272"/>
      <c r="F496" s="272"/>
      <c r="G496" s="272"/>
      <c r="H496" s="272"/>
      <c r="I496" s="272"/>
      <c r="J496" s="272"/>
      <c r="K496" s="272"/>
      <c r="L496" s="272"/>
      <c r="M496" s="272"/>
      <c r="N496" s="272"/>
      <c r="O496" s="272"/>
      <c r="P496" s="272"/>
      <c r="Q496" s="272"/>
      <c r="R496" s="272"/>
      <c r="S496" s="272"/>
      <c r="T496" s="272" t="s">
        <v>984</v>
      </c>
      <c r="U496" s="272"/>
      <c r="V496" s="272"/>
      <c r="W496" s="272"/>
      <c r="X496" s="272"/>
      <c r="Y496" s="272"/>
      <c r="Z496" s="272"/>
      <c r="AA496" s="286">
        <f>AA367-AA377-AA379</f>
        <v>67511303.12999998</v>
      </c>
      <c r="AB496" s="286">
        <f>AA496/AA494*100</f>
        <v>19.058003511220846</v>
      </c>
      <c r="AC496" s="272">
        <v>13.7</v>
      </c>
    </row>
    <row r="497" spans="20:29" ht="15.75" hidden="1" x14ac:dyDescent="0.25">
      <c r="T497" s="272" t="s">
        <v>985</v>
      </c>
      <c r="U497" s="272"/>
      <c r="V497" s="272"/>
      <c r="W497" s="272"/>
      <c r="X497" s="272"/>
      <c r="Y497" s="272"/>
      <c r="Z497" s="272"/>
      <c r="AA497" s="286">
        <f>AA382-AA401-AO241-AA403-AA405</f>
        <v>105604064.99000001</v>
      </c>
      <c r="AB497" s="286">
        <f>AA497/AA494*100</f>
        <v>29.811343405757405</v>
      </c>
      <c r="AC497" s="272">
        <v>22.55</v>
      </c>
    </row>
    <row r="498" spans="20:29" ht="15.75" hidden="1" x14ac:dyDescent="0.25">
      <c r="T498" s="272" t="s">
        <v>986</v>
      </c>
      <c r="U498" s="272"/>
      <c r="V498" s="272"/>
      <c r="W498" s="272"/>
      <c r="X498" s="272"/>
      <c r="Y498" s="272"/>
      <c r="Z498" s="286"/>
      <c r="AA498" s="286">
        <f>AA475</f>
        <v>5036834.5599999996</v>
      </c>
      <c r="AB498" s="286">
        <f>AA498/AA494*100</f>
        <v>1.4218657658714713</v>
      </c>
      <c r="AC498" s="272">
        <v>6.57</v>
      </c>
    </row>
    <row r="499" spans="20:29" ht="15.75" hidden="1" x14ac:dyDescent="0.25">
      <c r="T499" s="272" t="s">
        <v>579</v>
      </c>
      <c r="U499" s="272"/>
      <c r="V499" s="272"/>
      <c r="W499" s="272"/>
      <c r="X499" s="272"/>
      <c r="Y499" s="272"/>
      <c r="Z499" s="272"/>
      <c r="AA499" s="286">
        <f>AA494-AA495-AA496-AA497-AA498</f>
        <v>121250091.29000008</v>
      </c>
      <c r="AB499" s="286">
        <f>AA499/AA494*100</f>
        <v>34.22811526969069</v>
      </c>
      <c r="AC499" s="272">
        <v>30.79</v>
      </c>
    </row>
    <row r="500" spans="20:29" ht="15.75" x14ac:dyDescent="0.25">
      <c r="T500" s="272"/>
      <c r="U500" s="272"/>
      <c r="V500" s="272"/>
      <c r="W500" s="272"/>
      <c r="X500" s="272"/>
      <c r="Y500" s="272"/>
      <c r="Z500" s="272"/>
      <c r="AA500" s="272"/>
      <c r="AB500" s="286">
        <f>SUM(AB495:AB499)</f>
        <v>99.999999999999986</v>
      </c>
      <c r="AC500" s="286">
        <f>SUM(AC495:AC499)</f>
        <v>100</v>
      </c>
    </row>
  </sheetData>
  <mergeCells count="17">
    <mergeCell ref="AD8:AD9"/>
    <mergeCell ref="A8:A9"/>
    <mergeCell ref="B8:B9"/>
    <mergeCell ref="C8:C9"/>
    <mergeCell ref="D8:D9"/>
    <mergeCell ref="E8:S9"/>
    <mergeCell ref="T8:T9"/>
    <mergeCell ref="U8:U9"/>
    <mergeCell ref="V8:V9"/>
    <mergeCell ref="W8:W9"/>
    <mergeCell ref="X8:X9"/>
    <mergeCell ref="Y8:Y9"/>
    <mergeCell ref="Z8:Z9"/>
    <mergeCell ref="A5:AA5"/>
    <mergeCell ref="AB8:AB9"/>
    <mergeCell ref="AC8:AC9"/>
    <mergeCell ref="AA8:AA9"/>
  </mergeCells>
  <pageMargins left="0.51181102362204722" right="0" top="0.15748031496062992" bottom="0.35433070866141736" header="0.31496062992125984" footer="0.31496062992125984"/>
  <pageSetup paperSize="9" scale="5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5" customWidth="1"/>
    <col min="2" max="2" width="15.5703125" style="5" customWidth="1"/>
    <col min="3" max="3" width="9.140625" style="5"/>
    <col min="4" max="4" width="39.85546875" style="5" customWidth="1"/>
    <col min="5" max="5" width="14" style="5" customWidth="1"/>
    <col min="6" max="6" width="14.5703125" style="5" customWidth="1"/>
    <col min="7" max="7" width="14.7109375" style="5" customWidth="1"/>
    <col min="8" max="16384" width="9.140625" style="5"/>
  </cols>
  <sheetData>
    <row r="1" spans="1:7" x14ac:dyDescent="0.25">
      <c r="A1" s="502" t="s">
        <v>95</v>
      </c>
      <c r="B1" s="502"/>
      <c r="C1" s="502"/>
      <c r="D1" s="502"/>
      <c r="E1" s="502"/>
      <c r="F1" s="502"/>
      <c r="G1" s="502"/>
    </row>
    <row r="2" spans="1:7" x14ac:dyDescent="0.25">
      <c r="A2" s="502" t="s">
        <v>21</v>
      </c>
      <c r="B2" s="502"/>
      <c r="C2" s="502"/>
      <c r="D2" s="502"/>
      <c r="E2" s="502"/>
      <c r="F2" s="502"/>
      <c r="G2" s="502"/>
    </row>
    <row r="3" spans="1:7" x14ac:dyDescent="0.25">
      <c r="A3" s="502" t="s">
        <v>23</v>
      </c>
      <c r="B3" s="502"/>
      <c r="C3" s="502"/>
      <c r="D3" s="502"/>
      <c r="E3" s="502"/>
      <c r="F3" s="502"/>
      <c r="G3" s="502"/>
    </row>
    <row r="4" spans="1:7" x14ac:dyDescent="0.25">
      <c r="A4" s="502" t="s">
        <v>20</v>
      </c>
      <c r="B4" s="502"/>
      <c r="C4" s="502"/>
      <c r="D4" s="502"/>
      <c r="E4" s="502"/>
      <c r="F4" s="502"/>
      <c r="G4" s="502"/>
    </row>
    <row r="5" spans="1:7" x14ac:dyDescent="0.25">
      <c r="A5" s="2" t="s">
        <v>24</v>
      </c>
      <c r="B5" s="1"/>
      <c r="C5" s="3"/>
    </row>
    <row r="6" spans="1:7" x14ac:dyDescent="0.25">
      <c r="A6" s="484" t="s">
        <v>41</v>
      </c>
      <c r="B6" s="484"/>
      <c r="C6" s="484"/>
      <c r="D6" s="484"/>
      <c r="E6" s="484"/>
      <c r="F6" s="484"/>
      <c r="G6" s="484"/>
    </row>
    <row r="7" spans="1:7" x14ac:dyDescent="0.25">
      <c r="G7" s="14" t="s">
        <v>99</v>
      </c>
    </row>
    <row r="8" spans="1:7" ht="47.25" x14ac:dyDescent="0.25">
      <c r="A8" s="4" t="s">
        <v>44</v>
      </c>
      <c r="B8" s="4" t="s">
        <v>42</v>
      </c>
      <c r="C8" s="4" t="s">
        <v>43</v>
      </c>
      <c r="D8" s="4" t="s">
        <v>45</v>
      </c>
      <c r="E8" s="4" t="s">
        <v>96</v>
      </c>
      <c r="F8" s="4" t="s">
        <v>97</v>
      </c>
      <c r="G8" s="4" t="s">
        <v>98</v>
      </c>
    </row>
    <row r="9" spans="1:7" ht="126" x14ac:dyDescent="0.25">
      <c r="A9" s="6" t="s">
        <v>25</v>
      </c>
      <c r="B9" s="7" t="s">
        <v>46</v>
      </c>
      <c r="C9" s="6" t="s">
        <v>26</v>
      </c>
      <c r="D9" s="8" t="s">
        <v>27</v>
      </c>
      <c r="E9" s="9">
        <v>102850917.41</v>
      </c>
      <c r="F9" s="9">
        <v>112099947.89</v>
      </c>
      <c r="G9" s="10">
        <v>117929145.18000001</v>
      </c>
    </row>
    <row r="10" spans="1:7" ht="173.25" x14ac:dyDescent="0.25">
      <c r="A10" s="6" t="s">
        <v>25</v>
      </c>
      <c r="B10" s="7" t="s">
        <v>47</v>
      </c>
      <c r="C10" s="6" t="s">
        <v>26</v>
      </c>
      <c r="D10" s="8" t="s">
        <v>28</v>
      </c>
      <c r="E10" s="9">
        <v>312296.90000000002</v>
      </c>
      <c r="F10" s="9">
        <v>340380.69</v>
      </c>
      <c r="G10" s="10">
        <v>358080.48</v>
      </c>
    </row>
    <row r="11" spans="1:7" ht="78.75" x14ac:dyDescent="0.25">
      <c r="A11" s="6" t="s">
        <v>25</v>
      </c>
      <c r="B11" s="7" t="s">
        <v>48</v>
      </c>
      <c r="C11" s="6" t="s">
        <v>26</v>
      </c>
      <c r="D11" s="11" t="s">
        <v>49</v>
      </c>
      <c r="E11" s="9">
        <v>32357.9</v>
      </c>
      <c r="F11" s="9">
        <v>35267.730000000003</v>
      </c>
      <c r="G11" s="10">
        <v>37101.660000000003</v>
      </c>
    </row>
    <row r="12" spans="1:7" ht="110.25" x14ac:dyDescent="0.25">
      <c r="A12" s="6" t="s">
        <v>29</v>
      </c>
      <c r="B12" s="7" t="s">
        <v>50</v>
      </c>
      <c r="C12" s="6" t="s">
        <v>26</v>
      </c>
      <c r="D12" s="11" t="s">
        <v>51</v>
      </c>
      <c r="E12" s="9">
        <v>1013145.46</v>
      </c>
      <c r="F12" s="9">
        <v>1013145.46</v>
      </c>
      <c r="G12" s="10">
        <v>1013145.46</v>
      </c>
    </row>
    <row r="13" spans="1:7" ht="141.75" x14ac:dyDescent="0.25">
      <c r="A13" s="6" t="s">
        <v>29</v>
      </c>
      <c r="B13" s="7" t="s">
        <v>52</v>
      </c>
      <c r="C13" s="6" t="s">
        <v>26</v>
      </c>
      <c r="D13" s="8" t="s">
        <v>53</v>
      </c>
      <c r="E13" s="9">
        <v>16608.939999999999</v>
      </c>
      <c r="F13" s="9">
        <v>16608.939999999999</v>
      </c>
      <c r="G13" s="10">
        <v>16608.939999999999</v>
      </c>
    </row>
    <row r="14" spans="1:7" ht="126" x14ac:dyDescent="0.25">
      <c r="A14" s="6" t="s">
        <v>29</v>
      </c>
      <c r="B14" s="7" t="s">
        <v>54</v>
      </c>
      <c r="C14" s="6" t="s">
        <v>26</v>
      </c>
      <c r="D14" s="11" t="s">
        <v>55</v>
      </c>
      <c r="E14" s="9">
        <v>1283633.95</v>
      </c>
      <c r="F14" s="9">
        <v>1283633.95</v>
      </c>
      <c r="G14" s="10">
        <v>1283633.95</v>
      </c>
    </row>
    <row r="15" spans="1:7" ht="126" x14ac:dyDescent="0.25">
      <c r="A15" s="6" t="s">
        <v>29</v>
      </c>
      <c r="B15" s="7" t="s">
        <v>56</v>
      </c>
      <c r="C15" s="6" t="s">
        <v>26</v>
      </c>
      <c r="D15" s="11" t="s">
        <v>57</v>
      </c>
      <c r="E15" s="9">
        <v>59317.65</v>
      </c>
      <c r="F15" s="9">
        <v>59317.65</v>
      </c>
      <c r="G15" s="10">
        <v>59317.65</v>
      </c>
    </row>
    <row r="16" spans="1:7" ht="63" x14ac:dyDescent="0.25">
      <c r="A16" s="6" t="s">
        <v>25</v>
      </c>
      <c r="B16" s="7" t="s">
        <v>58</v>
      </c>
      <c r="C16" s="6" t="s">
        <v>26</v>
      </c>
      <c r="D16" s="11" t="s">
        <v>30</v>
      </c>
      <c r="E16" s="9">
        <v>5900.03</v>
      </c>
      <c r="F16" s="9">
        <v>6177.34</v>
      </c>
      <c r="G16" s="10">
        <v>6442.96</v>
      </c>
    </row>
    <row r="17" spans="1:7" x14ac:dyDescent="0.25">
      <c r="A17" s="6" t="s">
        <v>25</v>
      </c>
      <c r="B17" s="7" t="s">
        <v>59</v>
      </c>
      <c r="C17" s="6" t="s">
        <v>26</v>
      </c>
      <c r="D17" s="11" t="s">
        <v>3</v>
      </c>
      <c r="E17" s="9">
        <v>756.72</v>
      </c>
      <c r="F17" s="9">
        <v>792.29</v>
      </c>
      <c r="G17" s="10">
        <v>826.35</v>
      </c>
    </row>
    <row r="18" spans="1:7" ht="157.5" x14ac:dyDescent="0.25">
      <c r="A18" s="6" t="s">
        <v>25</v>
      </c>
      <c r="B18" s="7" t="s">
        <v>60</v>
      </c>
      <c r="C18" s="6" t="s">
        <v>26</v>
      </c>
      <c r="D18" s="8" t="s">
        <v>61</v>
      </c>
      <c r="E18" s="9">
        <v>14134.41</v>
      </c>
      <c r="F18" s="9">
        <v>14798.73</v>
      </c>
      <c r="G18" s="10">
        <v>15435.07</v>
      </c>
    </row>
    <row r="19" spans="1:7" ht="141.75" x14ac:dyDescent="0.25">
      <c r="A19" s="6" t="s">
        <v>25</v>
      </c>
      <c r="B19" s="7" t="s">
        <v>62</v>
      </c>
      <c r="C19" s="6" t="s">
        <v>26</v>
      </c>
      <c r="D19" s="8" t="s">
        <v>63</v>
      </c>
      <c r="E19" s="9">
        <v>1582.79</v>
      </c>
      <c r="F19" s="9">
        <v>1657.18</v>
      </c>
      <c r="G19" s="10">
        <v>1728.44</v>
      </c>
    </row>
    <row r="20" spans="1:7" ht="157.5" x14ac:dyDescent="0.25">
      <c r="A20" s="6" t="s">
        <v>25</v>
      </c>
      <c r="B20" s="7" t="s">
        <v>64</v>
      </c>
      <c r="C20" s="6" t="s">
        <v>26</v>
      </c>
      <c r="D20" s="8" t="s">
        <v>65</v>
      </c>
      <c r="E20" s="9">
        <v>419</v>
      </c>
      <c r="F20" s="9">
        <v>438.69</v>
      </c>
      <c r="G20" s="10">
        <v>457.56</v>
      </c>
    </row>
    <row r="21" spans="1:7" ht="78.75" x14ac:dyDescent="0.25">
      <c r="A21" s="6" t="s">
        <v>25</v>
      </c>
      <c r="B21" s="7" t="s">
        <v>66</v>
      </c>
      <c r="C21" s="6" t="s">
        <v>26</v>
      </c>
      <c r="D21" s="11" t="s">
        <v>67</v>
      </c>
      <c r="E21" s="9">
        <v>3668668.37</v>
      </c>
      <c r="F21" s="9">
        <v>3841095.78</v>
      </c>
      <c r="G21" s="10">
        <v>4006262.9</v>
      </c>
    </row>
    <row r="22" spans="1:7" ht="110.25" x14ac:dyDescent="0.25">
      <c r="A22" s="6" t="s">
        <v>12</v>
      </c>
      <c r="B22" s="7" t="s">
        <v>68</v>
      </c>
      <c r="C22" s="6" t="s">
        <v>26</v>
      </c>
      <c r="D22" s="11" t="s">
        <v>69</v>
      </c>
      <c r="E22" s="9">
        <v>1289.23</v>
      </c>
      <c r="F22" s="9">
        <v>1349.82</v>
      </c>
      <c r="G22" s="10">
        <v>1407.86</v>
      </c>
    </row>
    <row r="23" spans="1:7" ht="63" x14ac:dyDescent="0.25">
      <c r="A23" s="6" t="s">
        <v>12</v>
      </c>
      <c r="B23" s="7" t="s">
        <v>70</v>
      </c>
      <c r="C23" s="6" t="s">
        <v>31</v>
      </c>
      <c r="D23" s="11" t="s">
        <v>71</v>
      </c>
      <c r="E23" s="9">
        <v>32285.58</v>
      </c>
      <c r="F23" s="9">
        <v>32628.83</v>
      </c>
      <c r="G23" s="10">
        <v>32628.83</v>
      </c>
    </row>
    <row r="24" spans="1:7" ht="126" x14ac:dyDescent="0.25">
      <c r="A24" s="6" t="s">
        <v>16</v>
      </c>
      <c r="B24" s="7" t="s">
        <v>72</v>
      </c>
      <c r="C24" s="6" t="s">
        <v>31</v>
      </c>
      <c r="D24" s="8" t="s">
        <v>73</v>
      </c>
      <c r="E24" s="9">
        <v>7000000</v>
      </c>
      <c r="F24" s="9">
        <v>6900000</v>
      </c>
      <c r="G24" s="10">
        <v>6800000</v>
      </c>
    </row>
    <row r="25" spans="1:7" ht="78.75" x14ac:dyDescent="0.25">
      <c r="A25" s="6" t="s">
        <v>16</v>
      </c>
      <c r="B25" s="7" t="s">
        <v>74</v>
      </c>
      <c r="C25" s="6" t="s">
        <v>31</v>
      </c>
      <c r="D25" s="11" t="s">
        <v>17</v>
      </c>
      <c r="E25" s="9">
        <v>30000</v>
      </c>
      <c r="F25" s="9">
        <v>30000</v>
      </c>
      <c r="G25" s="10">
        <v>30000</v>
      </c>
    </row>
    <row r="26" spans="1:7" ht="126" x14ac:dyDescent="0.25">
      <c r="A26" s="6" t="s">
        <v>16</v>
      </c>
      <c r="B26" s="7" t="s">
        <v>75</v>
      </c>
      <c r="C26" s="6" t="s">
        <v>31</v>
      </c>
      <c r="D26" s="11" t="s">
        <v>18</v>
      </c>
      <c r="E26" s="9">
        <v>1000000</v>
      </c>
      <c r="F26" s="9">
        <v>1000000</v>
      </c>
      <c r="G26" s="10">
        <v>1000000</v>
      </c>
    </row>
    <row r="27" spans="1:7" ht="110.25" x14ac:dyDescent="0.25">
      <c r="A27" s="6" t="s">
        <v>5</v>
      </c>
      <c r="B27" s="7" t="s">
        <v>76</v>
      </c>
      <c r="C27" s="6" t="s">
        <v>31</v>
      </c>
      <c r="D27" s="11" t="s">
        <v>77</v>
      </c>
      <c r="E27" s="9">
        <v>614735.76</v>
      </c>
      <c r="F27" s="9">
        <v>643628.34</v>
      </c>
      <c r="G27" s="10">
        <v>671304.36</v>
      </c>
    </row>
    <row r="28" spans="1:7" ht="110.25" x14ac:dyDescent="0.25">
      <c r="A28" s="6" t="s">
        <v>5</v>
      </c>
      <c r="B28" s="7" t="s">
        <v>78</v>
      </c>
      <c r="C28" s="6" t="s">
        <v>31</v>
      </c>
      <c r="D28" s="11" t="s">
        <v>79</v>
      </c>
      <c r="E28" s="9">
        <v>24564.639999999999</v>
      </c>
      <c r="F28" s="9">
        <v>25719.18</v>
      </c>
      <c r="G28" s="10">
        <v>26825.11</v>
      </c>
    </row>
    <row r="29" spans="1:7" ht="94.5" x14ac:dyDescent="0.25">
      <c r="A29" s="6" t="s">
        <v>5</v>
      </c>
      <c r="B29" s="7" t="s">
        <v>80</v>
      </c>
      <c r="C29" s="6" t="s">
        <v>31</v>
      </c>
      <c r="D29" s="11" t="s">
        <v>81</v>
      </c>
      <c r="E29" s="9">
        <v>1359022.89</v>
      </c>
      <c r="F29" s="9">
        <v>1422896.97</v>
      </c>
      <c r="G29" s="10">
        <v>1484081.54</v>
      </c>
    </row>
    <row r="30" spans="1:7" ht="110.25" x14ac:dyDescent="0.25">
      <c r="A30" s="6" t="s">
        <v>16</v>
      </c>
      <c r="B30" s="7" t="s">
        <v>82</v>
      </c>
      <c r="C30" s="6" t="s">
        <v>32</v>
      </c>
      <c r="D30" s="11" t="s">
        <v>83</v>
      </c>
      <c r="E30" s="9">
        <v>685000</v>
      </c>
      <c r="F30" s="9">
        <v>400000</v>
      </c>
      <c r="G30" s="10">
        <v>400000</v>
      </c>
    </row>
    <row r="31" spans="1:7" ht="63" x14ac:dyDescent="0.25">
      <c r="A31" s="6" t="s">
        <v>16</v>
      </c>
      <c r="B31" s="7" t="s">
        <v>84</v>
      </c>
      <c r="C31" s="6" t="s">
        <v>33</v>
      </c>
      <c r="D31" s="11" t="s">
        <v>85</v>
      </c>
      <c r="E31" s="9">
        <v>300000</v>
      </c>
      <c r="F31" s="9">
        <v>300000</v>
      </c>
      <c r="G31" s="10">
        <v>300000</v>
      </c>
    </row>
    <row r="32" spans="1:7" ht="63" x14ac:dyDescent="0.25">
      <c r="A32" s="6" t="s">
        <v>16</v>
      </c>
      <c r="B32" s="7" t="s">
        <v>86</v>
      </c>
      <c r="C32" s="6" t="s">
        <v>34</v>
      </c>
      <c r="D32" s="11" t="s">
        <v>35</v>
      </c>
      <c r="E32" s="9">
        <v>2382.27</v>
      </c>
      <c r="F32" s="9">
        <v>2494.23</v>
      </c>
      <c r="G32" s="10">
        <v>2601.4899999999998</v>
      </c>
    </row>
    <row r="33" spans="1:7" ht="110.25" x14ac:dyDescent="0.25">
      <c r="A33" s="6" t="s">
        <v>25</v>
      </c>
      <c r="B33" s="7" t="s">
        <v>87</v>
      </c>
      <c r="C33" s="6" t="s">
        <v>34</v>
      </c>
      <c r="D33" s="8" t="s">
        <v>4</v>
      </c>
      <c r="E33" s="9">
        <v>34732.69</v>
      </c>
      <c r="F33" s="9">
        <v>36365.129999999997</v>
      </c>
      <c r="G33" s="10">
        <v>37928.83</v>
      </c>
    </row>
    <row r="34" spans="1:7" ht="63" x14ac:dyDescent="0.25">
      <c r="A34" s="6" t="s">
        <v>37</v>
      </c>
      <c r="B34" s="7" t="s">
        <v>88</v>
      </c>
      <c r="C34" s="6" t="s">
        <v>34</v>
      </c>
      <c r="D34" s="11" t="s">
        <v>36</v>
      </c>
      <c r="E34" s="9">
        <v>133767.94</v>
      </c>
      <c r="F34" s="9">
        <v>140055.04000000001</v>
      </c>
      <c r="G34" s="10">
        <v>146077.4</v>
      </c>
    </row>
    <row r="35" spans="1:7" ht="173.25" x14ac:dyDescent="0.25">
      <c r="A35" s="6" t="s">
        <v>6</v>
      </c>
      <c r="B35" s="7" t="s">
        <v>89</v>
      </c>
      <c r="C35" s="6" t="s">
        <v>34</v>
      </c>
      <c r="D35" s="8" t="s">
        <v>90</v>
      </c>
      <c r="E35" s="9">
        <v>1654554.27</v>
      </c>
      <c r="F35" s="9">
        <v>1732318.32</v>
      </c>
      <c r="G35" s="10">
        <v>1806808</v>
      </c>
    </row>
    <row r="36" spans="1:7" ht="173.25" x14ac:dyDescent="0.25">
      <c r="A36" s="6" t="s">
        <v>39</v>
      </c>
      <c r="B36" s="7" t="s">
        <v>89</v>
      </c>
      <c r="C36" s="6" t="s">
        <v>34</v>
      </c>
      <c r="D36" s="8" t="s">
        <v>90</v>
      </c>
      <c r="E36" s="9">
        <v>172681.64</v>
      </c>
      <c r="F36" s="9">
        <v>180797.68</v>
      </c>
      <c r="G36" s="10">
        <v>188571.98</v>
      </c>
    </row>
    <row r="37" spans="1:7" ht="126" x14ac:dyDescent="0.25">
      <c r="A37" s="6" t="s">
        <v>38</v>
      </c>
      <c r="B37" s="7" t="s">
        <v>91</v>
      </c>
      <c r="C37" s="6" t="s">
        <v>34</v>
      </c>
      <c r="D37" s="8" t="s">
        <v>92</v>
      </c>
      <c r="E37" s="9">
        <v>840187.22</v>
      </c>
      <c r="F37" s="9">
        <v>879676.02</v>
      </c>
      <c r="G37" s="10">
        <v>917502.09</v>
      </c>
    </row>
    <row r="38" spans="1:7" ht="126" x14ac:dyDescent="0.25">
      <c r="A38" s="6" t="s">
        <v>39</v>
      </c>
      <c r="B38" s="7" t="s">
        <v>91</v>
      </c>
      <c r="C38" s="6" t="s">
        <v>34</v>
      </c>
      <c r="D38" s="8" t="s">
        <v>92</v>
      </c>
      <c r="E38" s="9">
        <v>292903.11</v>
      </c>
      <c r="F38" s="9">
        <v>306669.55</v>
      </c>
      <c r="G38" s="10">
        <v>319856.34000000003</v>
      </c>
    </row>
    <row r="39" spans="1:7" ht="31.5" x14ac:dyDescent="0.25">
      <c r="A39" s="6" t="s">
        <v>16</v>
      </c>
      <c r="B39" s="7" t="s">
        <v>93</v>
      </c>
      <c r="C39" s="6" t="s">
        <v>40</v>
      </c>
      <c r="D39" s="11" t="s">
        <v>13</v>
      </c>
      <c r="E39" s="9">
        <v>500000</v>
      </c>
      <c r="F39" s="9">
        <v>500000</v>
      </c>
      <c r="G39" s="10">
        <v>500000</v>
      </c>
    </row>
    <row r="40" spans="1:7" x14ac:dyDescent="0.25">
      <c r="A40" s="499" t="s">
        <v>94</v>
      </c>
      <c r="B40" s="500"/>
      <c r="C40" s="500"/>
      <c r="D40" s="501"/>
      <c r="E40" s="12">
        <v>123937846.77</v>
      </c>
      <c r="F40" s="12">
        <v>133247861.43000001</v>
      </c>
      <c r="G40" s="13">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93"/>
  <sheetViews>
    <sheetView workbookViewId="0">
      <selection activeCell="K4" sqref="K4:M4"/>
    </sheetView>
  </sheetViews>
  <sheetFormatPr defaultRowHeight="15.75" x14ac:dyDescent="0.25"/>
  <cols>
    <col min="1" max="1" width="3.140625" style="25" customWidth="1"/>
    <col min="2" max="2" width="51.7109375" style="26" customWidth="1"/>
    <col min="3" max="3" width="11.85546875" style="26" hidden="1" customWidth="1"/>
    <col min="4" max="4" width="11.28515625" style="26" hidden="1" customWidth="1"/>
    <col min="5" max="5" width="15.42578125" style="27" hidden="1" customWidth="1"/>
    <col min="6" max="8" width="15.140625" style="25" hidden="1" customWidth="1"/>
    <col min="9" max="9" width="28" style="25" customWidth="1"/>
    <col min="10" max="10" width="10.42578125" style="25" hidden="1" customWidth="1"/>
    <col min="11" max="11" width="0.140625" style="29" hidden="1" customWidth="1"/>
    <col min="12" max="12" width="22.85546875" style="29" customWidth="1"/>
    <col min="13" max="13" width="12.85546875" style="30" customWidth="1"/>
    <col min="14" max="14" width="9.140625" style="28"/>
    <col min="15" max="15" width="13.5703125" style="28" bestFit="1" customWidth="1"/>
    <col min="16" max="256" width="9.140625" style="28"/>
    <col min="257" max="257" width="3.140625" style="28" customWidth="1"/>
    <col min="258" max="258" width="51.7109375" style="28" customWidth="1"/>
    <col min="259" max="264" width="0" style="28" hidden="1" customWidth="1"/>
    <col min="265" max="265" width="13.42578125" style="28" customWidth="1"/>
    <col min="266" max="266" width="13.28515625" style="28" customWidth="1"/>
    <col min="267" max="267" width="12.85546875" style="28" customWidth="1"/>
    <col min="268" max="268" width="18.5703125" style="28" customWidth="1"/>
    <col min="269" max="269" width="9.42578125" style="28" customWidth="1"/>
    <col min="270" max="512" width="9.140625" style="28"/>
    <col min="513" max="513" width="3.140625" style="28" customWidth="1"/>
    <col min="514" max="514" width="51.7109375" style="28" customWidth="1"/>
    <col min="515" max="520" width="0" style="28" hidden="1" customWidth="1"/>
    <col min="521" max="521" width="13.42578125" style="28" customWidth="1"/>
    <col min="522" max="522" width="13.28515625" style="28" customWidth="1"/>
    <col min="523" max="523" width="12.85546875" style="28" customWidth="1"/>
    <col min="524" max="524" width="18.5703125" style="28" customWidth="1"/>
    <col min="525" max="525" width="9.42578125" style="28" customWidth="1"/>
    <col min="526" max="768" width="9.140625" style="28"/>
    <col min="769" max="769" width="3.140625" style="28" customWidth="1"/>
    <col min="770" max="770" width="51.7109375" style="28" customWidth="1"/>
    <col min="771" max="776" width="0" style="28" hidden="1" customWidth="1"/>
    <col min="777" max="777" width="13.42578125" style="28" customWidth="1"/>
    <col min="778" max="778" width="13.28515625" style="28" customWidth="1"/>
    <col min="779" max="779" width="12.85546875" style="28" customWidth="1"/>
    <col min="780" max="780" width="18.5703125" style="28" customWidth="1"/>
    <col min="781" max="781" width="9.42578125" style="28" customWidth="1"/>
    <col min="782" max="1024" width="9.140625" style="28"/>
    <col min="1025" max="1025" width="3.140625" style="28" customWidth="1"/>
    <col min="1026" max="1026" width="51.7109375" style="28" customWidth="1"/>
    <col min="1027" max="1032" width="0" style="28" hidden="1" customWidth="1"/>
    <col min="1033" max="1033" width="13.42578125" style="28" customWidth="1"/>
    <col min="1034" max="1034" width="13.28515625" style="28" customWidth="1"/>
    <col min="1035" max="1035" width="12.85546875" style="28" customWidth="1"/>
    <col min="1036" max="1036" width="18.5703125" style="28" customWidth="1"/>
    <col min="1037" max="1037" width="9.42578125" style="28" customWidth="1"/>
    <col min="1038" max="1280" width="9.140625" style="28"/>
    <col min="1281" max="1281" width="3.140625" style="28" customWidth="1"/>
    <col min="1282" max="1282" width="51.7109375" style="28" customWidth="1"/>
    <col min="1283" max="1288" width="0" style="28" hidden="1" customWidth="1"/>
    <col min="1289" max="1289" width="13.42578125" style="28" customWidth="1"/>
    <col min="1290" max="1290" width="13.28515625" style="28" customWidth="1"/>
    <col min="1291" max="1291" width="12.85546875" style="28" customWidth="1"/>
    <col min="1292" max="1292" width="18.5703125" style="28" customWidth="1"/>
    <col min="1293" max="1293" width="9.42578125" style="28" customWidth="1"/>
    <col min="1294" max="1536" width="9.140625" style="28"/>
    <col min="1537" max="1537" width="3.140625" style="28" customWidth="1"/>
    <col min="1538" max="1538" width="51.7109375" style="28" customWidth="1"/>
    <col min="1539" max="1544" width="0" style="28" hidden="1" customWidth="1"/>
    <col min="1545" max="1545" width="13.42578125" style="28" customWidth="1"/>
    <col min="1546" max="1546" width="13.28515625" style="28" customWidth="1"/>
    <col min="1547" max="1547" width="12.85546875" style="28" customWidth="1"/>
    <col min="1548" max="1548" width="18.5703125" style="28" customWidth="1"/>
    <col min="1549" max="1549" width="9.42578125" style="28" customWidth="1"/>
    <col min="1550" max="1792" width="9.140625" style="28"/>
    <col min="1793" max="1793" width="3.140625" style="28" customWidth="1"/>
    <col min="1794" max="1794" width="51.7109375" style="28" customWidth="1"/>
    <col min="1795" max="1800" width="0" style="28" hidden="1" customWidth="1"/>
    <col min="1801" max="1801" width="13.42578125" style="28" customWidth="1"/>
    <col min="1802" max="1802" width="13.28515625" style="28" customWidth="1"/>
    <col min="1803" max="1803" width="12.85546875" style="28" customWidth="1"/>
    <col min="1804" max="1804" width="18.5703125" style="28" customWidth="1"/>
    <col min="1805" max="1805" width="9.42578125" style="28" customWidth="1"/>
    <col min="1806" max="2048" width="9.140625" style="28"/>
    <col min="2049" max="2049" width="3.140625" style="28" customWidth="1"/>
    <col min="2050" max="2050" width="51.7109375" style="28" customWidth="1"/>
    <col min="2051" max="2056" width="0" style="28" hidden="1" customWidth="1"/>
    <col min="2057" max="2057" width="13.42578125" style="28" customWidth="1"/>
    <col min="2058" max="2058" width="13.28515625" style="28" customWidth="1"/>
    <col min="2059" max="2059" width="12.85546875" style="28" customWidth="1"/>
    <col min="2060" max="2060" width="18.5703125" style="28" customWidth="1"/>
    <col min="2061" max="2061" width="9.42578125" style="28" customWidth="1"/>
    <col min="2062" max="2304" width="9.140625" style="28"/>
    <col min="2305" max="2305" width="3.140625" style="28" customWidth="1"/>
    <col min="2306" max="2306" width="51.7109375" style="28" customWidth="1"/>
    <col min="2307" max="2312" width="0" style="28" hidden="1" customWidth="1"/>
    <col min="2313" max="2313" width="13.42578125" style="28" customWidth="1"/>
    <col min="2314" max="2314" width="13.28515625" style="28" customWidth="1"/>
    <col min="2315" max="2315" width="12.85546875" style="28" customWidth="1"/>
    <col min="2316" max="2316" width="18.5703125" style="28" customWidth="1"/>
    <col min="2317" max="2317" width="9.42578125" style="28" customWidth="1"/>
    <col min="2318" max="2560" width="9.140625" style="28"/>
    <col min="2561" max="2561" width="3.140625" style="28" customWidth="1"/>
    <col min="2562" max="2562" width="51.7109375" style="28" customWidth="1"/>
    <col min="2563" max="2568" width="0" style="28" hidden="1" customWidth="1"/>
    <col min="2569" max="2569" width="13.42578125" style="28" customWidth="1"/>
    <col min="2570" max="2570" width="13.28515625" style="28" customWidth="1"/>
    <col min="2571" max="2571" width="12.85546875" style="28" customWidth="1"/>
    <col min="2572" max="2572" width="18.5703125" style="28" customWidth="1"/>
    <col min="2573" max="2573" width="9.42578125" style="28" customWidth="1"/>
    <col min="2574" max="2816" width="9.140625" style="28"/>
    <col min="2817" max="2817" width="3.140625" style="28" customWidth="1"/>
    <col min="2818" max="2818" width="51.7109375" style="28" customWidth="1"/>
    <col min="2819" max="2824" width="0" style="28" hidden="1" customWidth="1"/>
    <col min="2825" max="2825" width="13.42578125" style="28" customWidth="1"/>
    <col min="2826" max="2826" width="13.28515625" style="28" customWidth="1"/>
    <col min="2827" max="2827" width="12.85546875" style="28" customWidth="1"/>
    <col min="2828" max="2828" width="18.5703125" style="28" customWidth="1"/>
    <col min="2829" max="2829" width="9.42578125" style="28" customWidth="1"/>
    <col min="2830" max="3072" width="9.140625" style="28"/>
    <col min="3073" max="3073" width="3.140625" style="28" customWidth="1"/>
    <col min="3074" max="3074" width="51.7109375" style="28" customWidth="1"/>
    <col min="3075" max="3080" width="0" style="28" hidden="1" customWidth="1"/>
    <col min="3081" max="3081" width="13.42578125" style="28" customWidth="1"/>
    <col min="3082" max="3082" width="13.28515625" style="28" customWidth="1"/>
    <col min="3083" max="3083" width="12.85546875" style="28" customWidth="1"/>
    <col min="3084" max="3084" width="18.5703125" style="28" customWidth="1"/>
    <col min="3085" max="3085" width="9.42578125" style="28" customWidth="1"/>
    <col min="3086" max="3328" width="9.140625" style="28"/>
    <col min="3329" max="3329" width="3.140625" style="28" customWidth="1"/>
    <col min="3330" max="3330" width="51.7109375" style="28" customWidth="1"/>
    <col min="3331" max="3336" width="0" style="28" hidden="1" customWidth="1"/>
    <col min="3337" max="3337" width="13.42578125" style="28" customWidth="1"/>
    <col min="3338" max="3338" width="13.28515625" style="28" customWidth="1"/>
    <col min="3339" max="3339" width="12.85546875" style="28" customWidth="1"/>
    <col min="3340" max="3340" width="18.5703125" style="28" customWidth="1"/>
    <col min="3341" max="3341" width="9.42578125" style="28" customWidth="1"/>
    <col min="3342" max="3584" width="9.140625" style="28"/>
    <col min="3585" max="3585" width="3.140625" style="28" customWidth="1"/>
    <col min="3586" max="3586" width="51.7109375" style="28" customWidth="1"/>
    <col min="3587" max="3592" width="0" style="28" hidden="1" customWidth="1"/>
    <col min="3593" max="3593" width="13.42578125" style="28" customWidth="1"/>
    <col min="3594" max="3594" width="13.28515625" style="28" customWidth="1"/>
    <col min="3595" max="3595" width="12.85546875" style="28" customWidth="1"/>
    <col min="3596" max="3596" width="18.5703125" style="28" customWidth="1"/>
    <col min="3597" max="3597" width="9.42578125" style="28" customWidth="1"/>
    <col min="3598" max="3840" width="9.140625" style="28"/>
    <col min="3841" max="3841" width="3.140625" style="28" customWidth="1"/>
    <col min="3842" max="3842" width="51.7109375" style="28" customWidth="1"/>
    <col min="3843" max="3848" width="0" style="28" hidden="1" customWidth="1"/>
    <col min="3849" max="3849" width="13.42578125" style="28" customWidth="1"/>
    <col min="3850" max="3850" width="13.28515625" style="28" customWidth="1"/>
    <col min="3851" max="3851" width="12.85546875" style="28" customWidth="1"/>
    <col min="3852" max="3852" width="18.5703125" style="28" customWidth="1"/>
    <col min="3853" max="3853" width="9.42578125" style="28" customWidth="1"/>
    <col min="3854" max="4096" width="9.140625" style="28"/>
    <col min="4097" max="4097" width="3.140625" style="28" customWidth="1"/>
    <col min="4098" max="4098" width="51.7109375" style="28" customWidth="1"/>
    <col min="4099" max="4104" width="0" style="28" hidden="1" customWidth="1"/>
    <col min="4105" max="4105" width="13.42578125" style="28" customWidth="1"/>
    <col min="4106" max="4106" width="13.28515625" style="28" customWidth="1"/>
    <col min="4107" max="4107" width="12.85546875" style="28" customWidth="1"/>
    <col min="4108" max="4108" width="18.5703125" style="28" customWidth="1"/>
    <col min="4109" max="4109" width="9.42578125" style="28" customWidth="1"/>
    <col min="4110" max="4352" width="9.140625" style="28"/>
    <col min="4353" max="4353" width="3.140625" style="28" customWidth="1"/>
    <col min="4354" max="4354" width="51.7109375" style="28" customWidth="1"/>
    <col min="4355" max="4360" width="0" style="28" hidden="1" customWidth="1"/>
    <col min="4361" max="4361" width="13.42578125" style="28" customWidth="1"/>
    <col min="4362" max="4362" width="13.28515625" style="28" customWidth="1"/>
    <col min="4363" max="4363" width="12.85546875" style="28" customWidth="1"/>
    <col min="4364" max="4364" width="18.5703125" style="28" customWidth="1"/>
    <col min="4365" max="4365" width="9.42578125" style="28" customWidth="1"/>
    <col min="4366" max="4608" width="9.140625" style="28"/>
    <col min="4609" max="4609" width="3.140625" style="28" customWidth="1"/>
    <col min="4610" max="4610" width="51.7109375" style="28" customWidth="1"/>
    <col min="4611" max="4616" width="0" style="28" hidden="1" customWidth="1"/>
    <col min="4617" max="4617" width="13.42578125" style="28" customWidth="1"/>
    <col min="4618" max="4618" width="13.28515625" style="28" customWidth="1"/>
    <col min="4619" max="4619" width="12.85546875" style="28" customWidth="1"/>
    <col min="4620" max="4620" width="18.5703125" style="28" customWidth="1"/>
    <col min="4621" max="4621" width="9.42578125" style="28" customWidth="1"/>
    <col min="4622" max="4864" width="9.140625" style="28"/>
    <col min="4865" max="4865" width="3.140625" style="28" customWidth="1"/>
    <col min="4866" max="4866" width="51.7109375" style="28" customWidth="1"/>
    <col min="4867" max="4872" width="0" style="28" hidden="1" customWidth="1"/>
    <col min="4873" max="4873" width="13.42578125" style="28" customWidth="1"/>
    <col min="4874" max="4874" width="13.28515625" style="28" customWidth="1"/>
    <col min="4875" max="4875" width="12.85546875" style="28" customWidth="1"/>
    <col min="4876" max="4876" width="18.5703125" style="28" customWidth="1"/>
    <col min="4877" max="4877" width="9.42578125" style="28" customWidth="1"/>
    <col min="4878" max="5120" width="9.140625" style="28"/>
    <col min="5121" max="5121" width="3.140625" style="28" customWidth="1"/>
    <col min="5122" max="5122" width="51.7109375" style="28" customWidth="1"/>
    <col min="5123" max="5128" width="0" style="28" hidden="1" customWidth="1"/>
    <col min="5129" max="5129" width="13.42578125" style="28" customWidth="1"/>
    <col min="5130" max="5130" width="13.28515625" style="28" customWidth="1"/>
    <col min="5131" max="5131" width="12.85546875" style="28" customWidth="1"/>
    <col min="5132" max="5132" width="18.5703125" style="28" customWidth="1"/>
    <col min="5133" max="5133" width="9.42578125" style="28" customWidth="1"/>
    <col min="5134" max="5376" width="9.140625" style="28"/>
    <col min="5377" max="5377" width="3.140625" style="28" customWidth="1"/>
    <col min="5378" max="5378" width="51.7109375" style="28" customWidth="1"/>
    <col min="5379" max="5384" width="0" style="28" hidden="1" customWidth="1"/>
    <col min="5385" max="5385" width="13.42578125" style="28" customWidth="1"/>
    <col min="5386" max="5386" width="13.28515625" style="28" customWidth="1"/>
    <col min="5387" max="5387" width="12.85546875" style="28" customWidth="1"/>
    <col min="5388" max="5388" width="18.5703125" style="28" customWidth="1"/>
    <col min="5389" max="5389" width="9.42578125" style="28" customWidth="1"/>
    <col min="5390" max="5632" width="9.140625" style="28"/>
    <col min="5633" max="5633" width="3.140625" style="28" customWidth="1"/>
    <col min="5634" max="5634" width="51.7109375" style="28" customWidth="1"/>
    <col min="5635" max="5640" width="0" style="28" hidden="1" customWidth="1"/>
    <col min="5641" max="5641" width="13.42578125" style="28" customWidth="1"/>
    <col min="5642" max="5642" width="13.28515625" style="28" customWidth="1"/>
    <col min="5643" max="5643" width="12.85546875" style="28" customWidth="1"/>
    <col min="5644" max="5644" width="18.5703125" style="28" customWidth="1"/>
    <col min="5645" max="5645" width="9.42578125" style="28" customWidth="1"/>
    <col min="5646" max="5888" width="9.140625" style="28"/>
    <col min="5889" max="5889" width="3.140625" style="28" customWidth="1"/>
    <col min="5890" max="5890" width="51.7109375" style="28" customWidth="1"/>
    <col min="5891" max="5896" width="0" style="28" hidden="1" customWidth="1"/>
    <col min="5897" max="5897" width="13.42578125" style="28" customWidth="1"/>
    <col min="5898" max="5898" width="13.28515625" style="28" customWidth="1"/>
    <col min="5899" max="5899" width="12.85546875" style="28" customWidth="1"/>
    <col min="5900" max="5900" width="18.5703125" style="28" customWidth="1"/>
    <col min="5901" max="5901" width="9.42578125" style="28" customWidth="1"/>
    <col min="5902" max="6144" width="9.140625" style="28"/>
    <col min="6145" max="6145" width="3.140625" style="28" customWidth="1"/>
    <col min="6146" max="6146" width="51.7109375" style="28" customWidth="1"/>
    <col min="6147" max="6152" width="0" style="28" hidden="1" customWidth="1"/>
    <col min="6153" max="6153" width="13.42578125" style="28" customWidth="1"/>
    <col min="6154" max="6154" width="13.28515625" style="28" customWidth="1"/>
    <col min="6155" max="6155" width="12.85546875" style="28" customWidth="1"/>
    <col min="6156" max="6156" width="18.5703125" style="28" customWidth="1"/>
    <col min="6157" max="6157" width="9.42578125" style="28" customWidth="1"/>
    <col min="6158" max="6400" width="9.140625" style="28"/>
    <col min="6401" max="6401" width="3.140625" style="28" customWidth="1"/>
    <col min="6402" max="6402" width="51.7109375" style="28" customWidth="1"/>
    <col min="6403" max="6408" width="0" style="28" hidden="1" customWidth="1"/>
    <col min="6409" max="6409" width="13.42578125" style="28" customWidth="1"/>
    <col min="6410" max="6410" width="13.28515625" style="28" customWidth="1"/>
    <col min="6411" max="6411" width="12.85546875" style="28" customWidth="1"/>
    <col min="6412" max="6412" width="18.5703125" style="28" customWidth="1"/>
    <col min="6413" max="6413" width="9.42578125" style="28" customWidth="1"/>
    <col min="6414" max="6656" width="9.140625" style="28"/>
    <col min="6657" max="6657" width="3.140625" style="28" customWidth="1"/>
    <col min="6658" max="6658" width="51.7109375" style="28" customWidth="1"/>
    <col min="6659" max="6664" width="0" style="28" hidden="1" customWidth="1"/>
    <col min="6665" max="6665" width="13.42578125" style="28" customWidth="1"/>
    <col min="6666" max="6666" width="13.28515625" style="28" customWidth="1"/>
    <col min="6667" max="6667" width="12.85546875" style="28" customWidth="1"/>
    <col min="6668" max="6668" width="18.5703125" style="28" customWidth="1"/>
    <col min="6669" max="6669" width="9.42578125" style="28" customWidth="1"/>
    <col min="6670" max="6912" width="9.140625" style="28"/>
    <col min="6913" max="6913" width="3.140625" style="28" customWidth="1"/>
    <col min="6914" max="6914" width="51.7109375" style="28" customWidth="1"/>
    <col min="6915" max="6920" width="0" style="28" hidden="1" customWidth="1"/>
    <col min="6921" max="6921" width="13.42578125" style="28" customWidth="1"/>
    <col min="6922" max="6922" width="13.28515625" style="28" customWidth="1"/>
    <col min="6923" max="6923" width="12.85546875" style="28" customWidth="1"/>
    <col min="6924" max="6924" width="18.5703125" style="28" customWidth="1"/>
    <col min="6925" max="6925" width="9.42578125" style="28" customWidth="1"/>
    <col min="6926" max="7168" width="9.140625" style="28"/>
    <col min="7169" max="7169" width="3.140625" style="28" customWidth="1"/>
    <col min="7170" max="7170" width="51.7109375" style="28" customWidth="1"/>
    <col min="7171" max="7176" width="0" style="28" hidden="1" customWidth="1"/>
    <col min="7177" max="7177" width="13.42578125" style="28" customWidth="1"/>
    <col min="7178" max="7178" width="13.28515625" style="28" customWidth="1"/>
    <col min="7179" max="7179" width="12.85546875" style="28" customWidth="1"/>
    <col min="7180" max="7180" width="18.5703125" style="28" customWidth="1"/>
    <col min="7181" max="7181" width="9.42578125" style="28" customWidth="1"/>
    <col min="7182" max="7424" width="9.140625" style="28"/>
    <col min="7425" max="7425" width="3.140625" style="28" customWidth="1"/>
    <col min="7426" max="7426" width="51.7109375" style="28" customWidth="1"/>
    <col min="7427" max="7432" width="0" style="28" hidden="1" customWidth="1"/>
    <col min="7433" max="7433" width="13.42578125" style="28" customWidth="1"/>
    <col min="7434" max="7434" width="13.28515625" style="28" customWidth="1"/>
    <col min="7435" max="7435" width="12.85546875" style="28" customWidth="1"/>
    <col min="7436" max="7436" width="18.5703125" style="28" customWidth="1"/>
    <col min="7437" max="7437" width="9.42578125" style="28" customWidth="1"/>
    <col min="7438" max="7680" width="9.140625" style="28"/>
    <col min="7681" max="7681" width="3.140625" style="28" customWidth="1"/>
    <col min="7682" max="7682" width="51.7109375" style="28" customWidth="1"/>
    <col min="7683" max="7688" width="0" style="28" hidden="1" customWidth="1"/>
    <col min="7689" max="7689" width="13.42578125" style="28" customWidth="1"/>
    <col min="7690" max="7690" width="13.28515625" style="28" customWidth="1"/>
    <col min="7691" max="7691" width="12.85546875" style="28" customWidth="1"/>
    <col min="7692" max="7692" width="18.5703125" style="28" customWidth="1"/>
    <col min="7693" max="7693" width="9.42578125" style="28" customWidth="1"/>
    <col min="7694" max="7936" width="9.140625" style="28"/>
    <col min="7937" max="7937" width="3.140625" style="28" customWidth="1"/>
    <col min="7938" max="7938" width="51.7109375" style="28" customWidth="1"/>
    <col min="7939" max="7944" width="0" style="28" hidden="1" customWidth="1"/>
    <col min="7945" max="7945" width="13.42578125" style="28" customWidth="1"/>
    <col min="7946" max="7946" width="13.28515625" style="28" customWidth="1"/>
    <col min="7947" max="7947" width="12.85546875" style="28" customWidth="1"/>
    <col min="7948" max="7948" width="18.5703125" style="28" customWidth="1"/>
    <col min="7949" max="7949" width="9.42578125" style="28" customWidth="1"/>
    <col min="7950" max="8192" width="9.140625" style="28"/>
    <col min="8193" max="8193" width="3.140625" style="28" customWidth="1"/>
    <col min="8194" max="8194" width="51.7109375" style="28" customWidth="1"/>
    <col min="8195" max="8200" width="0" style="28" hidden="1" customWidth="1"/>
    <col min="8201" max="8201" width="13.42578125" style="28" customWidth="1"/>
    <col min="8202" max="8202" width="13.28515625" style="28" customWidth="1"/>
    <col min="8203" max="8203" width="12.85546875" style="28" customWidth="1"/>
    <col min="8204" max="8204" width="18.5703125" style="28" customWidth="1"/>
    <col min="8205" max="8205" width="9.42578125" style="28" customWidth="1"/>
    <col min="8206" max="8448" width="9.140625" style="28"/>
    <col min="8449" max="8449" width="3.140625" style="28" customWidth="1"/>
    <col min="8450" max="8450" width="51.7109375" style="28" customWidth="1"/>
    <col min="8451" max="8456" width="0" style="28" hidden="1" customWidth="1"/>
    <col min="8457" max="8457" width="13.42578125" style="28" customWidth="1"/>
    <col min="8458" max="8458" width="13.28515625" style="28" customWidth="1"/>
    <col min="8459" max="8459" width="12.85546875" style="28" customWidth="1"/>
    <col min="8460" max="8460" width="18.5703125" style="28" customWidth="1"/>
    <col min="8461" max="8461" width="9.42578125" style="28" customWidth="1"/>
    <col min="8462" max="8704" width="9.140625" style="28"/>
    <col min="8705" max="8705" width="3.140625" style="28" customWidth="1"/>
    <col min="8706" max="8706" width="51.7109375" style="28" customWidth="1"/>
    <col min="8707" max="8712" width="0" style="28" hidden="1" customWidth="1"/>
    <col min="8713" max="8713" width="13.42578125" style="28" customWidth="1"/>
    <col min="8714" max="8714" width="13.28515625" style="28" customWidth="1"/>
    <col min="8715" max="8715" width="12.85546875" style="28" customWidth="1"/>
    <col min="8716" max="8716" width="18.5703125" style="28" customWidth="1"/>
    <col min="8717" max="8717" width="9.42578125" style="28" customWidth="1"/>
    <col min="8718" max="8960" width="9.140625" style="28"/>
    <col min="8961" max="8961" width="3.140625" style="28" customWidth="1"/>
    <col min="8962" max="8962" width="51.7109375" style="28" customWidth="1"/>
    <col min="8963" max="8968" width="0" style="28" hidden="1" customWidth="1"/>
    <col min="8969" max="8969" width="13.42578125" style="28" customWidth="1"/>
    <col min="8970" max="8970" width="13.28515625" style="28" customWidth="1"/>
    <col min="8971" max="8971" width="12.85546875" style="28" customWidth="1"/>
    <col min="8972" max="8972" width="18.5703125" style="28" customWidth="1"/>
    <col min="8973" max="8973" width="9.42578125" style="28" customWidth="1"/>
    <col min="8974" max="9216" width="9.140625" style="28"/>
    <col min="9217" max="9217" width="3.140625" style="28" customWidth="1"/>
    <col min="9218" max="9218" width="51.7109375" style="28" customWidth="1"/>
    <col min="9219" max="9224" width="0" style="28" hidden="1" customWidth="1"/>
    <col min="9225" max="9225" width="13.42578125" style="28" customWidth="1"/>
    <col min="9226" max="9226" width="13.28515625" style="28" customWidth="1"/>
    <col min="9227" max="9227" width="12.85546875" style="28" customWidth="1"/>
    <col min="9228" max="9228" width="18.5703125" style="28" customWidth="1"/>
    <col min="9229" max="9229" width="9.42578125" style="28" customWidth="1"/>
    <col min="9230" max="9472" width="9.140625" style="28"/>
    <col min="9473" max="9473" width="3.140625" style="28" customWidth="1"/>
    <col min="9474" max="9474" width="51.7109375" style="28" customWidth="1"/>
    <col min="9475" max="9480" width="0" style="28" hidden="1" customWidth="1"/>
    <col min="9481" max="9481" width="13.42578125" style="28" customWidth="1"/>
    <col min="9482" max="9482" width="13.28515625" style="28" customWidth="1"/>
    <col min="9483" max="9483" width="12.85546875" style="28" customWidth="1"/>
    <col min="9484" max="9484" width="18.5703125" style="28" customWidth="1"/>
    <col min="9485" max="9485" width="9.42578125" style="28" customWidth="1"/>
    <col min="9486" max="9728" width="9.140625" style="28"/>
    <col min="9729" max="9729" width="3.140625" style="28" customWidth="1"/>
    <col min="9730" max="9730" width="51.7109375" style="28" customWidth="1"/>
    <col min="9731" max="9736" width="0" style="28" hidden="1" customWidth="1"/>
    <col min="9737" max="9737" width="13.42578125" style="28" customWidth="1"/>
    <col min="9738" max="9738" width="13.28515625" style="28" customWidth="1"/>
    <col min="9739" max="9739" width="12.85546875" style="28" customWidth="1"/>
    <col min="9740" max="9740" width="18.5703125" style="28" customWidth="1"/>
    <col min="9741" max="9741" width="9.42578125" style="28" customWidth="1"/>
    <col min="9742" max="9984" width="9.140625" style="28"/>
    <col min="9985" max="9985" width="3.140625" style="28" customWidth="1"/>
    <col min="9986" max="9986" width="51.7109375" style="28" customWidth="1"/>
    <col min="9987" max="9992" width="0" style="28" hidden="1" customWidth="1"/>
    <col min="9993" max="9993" width="13.42578125" style="28" customWidth="1"/>
    <col min="9994" max="9994" width="13.28515625" style="28" customWidth="1"/>
    <col min="9995" max="9995" width="12.85546875" style="28" customWidth="1"/>
    <col min="9996" max="9996" width="18.5703125" style="28" customWidth="1"/>
    <col min="9997" max="9997" width="9.42578125" style="28" customWidth="1"/>
    <col min="9998" max="10240" width="9.140625" style="28"/>
    <col min="10241" max="10241" width="3.140625" style="28" customWidth="1"/>
    <col min="10242" max="10242" width="51.7109375" style="28" customWidth="1"/>
    <col min="10243" max="10248" width="0" style="28" hidden="1" customWidth="1"/>
    <col min="10249" max="10249" width="13.42578125" style="28" customWidth="1"/>
    <col min="10250" max="10250" width="13.28515625" style="28" customWidth="1"/>
    <col min="10251" max="10251" width="12.85546875" style="28" customWidth="1"/>
    <col min="10252" max="10252" width="18.5703125" style="28" customWidth="1"/>
    <col min="10253" max="10253" width="9.42578125" style="28" customWidth="1"/>
    <col min="10254" max="10496" width="9.140625" style="28"/>
    <col min="10497" max="10497" width="3.140625" style="28" customWidth="1"/>
    <col min="10498" max="10498" width="51.7109375" style="28" customWidth="1"/>
    <col min="10499" max="10504" width="0" style="28" hidden="1" customWidth="1"/>
    <col min="10505" max="10505" width="13.42578125" style="28" customWidth="1"/>
    <col min="10506" max="10506" width="13.28515625" style="28" customWidth="1"/>
    <col min="10507" max="10507" width="12.85546875" style="28" customWidth="1"/>
    <col min="10508" max="10508" width="18.5703125" style="28" customWidth="1"/>
    <col min="10509" max="10509" width="9.42578125" style="28" customWidth="1"/>
    <col min="10510" max="10752" width="9.140625" style="28"/>
    <col min="10753" max="10753" width="3.140625" style="28" customWidth="1"/>
    <col min="10754" max="10754" width="51.7109375" style="28" customWidth="1"/>
    <col min="10755" max="10760" width="0" style="28" hidden="1" customWidth="1"/>
    <col min="10761" max="10761" width="13.42578125" style="28" customWidth="1"/>
    <col min="10762" max="10762" width="13.28515625" style="28" customWidth="1"/>
    <col min="10763" max="10763" width="12.85546875" style="28" customWidth="1"/>
    <col min="10764" max="10764" width="18.5703125" style="28" customWidth="1"/>
    <col min="10765" max="10765" width="9.42578125" style="28" customWidth="1"/>
    <col min="10766" max="11008" width="9.140625" style="28"/>
    <col min="11009" max="11009" width="3.140625" style="28" customWidth="1"/>
    <col min="11010" max="11010" width="51.7109375" style="28" customWidth="1"/>
    <col min="11011" max="11016" width="0" style="28" hidden="1" customWidth="1"/>
    <col min="11017" max="11017" width="13.42578125" style="28" customWidth="1"/>
    <col min="11018" max="11018" width="13.28515625" style="28" customWidth="1"/>
    <col min="11019" max="11019" width="12.85546875" style="28" customWidth="1"/>
    <col min="11020" max="11020" width="18.5703125" style="28" customWidth="1"/>
    <col min="11021" max="11021" width="9.42578125" style="28" customWidth="1"/>
    <col min="11022" max="11264" width="9.140625" style="28"/>
    <col min="11265" max="11265" width="3.140625" style="28" customWidth="1"/>
    <col min="11266" max="11266" width="51.7109375" style="28" customWidth="1"/>
    <col min="11267" max="11272" width="0" style="28" hidden="1" customWidth="1"/>
    <col min="11273" max="11273" width="13.42578125" style="28" customWidth="1"/>
    <col min="11274" max="11274" width="13.28515625" style="28" customWidth="1"/>
    <col min="11275" max="11275" width="12.85546875" style="28" customWidth="1"/>
    <col min="11276" max="11276" width="18.5703125" style="28" customWidth="1"/>
    <col min="11277" max="11277" width="9.42578125" style="28" customWidth="1"/>
    <col min="11278" max="11520" width="9.140625" style="28"/>
    <col min="11521" max="11521" width="3.140625" style="28" customWidth="1"/>
    <col min="11522" max="11522" width="51.7109375" style="28" customWidth="1"/>
    <col min="11523" max="11528" width="0" style="28" hidden="1" customWidth="1"/>
    <col min="11529" max="11529" width="13.42578125" style="28" customWidth="1"/>
    <col min="11530" max="11530" width="13.28515625" style="28" customWidth="1"/>
    <col min="11531" max="11531" width="12.85546875" style="28" customWidth="1"/>
    <col min="11532" max="11532" width="18.5703125" style="28" customWidth="1"/>
    <col min="11533" max="11533" width="9.42578125" style="28" customWidth="1"/>
    <col min="11534" max="11776" width="9.140625" style="28"/>
    <col min="11777" max="11777" width="3.140625" style="28" customWidth="1"/>
    <col min="11778" max="11778" width="51.7109375" style="28" customWidth="1"/>
    <col min="11779" max="11784" width="0" style="28" hidden="1" customWidth="1"/>
    <col min="11785" max="11785" width="13.42578125" style="28" customWidth="1"/>
    <col min="11786" max="11786" width="13.28515625" style="28" customWidth="1"/>
    <col min="11787" max="11787" width="12.85546875" style="28" customWidth="1"/>
    <col min="11788" max="11788" width="18.5703125" style="28" customWidth="1"/>
    <col min="11789" max="11789" width="9.42578125" style="28" customWidth="1"/>
    <col min="11790" max="12032" width="9.140625" style="28"/>
    <col min="12033" max="12033" width="3.140625" style="28" customWidth="1"/>
    <col min="12034" max="12034" width="51.7109375" style="28" customWidth="1"/>
    <col min="12035" max="12040" width="0" style="28" hidden="1" customWidth="1"/>
    <col min="12041" max="12041" width="13.42578125" style="28" customWidth="1"/>
    <col min="12042" max="12042" width="13.28515625" style="28" customWidth="1"/>
    <col min="12043" max="12043" width="12.85546875" style="28" customWidth="1"/>
    <col min="12044" max="12044" width="18.5703125" style="28" customWidth="1"/>
    <col min="12045" max="12045" width="9.42578125" style="28" customWidth="1"/>
    <col min="12046" max="12288" width="9.140625" style="28"/>
    <col min="12289" max="12289" width="3.140625" style="28" customWidth="1"/>
    <col min="12290" max="12290" width="51.7109375" style="28" customWidth="1"/>
    <col min="12291" max="12296" width="0" style="28" hidden="1" customWidth="1"/>
    <col min="12297" max="12297" width="13.42578125" style="28" customWidth="1"/>
    <col min="12298" max="12298" width="13.28515625" style="28" customWidth="1"/>
    <col min="12299" max="12299" width="12.85546875" style="28" customWidth="1"/>
    <col min="12300" max="12300" width="18.5703125" style="28" customWidth="1"/>
    <col min="12301" max="12301" width="9.42578125" style="28" customWidth="1"/>
    <col min="12302" max="12544" width="9.140625" style="28"/>
    <col min="12545" max="12545" width="3.140625" style="28" customWidth="1"/>
    <col min="12546" max="12546" width="51.7109375" style="28" customWidth="1"/>
    <col min="12547" max="12552" width="0" style="28" hidden="1" customWidth="1"/>
    <col min="12553" max="12553" width="13.42578125" style="28" customWidth="1"/>
    <col min="12554" max="12554" width="13.28515625" style="28" customWidth="1"/>
    <col min="12555" max="12555" width="12.85546875" style="28" customWidth="1"/>
    <col min="12556" max="12556" width="18.5703125" style="28" customWidth="1"/>
    <col min="12557" max="12557" width="9.42578125" style="28" customWidth="1"/>
    <col min="12558" max="12800" width="9.140625" style="28"/>
    <col min="12801" max="12801" width="3.140625" style="28" customWidth="1"/>
    <col min="12802" max="12802" width="51.7109375" style="28" customWidth="1"/>
    <col min="12803" max="12808" width="0" style="28" hidden="1" customWidth="1"/>
    <col min="12809" max="12809" width="13.42578125" style="28" customWidth="1"/>
    <col min="12810" max="12810" width="13.28515625" style="28" customWidth="1"/>
    <col min="12811" max="12811" width="12.85546875" style="28" customWidth="1"/>
    <col min="12812" max="12812" width="18.5703125" style="28" customWidth="1"/>
    <col min="12813" max="12813" width="9.42578125" style="28" customWidth="1"/>
    <col min="12814" max="13056" width="9.140625" style="28"/>
    <col min="13057" max="13057" width="3.140625" style="28" customWidth="1"/>
    <col min="13058" max="13058" width="51.7109375" style="28" customWidth="1"/>
    <col min="13059" max="13064" width="0" style="28" hidden="1" customWidth="1"/>
    <col min="13065" max="13065" width="13.42578125" style="28" customWidth="1"/>
    <col min="13066" max="13066" width="13.28515625" style="28" customWidth="1"/>
    <col min="13067" max="13067" width="12.85546875" style="28" customWidth="1"/>
    <col min="13068" max="13068" width="18.5703125" style="28" customWidth="1"/>
    <col min="13069" max="13069" width="9.42578125" style="28" customWidth="1"/>
    <col min="13070" max="13312" width="9.140625" style="28"/>
    <col min="13313" max="13313" width="3.140625" style="28" customWidth="1"/>
    <col min="13314" max="13314" width="51.7109375" style="28" customWidth="1"/>
    <col min="13315" max="13320" width="0" style="28" hidden="1" customWidth="1"/>
    <col min="13321" max="13321" width="13.42578125" style="28" customWidth="1"/>
    <col min="13322" max="13322" width="13.28515625" style="28" customWidth="1"/>
    <col min="13323" max="13323" width="12.85546875" style="28" customWidth="1"/>
    <col min="13324" max="13324" width="18.5703125" style="28" customWidth="1"/>
    <col min="13325" max="13325" width="9.42578125" style="28" customWidth="1"/>
    <col min="13326" max="13568" width="9.140625" style="28"/>
    <col min="13569" max="13569" width="3.140625" style="28" customWidth="1"/>
    <col min="13570" max="13570" width="51.7109375" style="28" customWidth="1"/>
    <col min="13571" max="13576" width="0" style="28" hidden="1" customWidth="1"/>
    <col min="13577" max="13577" width="13.42578125" style="28" customWidth="1"/>
    <col min="13578" max="13578" width="13.28515625" style="28" customWidth="1"/>
    <col min="13579" max="13579" width="12.85546875" style="28" customWidth="1"/>
    <col min="13580" max="13580" width="18.5703125" style="28" customWidth="1"/>
    <col min="13581" max="13581" width="9.42578125" style="28" customWidth="1"/>
    <col min="13582" max="13824" width="9.140625" style="28"/>
    <col min="13825" max="13825" width="3.140625" style="28" customWidth="1"/>
    <col min="13826" max="13826" width="51.7109375" style="28" customWidth="1"/>
    <col min="13827" max="13832" width="0" style="28" hidden="1" customWidth="1"/>
    <col min="13833" max="13833" width="13.42578125" style="28" customWidth="1"/>
    <col min="13834" max="13834" width="13.28515625" style="28" customWidth="1"/>
    <col min="13835" max="13835" width="12.85546875" style="28" customWidth="1"/>
    <col min="13836" max="13836" width="18.5703125" style="28" customWidth="1"/>
    <col min="13837" max="13837" width="9.42578125" style="28" customWidth="1"/>
    <col min="13838" max="14080" width="9.140625" style="28"/>
    <col min="14081" max="14081" width="3.140625" style="28" customWidth="1"/>
    <col min="14082" max="14082" width="51.7109375" style="28" customWidth="1"/>
    <col min="14083" max="14088" width="0" style="28" hidden="1" customWidth="1"/>
    <col min="14089" max="14089" width="13.42578125" style="28" customWidth="1"/>
    <col min="14090" max="14090" width="13.28515625" style="28" customWidth="1"/>
    <col min="14091" max="14091" width="12.85546875" style="28" customWidth="1"/>
    <col min="14092" max="14092" width="18.5703125" style="28" customWidth="1"/>
    <col min="14093" max="14093" width="9.42578125" style="28" customWidth="1"/>
    <col min="14094" max="14336" width="9.140625" style="28"/>
    <col min="14337" max="14337" width="3.140625" style="28" customWidth="1"/>
    <col min="14338" max="14338" width="51.7109375" style="28" customWidth="1"/>
    <col min="14339" max="14344" width="0" style="28" hidden="1" customWidth="1"/>
    <col min="14345" max="14345" width="13.42578125" style="28" customWidth="1"/>
    <col min="14346" max="14346" width="13.28515625" style="28" customWidth="1"/>
    <col min="14347" max="14347" width="12.85546875" style="28" customWidth="1"/>
    <col min="14348" max="14348" width="18.5703125" style="28" customWidth="1"/>
    <col min="14349" max="14349" width="9.42578125" style="28" customWidth="1"/>
    <col min="14350" max="14592" width="9.140625" style="28"/>
    <col min="14593" max="14593" width="3.140625" style="28" customWidth="1"/>
    <col min="14594" max="14594" width="51.7109375" style="28" customWidth="1"/>
    <col min="14595" max="14600" width="0" style="28" hidden="1" customWidth="1"/>
    <col min="14601" max="14601" width="13.42578125" style="28" customWidth="1"/>
    <col min="14602" max="14602" width="13.28515625" style="28" customWidth="1"/>
    <col min="14603" max="14603" width="12.85546875" style="28" customWidth="1"/>
    <col min="14604" max="14604" width="18.5703125" style="28" customWidth="1"/>
    <col min="14605" max="14605" width="9.42578125" style="28" customWidth="1"/>
    <col min="14606" max="14848" width="9.140625" style="28"/>
    <col min="14849" max="14849" width="3.140625" style="28" customWidth="1"/>
    <col min="14850" max="14850" width="51.7109375" style="28" customWidth="1"/>
    <col min="14851" max="14856" width="0" style="28" hidden="1" customWidth="1"/>
    <col min="14857" max="14857" width="13.42578125" style="28" customWidth="1"/>
    <col min="14858" max="14858" width="13.28515625" style="28" customWidth="1"/>
    <col min="14859" max="14859" width="12.85546875" style="28" customWidth="1"/>
    <col min="14860" max="14860" width="18.5703125" style="28" customWidth="1"/>
    <col min="14861" max="14861" width="9.42578125" style="28" customWidth="1"/>
    <col min="14862" max="15104" width="9.140625" style="28"/>
    <col min="15105" max="15105" width="3.140625" style="28" customWidth="1"/>
    <col min="15106" max="15106" width="51.7109375" style="28" customWidth="1"/>
    <col min="15107" max="15112" width="0" style="28" hidden="1" customWidth="1"/>
    <col min="15113" max="15113" width="13.42578125" style="28" customWidth="1"/>
    <col min="15114" max="15114" width="13.28515625" style="28" customWidth="1"/>
    <col min="15115" max="15115" width="12.85546875" style="28" customWidth="1"/>
    <col min="15116" max="15116" width="18.5703125" style="28" customWidth="1"/>
    <col min="15117" max="15117" width="9.42578125" style="28" customWidth="1"/>
    <col min="15118" max="15360" width="9.140625" style="28"/>
    <col min="15361" max="15361" width="3.140625" style="28" customWidth="1"/>
    <col min="15362" max="15362" width="51.7109375" style="28" customWidth="1"/>
    <col min="15363" max="15368" width="0" style="28" hidden="1" customWidth="1"/>
    <col min="15369" max="15369" width="13.42578125" style="28" customWidth="1"/>
    <col min="15370" max="15370" width="13.28515625" style="28" customWidth="1"/>
    <col min="15371" max="15371" width="12.85546875" style="28" customWidth="1"/>
    <col min="15372" max="15372" width="18.5703125" style="28" customWidth="1"/>
    <col min="15373" max="15373" width="9.42578125" style="28" customWidth="1"/>
    <col min="15374" max="15616" width="9.140625" style="28"/>
    <col min="15617" max="15617" width="3.140625" style="28" customWidth="1"/>
    <col min="15618" max="15618" width="51.7109375" style="28" customWidth="1"/>
    <col min="15619" max="15624" width="0" style="28" hidden="1" customWidth="1"/>
    <col min="15625" max="15625" width="13.42578125" style="28" customWidth="1"/>
    <col min="15626" max="15626" width="13.28515625" style="28" customWidth="1"/>
    <col min="15627" max="15627" width="12.85546875" style="28" customWidth="1"/>
    <col min="15628" max="15628" width="18.5703125" style="28" customWidth="1"/>
    <col min="15629" max="15629" width="9.42578125" style="28" customWidth="1"/>
    <col min="15630" max="15872" width="9.140625" style="28"/>
    <col min="15873" max="15873" width="3.140625" style="28" customWidth="1"/>
    <col min="15874" max="15874" width="51.7109375" style="28" customWidth="1"/>
    <col min="15875" max="15880" width="0" style="28" hidden="1" customWidth="1"/>
    <col min="15881" max="15881" width="13.42578125" style="28" customWidth="1"/>
    <col min="15882" max="15882" width="13.28515625" style="28" customWidth="1"/>
    <col min="15883" max="15883" width="12.85546875" style="28" customWidth="1"/>
    <col min="15884" max="15884" width="18.5703125" style="28" customWidth="1"/>
    <col min="15885" max="15885" width="9.42578125" style="28" customWidth="1"/>
    <col min="15886" max="16128" width="9.140625" style="28"/>
    <col min="16129" max="16129" width="3.140625" style="28" customWidth="1"/>
    <col min="16130" max="16130" width="51.7109375" style="28" customWidth="1"/>
    <col min="16131" max="16136" width="0" style="28" hidden="1" customWidth="1"/>
    <col min="16137" max="16137" width="13.42578125" style="28" customWidth="1"/>
    <col min="16138" max="16138" width="13.28515625" style="28" customWidth="1"/>
    <col min="16139" max="16139" width="12.85546875" style="28" customWidth="1"/>
    <col min="16140" max="16140" width="18.5703125" style="28" customWidth="1"/>
    <col min="16141" max="16141" width="9.42578125" style="28" customWidth="1"/>
    <col min="16142" max="16384" width="9.140625" style="28"/>
  </cols>
  <sheetData>
    <row r="1" spans="1:15" x14ac:dyDescent="0.25">
      <c r="K1" s="523" t="s">
        <v>1147</v>
      </c>
      <c r="L1" s="523"/>
      <c r="M1" s="523"/>
    </row>
    <row r="2" spans="1:15" x14ac:dyDescent="0.25">
      <c r="K2" s="523" t="s">
        <v>21</v>
      </c>
      <c r="L2" s="523"/>
      <c r="M2" s="523"/>
    </row>
    <row r="3" spans="1:15" x14ac:dyDescent="0.25">
      <c r="K3" s="523" t="s">
        <v>0</v>
      </c>
      <c r="L3" s="523"/>
      <c r="M3" s="523"/>
    </row>
    <row r="4" spans="1:15" x14ac:dyDescent="0.25">
      <c r="K4" s="523" t="s">
        <v>1257</v>
      </c>
      <c r="L4" s="523"/>
      <c r="M4" s="523"/>
    </row>
    <row r="6" spans="1:15" x14ac:dyDescent="0.25">
      <c r="A6" s="524" t="s">
        <v>586</v>
      </c>
      <c r="B6" s="524"/>
      <c r="C6" s="524"/>
      <c r="D6" s="524"/>
      <c r="E6" s="524"/>
      <c r="F6" s="524"/>
      <c r="G6" s="524"/>
      <c r="H6" s="524"/>
      <c r="I6" s="524"/>
      <c r="J6" s="524"/>
      <c r="K6" s="524"/>
      <c r="L6" s="524"/>
      <c r="M6" s="524"/>
    </row>
    <row r="7" spans="1:15" x14ac:dyDescent="0.25">
      <c r="M7" s="31" t="s">
        <v>877</v>
      </c>
    </row>
    <row r="8" spans="1:15" ht="32.25" customHeight="1" x14ac:dyDescent="0.25">
      <c r="A8" s="514"/>
      <c r="B8" s="525" t="s">
        <v>177</v>
      </c>
      <c r="C8" s="528" t="s">
        <v>178</v>
      </c>
      <c r="D8" s="528"/>
      <c r="E8" s="528"/>
      <c r="F8" s="529" t="s">
        <v>179</v>
      </c>
      <c r="G8" s="530"/>
      <c r="H8" s="530"/>
      <c r="I8" s="530"/>
      <c r="J8" s="530"/>
      <c r="K8" s="530"/>
      <c r="L8" s="470" t="s">
        <v>180</v>
      </c>
      <c r="M8" s="470"/>
    </row>
    <row r="9" spans="1:15" x14ac:dyDescent="0.25">
      <c r="A9" s="515"/>
      <c r="B9" s="526"/>
      <c r="C9" s="528" t="s">
        <v>181</v>
      </c>
      <c r="D9" s="528" t="s">
        <v>182</v>
      </c>
      <c r="E9" s="528" t="s">
        <v>1</v>
      </c>
      <c r="F9" s="472" t="s">
        <v>183</v>
      </c>
      <c r="G9" s="531"/>
      <c r="H9" s="473"/>
      <c r="I9" s="532" t="s">
        <v>184</v>
      </c>
      <c r="J9" s="532"/>
      <c r="K9" s="532"/>
      <c r="L9" s="532" t="s">
        <v>185</v>
      </c>
      <c r="M9" s="503" t="s">
        <v>186</v>
      </c>
    </row>
    <row r="10" spans="1:15" x14ac:dyDescent="0.25">
      <c r="A10" s="516"/>
      <c r="B10" s="527"/>
      <c r="C10" s="528"/>
      <c r="D10" s="528"/>
      <c r="E10" s="528"/>
      <c r="F10" s="32">
        <v>2014</v>
      </c>
      <c r="G10" s="33">
        <v>2015</v>
      </c>
      <c r="H10" s="33">
        <v>2016</v>
      </c>
      <c r="I10" s="194">
        <v>2016</v>
      </c>
      <c r="J10" s="203"/>
      <c r="K10" s="204"/>
      <c r="L10" s="532"/>
      <c r="M10" s="505"/>
    </row>
    <row r="11" spans="1:15" ht="47.25" x14ac:dyDescent="0.25">
      <c r="A11" s="34"/>
      <c r="B11" s="35" t="s">
        <v>257</v>
      </c>
      <c r="C11" s="36">
        <v>41537</v>
      </c>
      <c r="D11" s="37">
        <v>1159</v>
      </c>
      <c r="E11" s="37" t="s">
        <v>187</v>
      </c>
      <c r="F11" s="38">
        <v>3500000</v>
      </c>
      <c r="G11" s="38">
        <v>4500000</v>
      </c>
      <c r="H11" s="38">
        <v>6000000</v>
      </c>
      <c r="I11" s="205">
        <f>П5ВЕД!AA42+П5ВЕД!AA74+П5ВЕД!AA76+П5ВЕД!AA78+П5ВЕД!AA80+П5ВЕД!AA82+П5ВЕД!AA84+П5ВЕД!AA143</f>
        <v>8494126.870000001</v>
      </c>
      <c r="J11" s="206"/>
      <c r="K11" s="207"/>
      <c r="L11" s="39" t="s">
        <v>19</v>
      </c>
      <c r="M11" s="512" t="s">
        <v>895</v>
      </c>
      <c r="O11" s="142"/>
    </row>
    <row r="12" spans="1:15" x14ac:dyDescent="0.25">
      <c r="A12" s="34">
        <v>1</v>
      </c>
      <c r="B12" s="40" t="s">
        <v>188</v>
      </c>
      <c r="C12" s="40"/>
      <c r="D12" s="40"/>
      <c r="E12" s="41"/>
      <c r="F12" s="42">
        <f>SUM(F11:F11)</f>
        <v>3500000</v>
      </c>
      <c r="G12" s="42">
        <f>SUM(G11:G11)</f>
        <v>4500000</v>
      </c>
      <c r="H12" s="42">
        <f>H11</f>
        <v>6000000</v>
      </c>
      <c r="I12" s="211">
        <f>I11</f>
        <v>8494126.870000001</v>
      </c>
      <c r="J12" s="212"/>
      <c r="K12" s="213"/>
      <c r="L12" s="43"/>
      <c r="M12" s="513"/>
    </row>
    <row r="13" spans="1:15" ht="47.25" x14ac:dyDescent="0.25">
      <c r="A13" s="32"/>
      <c r="B13" s="35" t="s">
        <v>254</v>
      </c>
      <c r="C13" s="44">
        <v>40533</v>
      </c>
      <c r="D13" s="35">
        <v>1496</v>
      </c>
      <c r="E13" s="37" t="s">
        <v>187</v>
      </c>
      <c r="F13" s="38">
        <v>1142460</v>
      </c>
      <c r="G13" s="38">
        <v>0</v>
      </c>
      <c r="H13" s="38">
        <v>0</v>
      </c>
      <c r="I13" s="208">
        <f>П5ВЕД!AA212</f>
        <v>53000</v>
      </c>
      <c r="J13" s="209"/>
      <c r="K13" s="210"/>
      <c r="L13" s="39" t="s">
        <v>19</v>
      </c>
      <c r="M13" s="512" t="s">
        <v>896</v>
      </c>
      <c r="O13" s="142"/>
    </row>
    <row r="14" spans="1:15" x14ac:dyDescent="0.25">
      <c r="A14" s="32">
        <v>2</v>
      </c>
      <c r="B14" s="40" t="s">
        <v>188</v>
      </c>
      <c r="C14" s="40"/>
      <c r="D14" s="40"/>
      <c r="E14" s="41"/>
      <c r="F14" s="42">
        <f>SUM(F13:F13)</f>
        <v>1142460</v>
      </c>
      <c r="G14" s="42">
        <f>SUM(G13:G13)</f>
        <v>0</v>
      </c>
      <c r="H14" s="42">
        <f>SUM(H13:H13)</f>
        <v>0</v>
      </c>
      <c r="I14" s="211">
        <f>SUM(I13:I13)</f>
        <v>53000</v>
      </c>
      <c r="J14" s="212"/>
      <c r="K14" s="213"/>
      <c r="L14" s="43"/>
      <c r="M14" s="513"/>
    </row>
    <row r="15" spans="1:15" ht="78.75" x14ac:dyDescent="0.25">
      <c r="A15" s="32"/>
      <c r="B15" s="503" t="s">
        <v>260</v>
      </c>
      <c r="C15" s="174"/>
      <c r="D15" s="174"/>
      <c r="E15" s="151"/>
      <c r="F15" s="42"/>
      <c r="G15" s="42"/>
      <c r="H15" s="42"/>
      <c r="I15" s="205">
        <f>П5ВЕД!Z336</f>
        <v>0</v>
      </c>
      <c r="J15" s="206"/>
      <c r="K15" s="207"/>
      <c r="L15" s="39" t="s">
        <v>22</v>
      </c>
      <c r="M15" s="503" t="s">
        <v>897</v>
      </c>
      <c r="O15" s="142"/>
    </row>
    <row r="16" spans="1:15" ht="47.25" x14ac:dyDescent="0.25">
      <c r="A16" s="32"/>
      <c r="B16" s="504"/>
      <c r="C16" s="174"/>
      <c r="D16" s="174"/>
      <c r="E16" s="151"/>
      <c r="F16" s="42"/>
      <c r="G16" s="42"/>
      <c r="H16" s="42"/>
      <c r="I16" s="205">
        <f>П5ВЕД!AA479+П5ВЕД!AA481+П5ВЕД!AA483</f>
        <v>11371936.620000001</v>
      </c>
      <c r="J16" s="206"/>
      <c r="K16" s="207"/>
      <c r="L16" s="39" t="s">
        <v>520</v>
      </c>
      <c r="M16" s="504"/>
      <c r="O16" s="142"/>
    </row>
    <row r="17" spans="1:13" ht="47.25" x14ac:dyDescent="0.25">
      <c r="A17" s="34"/>
      <c r="B17" s="505"/>
      <c r="C17" s="36">
        <v>41537</v>
      </c>
      <c r="D17" s="37">
        <v>1161</v>
      </c>
      <c r="E17" s="37" t="s">
        <v>187</v>
      </c>
      <c r="F17" s="38">
        <v>5000000</v>
      </c>
      <c r="G17" s="38">
        <v>7000000</v>
      </c>
      <c r="H17" s="38">
        <v>9000000</v>
      </c>
      <c r="I17" s="205">
        <f>П5ВЕД!AA23+П5ВЕД!AA189+П5ВЕД!AA191+П5ВЕД!AA193+П5ВЕД!AA195</f>
        <v>205750</v>
      </c>
      <c r="J17" s="206"/>
      <c r="K17" s="207"/>
      <c r="L17" s="39" t="s">
        <v>19</v>
      </c>
      <c r="M17" s="504"/>
    </row>
    <row r="18" spans="1:13" x14ac:dyDescent="0.25">
      <c r="A18" s="34">
        <v>3</v>
      </c>
      <c r="B18" s="40" t="s">
        <v>188</v>
      </c>
      <c r="C18" s="40"/>
      <c r="D18" s="40"/>
      <c r="E18" s="41"/>
      <c r="F18" s="42">
        <f>SUM(F17:F17)</f>
        <v>5000000</v>
      </c>
      <c r="G18" s="42">
        <f>SUM(G17:G17)</f>
        <v>7000000</v>
      </c>
      <c r="H18" s="42">
        <f>SUM(H17:H17)</f>
        <v>9000000</v>
      </c>
      <c r="I18" s="211">
        <f>I15+I17+I16</f>
        <v>11577686.620000001</v>
      </c>
      <c r="J18" s="212"/>
      <c r="K18" s="213"/>
      <c r="L18" s="43"/>
      <c r="M18" s="173"/>
    </row>
    <row r="19" spans="1:13" ht="78.75" x14ac:dyDescent="0.25">
      <c r="A19" s="514"/>
      <c r="B19" s="503" t="s">
        <v>259</v>
      </c>
      <c r="C19" s="40"/>
      <c r="D19" s="40"/>
      <c r="E19" s="151"/>
      <c r="F19" s="42"/>
      <c r="G19" s="42"/>
      <c r="H19" s="42"/>
      <c r="I19" s="205">
        <f>П5ВЕД!AA298+П5ВЕД!AA310</f>
        <v>1100459.21</v>
      </c>
      <c r="J19" s="206"/>
      <c r="K19" s="207"/>
      <c r="L19" s="39" t="s">
        <v>22</v>
      </c>
      <c r="M19" s="503" t="s">
        <v>898</v>
      </c>
    </row>
    <row r="20" spans="1:13" ht="47.25" x14ac:dyDescent="0.25">
      <c r="A20" s="516"/>
      <c r="B20" s="505"/>
      <c r="C20" s="45">
        <v>41540</v>
      </c>
      <c r="D20" s="33">
        <v>1181</v>
      </c>
      <c r="E20" s="37" t="s">
        <v>187</v>
      </c>
      <c r="F20" s="38">
        <v>100000</v>
      </c>
      <c r="G20" s="38">
        <v>100000</v>
      </c>
      <c r="H20" s="38">
        <v>100000</v>
      </c>
      <c r="I20" s="208">
        <f>П5ВЕД!AA93+П5ВЕД!AA95+П5ВЕД!AA152+П5ВЕД!AA154+П5ВЕД!AA70+П5ВЕД!AA157</f>
        <v>889990</v>
      </c>
      <c r="J20" s="209"/>
      <c r="K20" s="210"/>
      <c r="L20" s="39" t="s">
        <v>19</v>
      </c>
      <c r="M20" s="504"/>
    </row>
    <row r="21" spans="1:13" x14ac:dyDescent="0.25">
      <c r="A21" s="46">
        <v>4</v>
      </c>
      <c r="B21" s="40" t="s">
        <v>188</v>
      </c>
      <c r="C21" s="33"/>
      <c r="D21" s="33"/>
      <c r="E21" s="37"/>
      <c r="F21" s="42">
        <f>SUM(F20)</f>
        <v>100000</v>
      </c>
      <c r="G21" s="42">
        <f>SUM(G20)</f>
        <v>100000</v>
      </c>
      <c r="H21" s="42">
        <f>SUM(H20)</f>
        <v>100000</v>
      </c>
      <c r="I21" s="211">
        <f>I19+I20</f>
        <v>1990449.21</v>
      </c>
      <c r="J21" s="212"/>
      <c r="K21" s="213"/>
      <c r="L21" s="47"/>
      <c r="M21" s="505"/>
    </row>
    <row r="22" spans="1:13" ht="63" x14ac:dyDescent="0.25">
      <c r="A22" s="48"/>
      <c r="B22" s="503" t="s">
        <v>258</v>
      </c>
      <c r="C22" s="45">
        <v>40564</v>
      </c>
      <c r="D22" s="33">
        <v>75</v>
      </c>
      <c r="E22" s="49" t="s">
        <v>187</v>
      </c>
      <c r="F22" s="38">
        <v>2674000</v>
      </c>
      <c r="G22" s="38">
        <v>2684000</v>
      </c>
      <c r="H22" s="38">
        <v>0</v>
      </c>
      <c r="I22" s="208">
        <f>П5ВЕД!AA383+П5ВЕД!AA369</f>
        <v>2600000</v>
      </c>
      <c r="J22" s="209"/>
      <c r="K22" s="210"/>
      <c r="L22" s="50" t="s">
        <v>15</v>
      </c>
      <c r="M22" s="512" t="s">
        <v>899</v>
      </c>
    </row>
    <row r="23" spans="1:13" ht="47.25" x14ac:dyDescent="0.25">
      <c r="A23" s="232"/>
      <c r="B23" s="504"/>
      <c r="C23" s="45"/>
      <c r="D23" s="33"/>
      <c r="E23" s="233"/>
      <c r="F23" s="38"/>
      <c r="G23" s="38"/>
      <c r="H23" s="38"/>
      <c r="I23" s="208">
        <f>П5ВЕД!AA146</f>
        <v>11142506.66</v>
      </c>
      <c r="J23" s="209"/>
      <c r="K23" s="210"/>
      <c r="L23" s="39" t="s">
        <v>19</v>
      </c>
      <c r="M23" s="517"/>
    </row>
    <row r="24" spans="1:13" ht="78.75" x14ac:dyDescent="0.25">
      <c r="A24" s="169"/>
      <c r="B24" s="505"/>
      <c r="C24" s="45"/>
      <c r="D24" s="33"/>
      <c r="E24" s="170"/>
      <c r="F24" s="38"/>
      <c r="G24" s="38"/>
      <c r="H24" s="38"/>
      <c r="I24" s="208">
        <f>П5ВЕД!Z355+П5ВЕД!AA284+П5ВЕД!AA292</f>
        <v>3017767.3</v>
      </c>
      <c r="J24" s="209"/>
      <c r="K24" s="210"/>
      <c r="L24" s="39" t="s">
        <v>22</v>
      </c>
      <c r="M24" s="517"/>
    </row>
    <row r="25" spans="1:13" x14ac:dyDescent="0.25">
      <c r="A25" s="32">
        <v>5</v>
      </c>
      <c r="B25" s="40" t="s">
        <v>188</v>
      </c>
      <c r="C25" s="40"/>
      <c r="D25" s="40"/>
      <c r="E25" s="41"/>
      <c r="F25" s="42">
        <f>SUM(F22)</f>
        <v>2674000</v>
      </c>
      <c r="G25" s="42">
        <f>SUM(G22)</f>
        <v>2684000</v>
      </c>
      <c r="H25" s="42">
        <f>SUM(H22)</f>
        <v>0</v>
      </c>
      <c r="I25" s="211">
        <f>I22+I23+I24</f>
        <v>16760273.960000001</v>
      </c>
      <c r="J25" s="212"/>
      <c r="K25" s="213"/>
      <c r="L25" s="43"/>
      <c r="M25" s="513"/>
    </row>
    <row r="26" spans="1:13" ht="47.25" x14ac:dyDescent="0.25">
      <c r="A26" s="48"/>
      <c r="B26" s="33" t="s">
        <v>261</v>
      </c>
      <c r="C26" s="45">
        <v>39800</v>
      </c>
      <c r="D26" s="33">
        <v>978</v>
      </c>
      <c r="E26" s="49" t="s">
        <v>189</v>
      </c>
      <c r="F26" s="38">
        <v>23996000</v>
      </c>
      <c r="G26" s="38">
        <v>22033000</v>
      </c>
      <c r="H26" s="38">
        <v>0</v>
      </c>
      <c r="I26" s="205">
        <f>П5ВЕД!AA173</f>
        <v>50000</v>
      </c>
      <c r="J26" s="206"/>
      <c r="K26" s="207"/>
      <c r="L26" s="50" t="s">
        <v>19</v>
      </c>
      <c r="M26" s="512" t="s">
        <v>900</v>
      </c>
    </row>
    <row r="27" spans="1:13" x14ac:dyDescent="0.25">
      <c r="A27" s="32">
        <v>6</v>
      </c>
      <c r="B27" s="40" t="s">
        <v>188</v>
      </c>
      <c r="C27" s="40"/>
      <c r="D27" s="40"/>
      <c r="E27" s="41"/>
      <c r="F27" s="42">
        <f>F26</f>
        <v>23996000</v>
      </c>
      <c r="G27" s="42">
        <f>G26</f>
        <v>22033000</v>
      </c>
      <c r="H27" s="42">
        <f>H26</f>
        <v>0</v>
      </c>
      <c r="I27" s="211">
        <f>I26</f>
        <v>50000</v>
      </c>
      <c r="J27" s="212"/>
      <c r="K27" s="213"/>
      <c r="L27" s="51"/>
      <c r="M27" s="513"/>
    </row>
    <row r="28" spans="1:13" ht="47.25" x14ac:dyDescent="0.25">
      <c r="A28" s="32"/>
      <c r="B28" s="33" t="s">
        <v>263</v>
      </c>
      <c r="C28" s="45">
        <v>41176</v>
      </c>
      <c r="D28" s="52">
        <v>1127</v>
      </c>
      <c r="E28" s="53" t="s">
        <v>187</v>
      </c>
      <c r="F28" s="38">
        <v>1033000</v>
      </c>
      <c r="G28" s="38">
        <v>1083000</v>
      </c>
      <c r="H28" s="38">
        <v>1133000</v>
      </c>
      <c r="I28" s="205">
        <f>П5ВЕД!AA134+П5ВЕД!AA213+П5ВЕД!AA138</f>
        <v>26551599.059999999</v>
      </c>
      <c r="J28" s="206"/>
      <c r="K28" s="207"/>
      <c r="L28" s="39" t="s">
        <v>19</v>
      </c>
      <c r="M28" s="512" t="s">
        <v>901</v>
      </c>
    </row>
    <row r="29" spans="1:13" x14ac:dyDescent="0.25">
      <c r="A29" s="32">
        <v>7</v>
      </c>
      <c r="B29" s="40" t="s">
        <v>188</v>
      </c>
      <c r="C29" s="40"/>
      <c r="D29" s="40"/>
      <c r="E29" s="49"/>
      <c r="F29" s="42">
        <f>SUM(F28)</f>
        <v>1033000</v>
      </c>
      <c r="G29" s="42">
        <f>SUM(G28)</f>
        <v>1083000</v>
      </c>
      <c r="H29" s="42">
        <f>SUM(H28)</f>
        <v>1133000</v>
      </c>
      <c r="I29" s="211">
        <f>SUM(I28)</f>
        <v>26551599.059999999</v>
      </c>
      <c r="J29" s="212"/>
      <c r="K29" s="213"/>
      <c r="L29" s="43"/>
      <c r="M29" s="513"/>
    </row>
    <row r="30" spans="1:13" ht="47.25" x14ac:dyDescent="0.25">
      <c r="A30" s="32"/>
      <c r="B30" s="33" t="s">
        <v>262</v>
      </c>
      <c r="C30" s="45">
        <v>41540</v>
      </c>
      <c r="D30" s="33">
        <v>1188</v>
      </c>
      <c r="E30" s="49" t="s">
        <v>187</v>
      </c>
      <c r="F30" s="38">
        <v>500000</v>
      </c>
      <c r="G30" s="38">
        <v>600000</v>
      </c>
      <c r="H30" s="38">
        <v>800000</v>
      </c>
      <c r="I30" s="205">
        <f>П5ВЕД!AA88+П5ВЕД!AA90+П5ВЕД!AA124+П5ВЕД!AA128+П5ВЕД!AA130</f>
        <v>214800</v>
      </c>
      <c r="J30" s="206"/>
      <c r="K30" s="207"/>
      <c r="L30" s="39" t="s">
        <v>19</v>
      </c>
      <c r="M30" s="512" t="s">
        <v>902</v>
      </c>
    </row>
    <row r="31" spans="1:13" x14ac:dyDescent="0.25">
      <c r="A31" s="32">
        <v>8</v>
      </c>
      <c r="B31" s="40" t="s">
        <v>188</v>
      </c>
      <c r="C31" s="40"/>
      <c r="D31" s="40"/>
      <c r="E31" s="49"/>
      <c r="F31" s="42">
        <f>SUM(F30)</f>
        <v>500000</v>
      </c>
      <c r="G31" s="42">
        <f>SUM(G30)</f>
        <v>600000</v>
      </c>
      <c r="H31" s="42">
        <f>SUM(H30)</f>
        <v>800000</v>
      </c>
      <c r="I31" s="211">
        <f>SUM(I30)</f>
        <v>214800</v>
      </c>
      <c r="J31" s="212"/>
      <c r="K31" s="213"/>
      <c r="L31" s="43"/>
      <c r="M31" s="513"/>
    </row>
    <row r="32" spans="1:13" ht="47.25" x14ac:dyDescent="0.25">
      <c r="A32" s="32"/>
      <c r="B32" s="54" t="s">
        <v>256</v>
      </c>
      <c r="C32" s="36">
        <v>41537</v>
      </c>
      <c r="D32" s="37">
        <v>1167</v>
      </c>
      <c r="E32" s="37" t="s">
        <v>189</v>
      </c>
      <c r="F32" s="38">
        <v>50000</v>
      </c>
      <c r="G32" s="38">
        <v>100000</v>
      </c>
      <c r="H32" s="38">
        <v>150000</v>
      </c>
      <c r="I32" s="205">
        <f>П5ВЕД!AA239+П5ВЕД!AA241+П5ВЕД!AA244+П5ВЕД!AA246+П5ВЕД!AA248+П5ВЕД!AA250</f>
        <v>6348058.5099999998</v>
      </c>
      <c r="J32" s="206"/>
      <c r="K32" s="207"/>
      <c r="L32" s="39" t="s">
        <v>19</v>
      </c>
      <c r="M32" s="512" t="s">
        <v>903</v>
      </c>
    </row>
    <row r="33" spans="1:13" x14ac:dyDescent="0.25">
      <c r="A33" s="32">
        <v>9</v>
      </c>
      <c r="B33" s="40" t="s">
        <v>188</v>
      </c>
      <c r="C33" s="40"/>
      <c r="D33" s="40"/>
      <c r="E33" s="49"/>
      <c r="F33" s="42">
        <f>SUM(F32:F32)</f>
        <v>50000</v>
      </c>
      <c r="G33" s="42">
        <f>SUM(G32:G32)</f>
        <v>100000</v>
      </c>
      <c r="H33" s="42">
        <f>SUM(H32:H32)</f>
        <v>150000</v>
      </c>
      <c r="I33" s="211">
        <f>SUM(I32:I32)</f>
        <v>6348058.5099999998</v>
      </c>
      <c r="J33" s="212"/>
      <c r="K33" s="213"/>
      <c r="L33" s="43"/>
      <c r="M33" s="513"/>
    </row>
    <row r="34" spans="1:13" ht="47.25" x14ac:dyDescent="0.25">
      <c r="A34" s="514"/>
      <c r="B34" s="512" t="s">
        <v>264</v>
      </c>
      <c r="C34" s="518">
        <v>41537</v>
      </c>
      <c r="D34" s="521">
        <v>1165</v>
      </c>
      <c r="E34" s="503" t="s">
        <v>189</v>
      </c>
      <c r="F34" s="38">
        <v>2000000</v>
      </c>
      <c r="G34" s="38">
        <v>2700000</v>
      </c>
      <c r="H34" s="38">
        <v>3000000</v>
      </c>
      <c r="I34" s="205">
        <f>П5ВЕД!AA25+П5ВЕД!AA48+П5ВЕД!AA39+П5ВЕД!AA221+П5ВЕД!AA52+П5ВЕД!AA51+П5ВЕД!AA46</f>
        <v>45021954.310000002</v>
      </c>
      <c r="J34" s="206"/>
      <c r="K34" s="207"/>
      <c r="L34" s="55" t="s">
        <v>19</v>
      </c>
      <c r="M34" s="503" t="s">
        <v>904</v>
      </c>
    </row>
    <row r="35" spans="1:13" ht="47.25" x14ac:dyDescent="0.25">
      <c r="A35" s="515"/>
      <c r="B35" s="517"/>
      <c r="C35" s="519"/>
      <c r="D35" s="522"/>
      <c r="E35" s="504"/>
      <c r="F35" s="38"/>
      <c r="G35" s="38"/>
      <c r="H35" s="38"/>
      <c r="I35" s="205">
        <f>П5ВЕД!AA461+П5ВЕД!AA465</f>
        <v>8924593.4900000002</v>
      </c>
      <c r="J35" s="206"/>
      <c r="K35" s="207"/>
      <c r="L35" s="39" t="s">
        <v>520</v>
      </c>
      <c r="M35" s="504"/>
    </row>
    <row r="36" spans="1:13" ht="63" x14ac:dyDescent="0.25">
      <c r="A36" s="515"/>
      <c r="B36" s="517"/>
      <c r="C36" s="519"/>
      <c r="D36" s="522"/>
      <c r="E36" s="504"/>
      <c r="F36" s="38"/>
      <c r="G36" s="38"/>
      <c r="H36" s="38"/>
      <c r="I36" s="205">
        <v>0</v>
      </c>
      <c r="J36" s="206"/>
      <c r="K36" s="207"/>
      <c r="L36" s="39" t="s">
        <v>15</v>
      </c>
      <c r="M36" s="504"/>
    </row>
    <row r="37" spans="1:13" ht="78.75" x14ac:dyDescent="0.25">
      <c r="A37" s="516"/>
      <c r="B37" s="513"/>
      <c r="C37" s="520"/>
      <c r="D37" s="520"/>
      <c r="E37" s="505"/>
      <c r="F37" s="38">
        <v>15000</v>
      </c>
      <c r="G37" s="38">
        <v>15000</v>
      </c>
      <c r="H37" s="38">
        <v>15000</v>
      </c>
      <c r="I37" s="205">
        <f>П5ВЕД!AA258+П5ВЕД!AA262+П5ВЕД!AA327+П5ВЕД!AA333+П5ВЕД!AA322+П5ВЕД!AA268</f>
        <v>29532720.32</v>
      </c>
      <c r="J37" s="206"/>
      <c r="K37" s="207"/>
      <c r="L37" s="39" t="s">
        <v>22</v>
      </c>
      <c r="M37" s="504"/>
    </row>
    <row r="38" spans="1:13" x14ac:dyDescent="0.25">
      <c r="A38" s="32">
        <v>10</v>
      </c>
      <c r="B38" s="40" t="s">
        <v>188</v>
      </c>
      <c r="C38" s="40"/>
      <c r="D38" s="40"/>
      <c r="E38" s="49"/>
      <c r="F38" s="42">
        <f>SUM(F34:F37)</f>
        <v>2015000</v>
      </c>
      <c r="G38" s="42">
        <f>SUM(G34:G37)</f>
        <v>2715000</v>
      </c>
      <c r="H38" s="42">
        <f>SUM(H34:H37)</f>
        <v>3015000</v>
      </c>
      <c r="I38" s="211">
        <f>SUM(I34:I37)</f>
        <v>83479268.120000005</v>
      </c>
      <c r="J38" s="212"/>
      <c r="K38" s="213"/>
      <c r="L38" s="43"/>
      <c r="M38" s="128"/>
    </row>
    <row r="39" spans="1:13" ht="63" customHeight="1" x14ac:dyDescent="0.25">
      <c r="A39" s="32"/>
      <c r="B39" s="503" t="s">
        <v>265</v>
      </c>
      <c r="C39" s="40"/>
      <c r="D39" s="40"/>
      <c r="E39" s="130"/>
      <c r="F39" s="42"/>
      <c r="G39" s="42"/>
      <c r="H39" s="42"/>
      <c r="I39" s="205">
        <f>П5ВЕД!AA471</f>
        <v>2497749.9900000002</v>
      </c>
      <c r="J39" s="206"/>
      <c r="K39" s="207"/>
      <c r="L39" s="39" t="s">
        <v>520</v>
      </c>
      <c r="M39" s="503" t="s">
        <v>905</v>
      </c>
    </row>
    <row r="40" spans="1:13" ht="70.5" customHeight="1" x14ac:dyDescent="0.25">
      <c r="A40" s="32"/>
      <c r="B40" s="504"/>
      <c r="C40" s="40"/>
      <c r="D40" s="40"/>
      <c r="E40" s="129"/>
      <c r="F40" s="42"/>
      <c r="G40" s="42"/>
      <c r="H40" s="42"/>
      <c r="I40" s="205">
        <f>П5ВЕД!AA385+П5ВЕД!AA387</f>
        <v>1050000</v>
      </c>
      <c r="J40" s="206"/>
      <c r="K40" s="207"/>
      <c r="L40" s="39" t="s">
        <v>15</v>
      </c>
      <c r="M40" s="504"/>
    </row>
    <row r="41" spans="1:13" ht="47.25" x14ac:dyDescent="0.25">
      <c r="A41" s="32"/>
      <c r="B41" s="505"/>
      <c r="C41" s="45">
        <v>41176</v>
      </c>
      <c r="D41" s="52">
        <v>1126</v>
      </c>
      <c r="E41" s="45" t="s">
        <v>187</v>
      </c>
      <c r="F41" s="38">
        <v>2670405</v>
      </c>
      <c r="G41" s="38">
        <v>0</v>
      </c>
      <c r="H41" s="38">
        <v>0</v>
      </c>
      <c r="I41" s="205">
        <f>П5ВЕД!AA63+П5ВЕД!AA65+П5ВЕД!AA175+П5ВЕД!AA177+П5ВЕД!AA179</f>
        <v>657500</v>
      </c>
      <c r="J41" s="206"/>
      <c r="K41" s="207"/>
      <c r="L41" s="39" t="s">
        <v>19</v>
      </c>
      <c r="M41" s="504"/>
    </row>
    <row r="42" spans="1:13" x14ac:dyDescent="0.25">
      <c r="A42" s="32">
        <v>11</v>
      </c>
      <c r="B42" s="40" t="s">
        <v>188</v>
      </c>
      <c r="C42" s="40"/>
      <c r="D42" s="40"/>
      <c r="E42" s="49"/>
      <c r="F42" s="42">
        <f>SUM(F41)</f>
        <v>2670405</v>
      </c>
      <c r="G42" s="42">
        <f>SUM(G41)</f>
        <v>0</v>
      </c>
      <c r="H42" s="42">
        <f>SUM(H41)</f>
        <v>0</v>
      </c>
      <c r="I42" s="211">
        <f>I39+I40+I41</f>
        <v>4205249.99</v>
      </c>
      <c r="J42" s="212"/>
      <c r="K42" s="213"/>
      <c r="L42" s="43"/>
      <c r="M42" s="128"/>
    </row>
    <row r="43" spans="1:13" ht="69.75" customHeight="1" x14ac:dyDescent="0.25">
      <c r="A43" s="32"/>
      <c r="B43" s="503" t="s">
        <v>253</v>
      </c>
      <c r="C43" s="40"/>
      <c r="D43" s="40"/>
      <c r="E43" s="126"/>
      <c r="F43" s="42"/>
      <c r="G43" s="42"/>
      <c r="H43" s="42"/>
      <c r="I43" s="205">
        <f>П5ВЕД!AA370+П5ВЕД!AA372+П5ВЕД!AA389+П5ВЕД!AA391+П5ВЕД!AA393+П5ВЕД!AA395+П5ВЕД!AA397+П5ВЕД!AA417+П5ВЕД!AA420+П5ВЕД!AA426+П5ВЕД!AA430+П5ВЕД!AA434</f>
        <v>192566425.50999999</v>
      </c>
      <c r="J43" s="206"/>
      <c r="K43" s="207"/>
      <c r="L43" s="39" t="s">
        <v>15</v>
      </c>
      <c r="M43" s="503" t="s">
        <v>906</v>
      </c>
    </row>
    <row r="44" spans="1:13" ht="47.25" x14ac:dyDescent="0.25">
      <c r="A44" s="32"/>
      <c r="B44" s="504"/>
      <c r="C44" s="40"/>
      <c r="D44" s="40"/>
      <c r="E44" s="129"/>
      <c r="F44" s="42"/>
      <c r="G44" s="42"/>
      <c r="H44" s="42"/>
      <c r="I44" s="205">
        <f>П5ВЕД!AA474</f>
        <v>5036834.5599999996</v>
      </c>
      <c r="J44" s="206"/>
      <c r="K44" s="207"/>
      <c r="L44" s="56" t="s">
        <v>520</v>
      </c>
      <c r="M44" s="504"/>
    </row>
    <row r="45" spans="1:13" ht="47.25" x14ac:dyDescent="0.25">
      <c r="A45" s="32"/>
      <c r="B45" s="505"/>
      <c r="C45" s="53">
        <v>40869</v>
      </c>
      <c r="D45" s="49">
        <v>1218</v>
      </c>
      <c r="E45" s="49" t="s">
        <v>187</v>
      </c>
      <c r="F45" s="38">
        <v>100000</v>
      </c>
      <c r="G45" s="38">
        <v>0</v>
      </c>
      <c r="H45" s="38">
        <v>0</v>
      </c>
      <c r="I45" s="205">
        <f>П5ВЕД!AA170+П5ВЕД!AA181</f>
        <v>8364734.4000000004</v>
      </c>
      <c r="J45" s="206"/>
      <c r="K45" s="207"/>
      <c r="L45" s="56" t="s">
        <v>19</v>
      </c>
      <c r="M45" s="504"/>
    </row>
    <row r="46" spans="1:13" x14ac:dyDescent="0.25">
      <c r="A46" s="32">
        <v>12</v>
      </c>
      <c r="B46" s="40" t="s">
        <v>188</v>
      </c>
      <c r="C46" s="40"/>
      <c r="D46" s="40"/>
      <c r="E46" s="49"/>
      <c r="F46" s="42">
        <f>F45</f>
        <v>100000</v>
      </c>
      <c r="G46" s="42">
        <f>G45</f>
        <v>0</v>
      </c>
      <c r="H46" s="42">
        <f>H45</f>
        <v>0</v>
      </c>
      <c r="I46" s="211">
        <f>I43+I44+I45</f>
        <v>205967994.47</v>
      </c>
      <c r="J46" s="212"/>
      <c r="K46" s="213"/>
      <c r="L46" s="43"/>
      <c r="M46" s="127"/>
    </row>
    <row r="47" spans="1:13" ht="63" x14ac:dyDescent="0.25">
      <c r="A47" s="32"/>
      <c r="B47" s="503" t="s">
        <v>266</v>
      </c>
      <c r="C47" s="40"/>
      <c r="D47" s="40"/>
      <c r="E47" s="202"/>
      <c r="F47" s="42"/>
      <c r="G47" s="42"/>
      <c r="H47" s="42"/>
      <c r="I47" s="205">
        <f>П5ВЕД!AA406+П5ВЕД!AA408+П5ВЕД!AA410</f>
        <v>149600</v>
      </c>
      <c r="J47" s="212"/>
      <c r="K47" s="213"/>
      <c r="L47" s="39" t="s">
        <v>15</v>
      </c>
      <c r="M47" s="503" t="s">
        <v>907</v>
      </c>
    </row>
    <row r="48" spans="1:13" ht="47.25" x14ac:dyDescent="0.25">
      <c r="A48" s="32"/>
      <c r="B48" s="504"/>
      <c r="C48" s="40"/>
      <c r="D48" s="40"/>
      <c r="E48" s="132"/>
      <c r="F48" s="42"/>
      <c r="G48" s="42"/>
      <c r="H48" s="42"/>
      <c r="I48" s="205">
        <f>П6ПРОГРАММЫ!AF438</f>
        <v>0</v>
      </c>
      <c r="J48" s="206"/>
      <c r="K48" s="207"/>
      <c r="L48" s="56" t="s">
        <v>520</v>
      </c>
      <c r="M48" s="504"/>
    </row>
    <row r="49" spans="1:13" ht="78.75" x14ac:dyDescent="0.25">
      <c r="A49" s="32"/>
      <c r="B49" s="504"/>
      <c r="C49" s="40"/>
      <c r="D49" s="40"/>
      <c r="E49" s="170"/>
      <c r="F49" s="42"/>
      <c r="G49" s="42"/>
      <c r="H49" s="42"/>
      <c r="I49" s="205">
        <f>П5ВЕД!AA278</f>
        <v>5052162</v>
      </c>
      <c r="J49" s="206"/>
      <c r="K49" s="207"/>
      <c r="L49" s="39" t="s">
        <v>22</v>
      </c>
      <c r="M49" s="504"/>
    </row>
    <row r="50" spans="1:13" ht="47.25" x14ac:dyDescent="0.25">
      <c r="A50" s="32"/>
      <c r="B50" s="505"/>
      <c r="C50" s="45">
        <v>40192</v>
      </c>
      <c r="D50" s="57">
        <v>12</v>
      </c>
      <c r="E50" s="45" t="s">
        <v>187</v>
      </c>
      <c r="F50" s="38">
        <v>100000</v>
      </c>
      <c r="G50" s="38">
        <v>0</v>
      </c>
      <c r="H50" s="38">
        <v>0</v>
      </c>
      <c r="I50" s="205">
        <f>П5ВЕД!AA100+П5ВЕД!AA102+П5ВЕД!AA108+П5ВЕД!AA110+П5ВЕД!AA112+П5ВЕД!AA117+П5ВЕД!AA119+П5ВЕД!AA106+П5ВЕД!AA99+П5ВЕД!AA104</f>
        <v>8890038.5700000003</v>
      </c>
      <c r="J50" s="206"/>
      <c r="K50" s="207"/>
      <c r="L50" s="56" t="s">
        <v>19</v>
      </c>
      <c r="M50" s="504"/>
    </row>
    <row r="51" spans="1:13" x14ac:dyDescent="0.25">
      <c r="A51" s="32">
        <v>13</v>
      </c>
      <c r="B51" s="40" t="s">
        <v>188</v>
      </c>
      <c r="C51" s="40"/>
      <c r="D51" s="40"/>
      <c r="E51" s="49"/>
      <c r="F51" s="42">
        <f>F50</f>
        <v>100000</v>
      </c>
      <c r="G51" s="42">
        <f>G50</f>
        <v>0</v>
      </c>
      <c r="H51" s="42">
        <f>H50</f>
        <v>0</v>
      </c>
      <c r="I51" s="211">
        <f>I47+I50+I49</f>
        <v>14091800.57</v>
      </c>
      <c r="J51" s="212"/>
      <c r="K51" s="213"/>
      <c r="L51" s="43"/>
      <c r="M51" s="131"/>
    </row>
    <row r="52" spans="1:13" ht="47.25" x14ac:dyDescent="0.25">
      <c r="A52" s="32"/>
      <c r="B52" s="33" t="s">
        <v>255</v>
      </c>
      <c r="C52" s="45">
        <v>41108</v>
      </c>
      <c r="D52" s="33">
        <v>814</v>
      </c>
      <c r="E52" s="49" t="s">
        <v>187</v>
      </c>
      <c r="F52" s="38">
        <v>150000</v>
      </c>
      <c r="G52" s="38">
        <v>150000</v>
      </c>
      <c r="H52" s="38">
        <v>150000</v>
      </c>
      <c r="I52" s="205">
        <f>П5ВЕД!AA158+П5ВЕД!AA162+П5ВЕД!AA164+П5ВЕД!AA166+П5ВЕД!AA161</f>
        <v>2226518.98</v>
      </c>
      <c r="J52" s="206"/>
      <c r="K52" s="207"/>
      <c r="L52" s="56" t="s">
        <v>19</v>
      </c>
      <c r="M52" s="512" t="s">
        <v>908</v>
      </c>
    </row>
    <row r="53" spans="1:13" x14ac:dyDescent="0.25">
      <c r="A53" s="32">
        <v>14</v>
      </c>
      <c r="B53" s="40" t="s">
        <v>188</v>
      </c>
      <c r="C53" s="40"/>
      <c r="D53" s="40"/>
      <c r="E53" s="49"/>
      <c r="F53" s="42">
        <f>F52</f>
        <v>150000</v>
      </c>
      <c r="G53" s="42">
        <f>G52</f>
        <v>150000</v>
      </c>
      <c r="H53" s="42">
        <f>H52</f>
        <v>150000</v>
      </c>
      <c r="I53" s="211">
        <f>I52</f>
        <v>2226518.98</v>
      </c>
      <c r="J53" s="212"/>
      <c r="K53" s="213"/>
      <c r="L53" s="58"/>
      <c r="M53" s="513"/>
    </row>
    <row r="54" spans="1:13" x14ac:dyDescent="0.25">
      <c r="A54" s="34"/>
      <c r="B54" s="40" t="s">
        <v>190</v>
      </c>
      <c r="C54" s="40"/>
      <c r="D54" s="40"/>
      <c r="E54" s="41"/>
      <c r="F54" s="42" t="e">
        <f>F12+F14+F18+F25+F27+F29+F31+F33+F38+F42+F46+F51+F53+#REF!+#REF!+#REF!+#REF!+#REF!+#REF!+#REF!+F21+#REF!+#REF!</f>
        <v>#REF!</v>
      </c>
      <c r="G54" s="42" t="e">
        <f>G12+G14+G18+G25+G27+G29+G31+G33+G38+G42+G46+G51+G53+#REF!+#REF!+#REF!+#REF!+#REF!+#REF!+#REF!+G21+#REF!+#REF!</f>
        <v>#REF!</v>
      </c>
      <c r="H54" s="42" t="e">
        <f>H12+H14+H18+H25+H27+H29+H31+H33+H38+H42+H46+H51+H53+#REF!+#REF!+#REF!+#REF!+#REF!+#REF!+#REF!+H21+#REF!+#REF!</f>
        <v>#REF!</v>
      </c>
      <c r="I54" s="211">
        <f>I12+I14+I18+I21+I25+I27+I29+I31+I33+I38+I42+I46+I51+I53</f>
        <v>382010826.36000007</v>
      </c>
      <c r="J54" s="212"/>
      <c r="K54" s="213"/>
      <c r="L54" s="42"/>
      <c r="M54" s="60"/>
    </row>
    <row r="55" spans="1:13" x14ac:dyDescent="0.25">
      <c r="L55" s="29" t="s">
        <v>191</v>
      </c>
    </row>
    <row r="56" spans="1:13" x14ac:dyDescent="0.25">
      <c r="F56" s="61"/>
      <c r="G56" s="61"/>
      <c r="H56" s="61"/>
      <c r="I56" s="61"/>
    </row>
    <row r="57" spans="1:13" x14ac:dyDescent="0.25">
      <c r="I57" s="61"/>
    </row>
    <row r="63" spans="1:13" x14ac:dyDescent="0.25">
      <c r="E63" s="62"/>
      <c r="F63" s="63"/>
      <c r="G63" s="63"/>
      <c r="H63" s="63"/>
      <c r="I63" s="63"/>
      <c r="J63" s="63"/>
      <c r="K63" s="64"/>
      <c r="L63" s="64"/>
    </row>
    <row r="77" spans="1:13" x14ac:dyDescent="0.25">
      <c r="A77" s="63"/>
      <c r="B77" s="65"/>
      <c r="C77" s="65"/>
      <c r="D77" s="65"/>
      <c r="E77" s="62"/>
      <c r="F77" s="63"/>
      <c r="G77" s="63"/>
      <c r="H77" s="63"/>
      <c r="I77" s="63"/>
      <c r="J77" s="63"/>
      <c r="K77" s="64"/>
      <c r="L77" s="64"/>
      <c r="M77" s="66"/>
    </row>
    <row r="78" spans="1:13" x14ac:dyDescent="0.25">
      <c r="A78" s="63"/>
      <c r="B78" s="65"/>
      <c r="C78" s="65"/>
      <c r="D78" s="65"/>
      <c r="E78" s="62"/>
      <c r="F78" s="63"/>
      <c r="G78" s="63"/>
      <c r="H78" s="63"/>
      <c r="I78" s="63"/>
      <c r="J78" s="63"/>
      <c r="K78" s="64"/>
      <c r="L78" s="64"/>
      <c r="M78" s="66"/>
    </row>
    <row r="79" spans="1:13" x14ac:dyDescent="0.25">
      <c r="A79" s="63"/>
      <c r="B79" s="65"/>
      <c r="C79" s="65"/>
      <c r="D79" s="65"/>
      <c r="E79" s="62"/>
      <c r="F79" s="63"/>
      <c r="G79" s="63"/>
      <c r="H79" s="63"/>
      <c r="I79" s="63"/>
      <c r="J79" s="63"/>
      <c r="K79" s="64"/>
      <c r="L79" s="64"/>
      <c r="M79" s="66"/>
    </row>
    <row r="80" spans="1:13" x14ac:dyDescent="0.25">
      <c r="A80" s="63"/>
      <c r="B80" s="65"/>
      <c r="C80" s="65"/>
      <c r="D80" s="65"/>
      <c r="E80" s="62"/>
      <c r="F80" s="63"/>
      <c r="G80" s="63"/>
      <c r="H80" s="63"/>
      <c r="I80" s="63"/>
      <c r="J80" s="63"/>
      <c r="K80" s="64"/>
      <c r="L80" s="64"/>
      <c r="M80" s="66"/>
    </row>
    <row r="81" spans="1:13" x14ac:dyDescent="0.25">
      <c r="A81" s="63"/>
      <c r="B81" s="65"/>
      <c r="C81" s="65"/>
      <c r="D81" s="65"/>
      <c r="E81" s="62"/>
      <c r="F81" s="63"/>
      <c r="G81" s="63"/>
      <c r="H81" s="63"/>
      <c r="I81" s="63"/>
      <c r="J81" s="63"/>
      <c r="K81" s="64"/>
      <c r="L81" s="64"/>
      <c r="M81" s="66"/>
    </row>
    <row r="82" spans="1:13" x14ac:dyDescent="0.25">
      <c r="A82" s="63"/>
      <c r="B82" s="507"/>
      <c r="C82" s="507"/>
      <c r="D82" s="507"/>
      <c r="E82" s="507"/>
      <c r="F82" s="507"/>
      <c r="G82" s="507"/>
      <c r="H82" s="507"/>
      <c r="I82" s="507"/>
      <c r="J82" s="507"/>
      <c r="K82" s="507"/>
      <c r="L82" s="62"/>
      <c r="M82" s="66"/>
    </row>
    <row r="83" spans="1:13" x14ac:dyDescent="0.25">
      <c r="A83" s="63"/>
      <c r="B83" s="65"/>
      <c r="C83" s="65"/>
      <c r="D83" s="65"/>
      <c r="E83" s="62"/>
      <c r="F83" s="63"/>
      <c r="G83" s="63"/>
      <c r="H83" s="63"/>
      <c r="I83" s="63"/>
      <c r="J83" s="63"/>
      <c r="K83" s="64"/>
      <c r="L83" s="64"/>
      <c r="M83" s="66"/>
    </row>
    <row r="84" spans="1:13" x14ac:dyDescent="0.25">
      <c r="A84" s="63"/>
      <c r="B84" s="508"/>
      <c r="C84" s="508"/>
      <c r="D84" s="508"/>
      <c r="E84" s="508"/>
      <c r="F84" s="507"/>
      <c r="G84" s="507"/>
      <c r="H84" s="507"/>
      <c r="I84" s="507"/>
      <c r="J84" s="507"/>
      <c r="K84" s="67"/>
      <c r="L84" s="67"/>
      <c r="M84" s="509"/>
    </row>
    <row r="85" spans="1:13" x14ac:dyDescent="0.25">
      <c r="A85" s="63"/>
      <c r="B85" s="508"/>
      <c r="C85" s="508"/>
      <c r="D85" s="508"/>
      <c r="E85" s="508"/>
      <c r="F85" s="510"/>
      <c r="G85" s="510"/>
      <c r="H85" s="510"/>
      <c r="I85" s="510"/>
      <c r="J85" s="63"/>
      <c r="K85" s="64"/>
      <c r="L85" s="64"/>
      <c r="M85" s="509"/>
    </row>
    <row r="86" spans="1:13" x14ac:dyDescent="0.25">
      <c r="A86" s="63"/>
      <c r="B86" s="508"/>
      <c r="C86" s="508"/>
      <c r="D86" s="508"/>
      <c r="E86" s="508"/>
      <c r="F86" s="63"/>
      <c r="G86" s="63"/>
      <c r="H86" s="63"/>
      <c r="I86" s="63"/>
      <c r="J86" s="63"/>
      <c r="K86" s="64"/>
      <c r="L86" s="64"/>
      <c r="M86" s="509"/>
    </row>
    <row r="87" spans="1:13" x14ac:dyDescent="0.25">
      <c r="A87" s="63"/>
      <c r="B87" s="508"/>
      <c r="C87" s="508"/>
      <c r="D87" s="508"/>
      <c r="E87" s="508"/>
      <c r="F87" s="68"/>
      <c r="G87" s="68"/>
      <c r="H87" s="68"/>
      <c r="I87" s="64"/>
      <c r="J87" s="68"/>
      <c r="K87" s="64"/>
      <c r="L87" s="64"/>
      <c r="M87" s="511"/>
    </row>
    <row r="88" spans="1:13" x14ac:dyDescent="0.25">
      <c r="A88" s="63"/>
      <c r="B88" s="508"/>
      <c r="C88" s="508"/>
      <c r="D88" s="508"/>
      <c r="E88" s="508"/>
      <c r="F88" s="68"/>
      <c r="G88" s="68"/>
      <c r="H88" s="68"/>
      <c r="I88" s="64"/>
      <c r="J88" s="68"/>
      <c r="K88" s="64"/>
      <c r="L88" s="64"/>
      <c r="M88" s="511"/>
    </row>
    <row r="89" spans="1:13" x14ac:dyDescent="0.25">
      <c r="A89" s="63"/>
      <c r="B89" s="508"/>
      <c r="C89" s="508"/>
      <c r="D89" s="508"/>
      <c r="E89" s="508"/>
      <c r="F89" s="68"/>
      <c r="G89" s="68"/>
      <c r="H89" s="68"/>
      <c r="I89" s="64"/>
      <c r="J89" s="68"/>
      <c r="K89" s="64"/>
      <c r="L89" s="64"/>
      <c r="M89" s="511"/>
    </row>
    <row r="90" spans="1:13" x14ac:dyDescent="0.25">
      <c r="A90" s="63"/>
      <c r="B90" s="508"/>
      <c r="C90" s="508"/>
      <c r="D90" s="508"/>
      <c r="E90" s="508"/>
      <c r="F90" s="68"/>
      <c r="G90" s="68"/>
      <c r="H90" s="68"/>
      <c r="I90" s="64"/>
      <c r="J90" s="68"/>
      <c r="K90" s="64"/>
      <c r="L90" s="64"/>
      <c r="M90" s="511"/>
    </row>
    <row r="91" spans="1:13" x14ac:dyDescent="0.25">
      <c r="A91" s="63"/>
      <c r="B91" s="508"/>
      <c r="C91" s="508"/>
      <c r="D91" s="508"/>
      <c r="E91" s="508"/>
      <c r="F91" s="68"/>
      <c r="G91" s="68"/>
      <c r="H91" s="68"/>
      <c r="I91" s="64"/>
      <c r="J91" s="68"/>
      <c r="K91" s="64"/>
      <c r="L91" s="64"/>
      <c r="M91" s="511"/>
    </row>
    <row r="92" spans="1:13" x14ac:dyDescent="0.25">
      <c r="A92" s="63"/>
      <c r="B92" s="508"/>
      <c r="C92" s="508"/>
      <c r="D92" s="508"/>
      <c r="E92" s="508"/>
      <c r="F92" s="68"/>
      <c r="G92" s="68"/>
      <c r="H92" s="68"/>
      <c r="I92" s="64"/>
      <c r="J92" s="68"/>
      <c r="K92" s="64"/>
      <c r="L92" s="64"/>
      <c r="M92" s="511"/>
    </row>
    <row r="93" spans="1:13" x14ac:dyDescent="0.25">
      <c r="A93" s="63"/>
      <c r="B93" s="506"/>
      <c r="C93" s="506"/>
      <c r="D93" s="506"/>
      <c r="E93" s="506"/>
      <c r="F93" s="69"/>
      <c r="G93" s="69"/>
      <c r="H93" s="69"/>
      <c r="I93" s="70"/>
      <c r="J93" s="69"/>
      <c r="K93" s="70"/>
      <c r="L93" s="70"/>
      <c r="M93" s="71"/>
    </row>
  </sheetData>
  <mergeCells count="56">
    <mergeCell ref="A8:A10"/>
    <mergeCell ref="B8:B10"/>
    <mergeCell ref="C8:E8"/>
    <mergeCell ref="F8:K8"/>
    <mergeCell ref="L8:M8"/>
    <mergeCell ref="C9:C10"/>
    <mergeCell ref="D9:D10"/>
    <mergeCell ref="E9:E10"/>
    <mergeCell ref="F9:H9"/>
    <mergeCell ref="I9:K9"/>
    <mergeCell ref="L9:L10"/>
    <mergeCell ref="M9:M10"/>
    <mergeCell ref="K1:M1"/>
    <mergeCell ref="K2:M2"/>
    <mergeCell ref="K3:M3"/>
    <mergeCell ref="K4:M4"/>
    <mergeCell ref="A6:M6"/>
    <mergeCell ref="M11:M12"/>
    <mergeCell ref="A34:A37"/>
    <mergeCell ref="B34:B37"/>
    <mergeCell ref="C34:C37"/>
    <mergeCell ref="D34:D37"/>
    <mergeCell ref="E34:E37"/>
    <mergeCell ref="B19:B20"/>
    <mergeCell ref="A19:A20"/>
    <mergeCell ref="M19:M21"/>
    <mergeCell ref="B22:B24"/>
    <mergeCell ref="B15:B17"/>
    <mergeCell ref="M22:M25"/>
    <mergeCell ref="M15:M17"/>
    <mergeCell ref="M13:M14"/>
    <mergeCell ref="M26:M27"/>
    <mergeCell ref="M52:M53"/>
    <mergeCell ref="M28:M29"/>
    <mergeCell ref="M30:M31"/>
    <mergeCell ref="M32:M33"/>
    <mergeCell ref="M39:M41"/>
    <mergeCell ref="M34:M37"/>
    <mergeCell ref="B93:E93"/>
    <mergeCell ref="B82:K82"/>
    <mergeCell ref="B84:E86"/>
    <mergeCell ref="F84:J84"/>
    <mergeCell ref="M84:M86"/>
    <mergeCell ref="F85:I85"/>
    <mergeCell ref="B87:E87"/>
    <mergeCell ref="M87:M92"/>
    <mergeCell ref="B88:E88"/>
    <mergeCell ref="B89:E89"/>
    <mergeCell ref="B90:E90"/>
    <mergeCell ref="B91:E91"/>
    <mergeCell ref="B92:E92"/>
    <mergeCell ref="B39:B41"/>
    <mergeCell ref="B47:B50"/>
    <mergeCell ref="M47:M50"/>
    <mergeCell ref="B43:B45"/>
    <mergeCell ref="M43:M45"/>
  </mergeCells>
  <pageMargins left="0.70866141732283472" right="0.70866141732283472" top="0.74803149606299213" bottom="0.74803149606299213" header="0.31496062992125984" footer="0.31496062992125984"/>
  <pageSetup paperSize="9" scale="7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F65"/>
  <sheetViews>
    <sheetView workbookViewId="0">
      <selection activeCell="I12" sqref="I12"/>
    </sheetView>
  </sheetViews>
  <sheetFormatPr defaultRowHeight="15" x14ac:dyDescent="0.25"/>
  <cols>
    <col min="1" max="2" width="5.7109375" style="105" customWidth="1"/>
    <col min="3" max="3" width="62.7109375" style="106" customWidth="1"/>
    <col min="4" max="4" width="28" style="92" customWidth="1"/>
    <col min="5" max="5" width="14.42578125" hidden="1" customWidth="1"/>
    <col min="6" max="6" width="0.5703125" hidden="1"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89" customFormat="1" ht="15.75" x14ac:dyDescent="0.25">
      <c r="A1" s="1"/>
      <c r="B1" s="1"/>
      <c r="C1" s="533" t="s">
        <v>1148</v>
      </c>
      <c r="D1" s="533"/>
      <c r="E1" s="533"/>
      <c r="F1" s="533"/>
    </row>
    <row r="2" spans="1:6" s="89" customFormat="1" ht="15.75" customHeight="1" x14ac:dyDescent="0.25">
      <c r="A2" s="1"/>
      <c r="B2" s="1"/>
      <c r="C2" s="533" t="s">
        <v>236</v>
      </c>
      <c r="D2" s="533"/>
      <c r="E2" s="533"/>
      <c r="F2" s="533"/>
    </row>
    <row r="3" spans="1:6" s="89" customFormat="1" ht="15.75" x14ac:dyDescent="0.25">
      <c r="A3" s="1"/>
      <c r="B3" s="1"/>
      <c r="C3" s="533" t="s">
        <v>237</v>
      </c>
      <c r="D3" s="533"/>
      <c r="E3" s="533"/>
      <c r="F3" s="533"/>
    </row>
    <row r="4" spans="1:6" s="89" customFormat="1" ht="15.75" x14ac:dyDescent="0.25">
      <c r="A4" s="1"/>
      <c r="B4" s="1"/>
      <c r="C4" s="533" t="s">
        <v>1257</v>
      </c>
      <c r="D4" s="533"/>
      <c r="E4" s="533"/>
      <c r="F4" s="533"/>
    </row>
    <row r="5" spans="1:6" s="89" customFormat="1" ht="15.75" x14ac:dyDescent="0.25">
      <c r="A5" s="1"/>
      <c r="B5" s="1"/>
      <c r="C5" s="91"/>
      <c r="D5" s="31"/>
    </row>
    <row r="6" spans="1:6" ht="15.75" x14ac:dyDescent="0.25">
      <c r="A6" s="1"/>
      <c r="B6" s="1"/>
      <c r="C6" s="91"/>
      <c r="D6" s="31"/>
    </row>
    <row r="7" spans="1:6" ht="33.75" customHeight="1" x14ac:dyDescent="0.25">
      <c r="A7" s="465" t="s">
        <v>788</v>
      </c>
      <c r="B7" s="465"/>
      <c r="C7" s="465"/>
      <c r="D7" s="465"/>
      <c r="E7" s="465"/>
      <c r="F7" s="465"/>
    </row>
    <row r="8" spans="1:6" ht="15.75" x14ac:dyDescent="0.25">
      <c r="A8" s="1"/>
      <c r="B8" s="1"/>
      <c r="C8" s="22"/>
      <c r="F8" s="31" t="s">
        <v>176</v>
      </c>
    </row>
    <row r="9" spans="1:6" ht="15.75" x14ac:dyDescent="0.25">
      <c r="A9" s="466" t="s">
        <v>125</v>
      </c>
      <c r="B9" s="466" t="s">
        <v>126</v>
      </c>
      <c r="C9" s="468" t="s">
        <v>1</v>
      </c>
      <c r="D9" s="472" t="s">
        <v>238</v>
      </c>
      <c r="E9" s="531"/>
      <c r="F9" s="473"/>
    </row>
    <row r="10" spans="1:6" ht="16.5" x14ac:dyDescent="0.3">
      <c r="A10" s="467"/>
      <c r="B10" s="467"/>
      <c r="C10" s="469"/>
      <c r="D10" s="59">
        <v>2016</v>
      </c>
      <c r="E10" s="93">
        <v>2016</v>
      </c>
      <c r="F10" s="93">
        <v>2017</v>
      </c>
    </row>
    <row r="11" spans="1:6" ht="15.75" x14ac:dyDescent="0.25">
      <c r="A11" s="94" t="s">
        <v>113</v>
      </c>
      <c r="B11" s="94" t="s">
        <v>124</v>
      </c>
      <c r="C11" s="40" t="s">
        <v>102</v>
      </c>
      <c r="D11" s="42">
        <f>D12+D13+D14+D15+D16+D17+D18+D19</f>
        <v>76749480.340000004</v>
      </c>
      <c r="E11" s="42">
        <f>E12+E13+E14+E15+E16+E17+E18+E19</f>
        <v>32426966.880000003</v>
      </c>
      <c r="F11" s="42">
        <f>F12+F13+F14+F15+F16+F17+F18+F19</f>
        <v>32644702.739999998</v>
      </c>
    </row>
    <row r="12" spans="1:6" ht="31.5" x14ac:dyDescent="0.25">
      <c r="A12" s="95" t="s">
        <v>113</v>
      </c>
      <c r="B12" s="95" t="s">
        <v>123</v>
      </c>
      <c r="C12" s="33" t="s">
        <v>239</v>
      </c>
      <c r="D12" s="38">
        <f>П5ВЕД!AA12</f>
        <v>1494696</v>
      </c>
      <c r="E12" s="38">
        <v>1481106</v>
      </c>
      <c r="F12" s="38">
        <v>1481106</v>
      </c>
    </row>
    <row r="13" spans="1:6" ht="47.25" x14ac:dyDescent="0.25">
      <c r="A13" s="95" t="s">
        <v>113</v>
      </c>
      <c r="B13" s="95" t="s">
        <v>114</v>
      </c>
      <c r="C13" s="33" t="s">
        <v>240</v>
      </c>
      <c r="D13" s="38">
        <f>П5ВЕД!AA15</f>
        <v>2838921.7199999997</v>
      </c>
      <c r="E13" s="38">
        <v>2385047.62</v>
      </c>
      <c r="F13" s="38">
        <v>2398369.13</v>
      </c>
    </row>
    <row r="14" spans="1:6" ht="47.25" x14ac:dyDescent="0.25">
      <c r="A14" s="95" t="s">
        <v>113</v>
      </c>
      <c r="B14" s="95" t="s">
        <v>127</v>
      </c>
      <c r="C14" s="33" t="s">
        <v>241</v>
      </c>
      <c r="D14" s="38">
        <f>П5ВЕД!AA22+П5ВЕД!AA268</f>
        <v>28956203.439999998</v>
      </c>
      <c r="E14" s="38">
        <v>28206494.16</v>
      </c>
      <c r="F14" s="38">
        <v>28420913.390000001</v>
      </c>
    </row>
    <row r="15" spans="1:6" ht="15.75" x14ac:dyDescent="0.25">
      <c r="A15" s="95" t="s">
        <v>113</v>
      </c>
      <c r="B15" s="95" t="s">
        <v>115</v>
      </c>
      <c r="C15" s="18" t="s">
        <v>128</v>
      </c>
      <c r="D15" s="38">
        <f>П5ВЕД!AA32</f>
        <v>24186.27</v>
      </c>
      <c r="E15" s="38">
        <v>24200</v>
      </c>
      <c r="F15" s="38">
        <v>0</v>
      </c>
    </row>
    <row r="16" spans="1:6" ht="47.25" x14ac:dyDescent="0.25">
      <c r="A16" s="95" t="s">
        <v>113</v>
      </c>
      <c r="B16" s="95" t="s">
        <v>116</v>
      </c>
      <c r="C16" s="33" t="s">
        <v>242</v>
      </c>
      <c r="D16" s="38">
        <f>П5ВЕД!AA35+П5ВЕД!AA257</f>
        <v>11651794.35</v>
      </c>
      <c r="E16" s="38">
        <f>П5ВЕД!AB35+П5ВЕД!AB257</f>
        <v>0</v>
      </c>
      <c r="F16" s="38">
        <f>П5ВЕД!AC35+П5ВЕД!AC257</f>
        <v>0</v>
      </c>
    </row>
    <row r="17" spans="1:6" ht="15.75" x14ac:dyDescent="0.25">
      <c r="A17" s="95" t="s">
        <v>113</v>
      </c>
      <c r="B17" s="95" t="s">
        <v>129</v>
      </c>
      <c r="C17" s="33" t="s">
        <v>130</v>
      </c>
      <c r="D17" s="38">
        <v>0</v>
      </c>
      <c r="E17" s="38">
        <f>[1]П_6!J32</f>
        <v>0</v>
      </c>
      <c r="F17" s="38">
        <f>[1]П_6!K32</f>
        <v>0</v>
      </c>
    </row>
    <row r="18" spans="1:6" ht="15.75" x14ac:dyDescent="0.25">
      <c r="A18" s="95" t="s">
        <v>113</v>
      </c>
      <c r="B18" s="95" t="s">
        <v>119</v>
      </c>
      <c r="C18" s="33" t="s">
        <v>131</v>
      </c>
      <c r="D18" s="38">
        <f>П5ВЕД!AA39</f>
        <v>334218</v>
      </c>
      <c r="E18" s="38">
        <v>330119.09999999998</v>
      </c>
      <c r="F18" s="38">
        <v>344314.22</v>
      </c>
    </row>
    <row r="19" spans="1:6" ht="15.75" x14ac:dyDescent="0.25">
      <c r="A19" s="95" t="s">
        <v>113</v>
      </c>
      <c r="B19" s="95" t="s">
        <v>121</v>
      </c>
      <c r="C19" s="33" t="s">
        <v>132</v>
      </c>
      <c r="D19" s="38">
        <f>П5ВЕД!AA41+П5ВЕД!AA460+П5ВЕД!AA266</f>
        <v>31449460.560000002</v>
      </c>
      <c r="E19" s="38">
        <f>П5ВЕД!AB41+П5ВЕД!AB460</f>
        <v>0</v>
      </c>
      <c r="F19" s="38">
        <f>П5ВЕД!AC41+П5ВЕД!AC460</f>
        <v>0</v>
      </c>
    </row>
    <row r="20" spans="1:6" ht="31.5" x14ac:dyDescent="0.25">
      <c r="A20" s="94" t="s">
        <v>114</v>
      </c>
      <c r="B20" s="94" t="s">
        <v>124</v>
      </c>
      <c r="C20" s="40" t="s">
        <v>103</v>
      </c>
      <c r="D20" s="42">
        <f>D22+D25</f>
        <v>3377249.99</v>
      </c>
      <c r="E20" s="42">
        <f>E22</f>
        <v>0</v>
      </c>
      <c r="F20" s="42">
        <f>F22</f>
        <v>0</v>
      </c>
    </row>
    <row r="21" spans="1:6" ht="15.75" x14ac:dyDescent="0.25">
      <c r="A21" s="95" t="s">
        <v>114</v>
      </c>
      <c r="B21" s="95" t="s">
        <v>123</v>
      </c>
      <c r="C21" s="33" t="s">
        <v>133</v>
      </c>
      <c r="D21" s="38">
        <v>0</v>
      </c>
      <c r="E21" s="38">
        <v>0</v>
      </c>
      <c r="F21" s="38">
        <v>0</v>
      </c>
    </row>
    <row r="22" spans="1:6" ht="31.5" x14ac:dyDescent="0.25">
      <c r="A22" s="95" t="s">
        <v>114</v>
      </c>
      <c r="B22" s="95" t="s">
        <v>118</v>
      </c>
      <c r="C22" s="33" t="s">
        <v>243</v>
      </c>
      <c r="D22" s="38">
        <f>П5ВЕД!AA62+П5ВЕД!AA470</f>
        <v>3375249.99</v>
      </c>
      <c r="E22" s="38">
        <f>П5ВЕД!AB470+П5ВЕД!AB62</f>
        <v>0</v>
      </c>
      <c r="F22" s="38">
        <f>П5ВЕД!AC470+П5ВЕД!AC62</f>
        <v>0</v>
      </c>
    </row>
    <row r="23" spans="1:6" ht="15.75" x14ac:dyDescent="0.25">
      <c r="A23" s="95" t="s">
        <v>114</v>
      </c>
      <c r="B23" s="95" t="s">
        <v>134</v>
      </c>
      <c r="C23" s="33" t="s">
        <v>135</v>
      </c>
      <c r="D23" s="38">
        <v>0</v>
      </c>
      <c r="E23" s="96">
        <v>0</v>
      </c>
      <c r="F23" s="96">
        <v>0</v>
      </c>
    </row>
    <row r="24" spans="1:6" ht="31.5" x14ac:dyDescent="0.25">
      <c r="A24" s="95" t="s">
        <v>114</v>
      </c>
      <c r="B24" s="95" t="s">
        <v>122</v>
      </c>
      <c r="C24" s="33" t="s">
        <v>136</v>
      </c>
      <c r="D24" s="38">
        <v>0</v>
      </c>
      <c r="E24" s="96">
        <v>0</v>
      </c>
      <c r="F24" s="96">
        <v>0</v>
      </c>
    </row>
    <row r="25" spans="1:6" ht="15.75" x14ac:dyDescent="0.25">
      <c r="A25" s="95" t="s">
        <v>114</v>
      </c>
      <c r="B25" s="95" t="s">
        <v>134</v>
      </c>
      <c r="C25" s="33" t="s">
        <v>135</v>
      </c>
      <c r="D25" s="38">
        <f>П5ВЕД!AA69</f>
        <v>2000</v>
      </c>
      <c r="E25" s="96">
        <v>0</v>
      </c>
      <c r="F25" s="96">
        <v>0</v>
      </c>
    </row>
    <row r="26" spans="1:6" ht="15.75" x14ac:dyDescent="0.25">
      <c r="A26" s="94" t="s">
        <v>127</v>
      </c>
      <c r="B26" s="94" t="s">
        <v>124</v>
      </c>
      <c r="C26" s="40" t="s">
        <v>104</v>
      </c>
      <c r="D26" s="42">
        <f>D27+D28+D29+D30+D31+D32</f>
        <v>26789101.57</v>
      </c>
      <c r="E26" s="42">
        <f>E27+E28+E29+E30+E31+E32</f>
        <v>7657449.6799999997</v>
      </c>
      <c r="F26" s="42">
        <f>F27+F28+F29+F30+F31+F32</f>
        <v>7657449.6799999997</v>
      </c>
    </row>
    <row r="27" spans="1:6" ht="15.75" x14ac:dyDescent="0.25">
      <c r="A27" s="95" t="s">
        <v>127</v>
      </c>
      <c r="B27" s="95" t="s">
        <v>113</v>
      </c>
      <c r="C27" s="33" t="s">
        <v>137</v>
      </c>
      <c r="D27" s="38">
        <v>0</v>
      </c>
      <c r="E27" s="38">
        <v>0</v>
      </c>
      <c r="F27" s="38">
        <v>0</v>
      </c>
    </row>
    <row r="28" spans="1:6" ht="15.75" x14ac:dyDescent="0.25">
      <c r="A28" s="95" t="s">
        <v>127</v>
      </c>
      <c r="B28" s="95" t="s">
        <v>115</v>
      </c>
      <c r="C28" s="33" t="s">
        <v>138</v>
      </c>
      <c r="D28" s="38">
        <f>П5ВЕД!AA73</f>
        <v>248800</v>
      </c>
      <c r="E28" s="38">
        <v>636200</v>
      </c>
      <c r="F28" s="38">
        <v>636200</v>
      </c>
    </row>
    <row r="29" spans="1:6" ht="15.75" x14ac:dyDescent="0.25">
      <c r="A29" s="95" t="s">
        <v>127</v>
      </c>
      <c r="B29" s="95" t="s">
        <v>116</v>
      </c>
      <c r="C29" s="97" t="s">
        <v>244</v>
      </c>
      <c r="D29" s="38">
        <f>П5ВЕД!AA92</f>
        <v>530000</v>
      </c>
      <c r="E29" s="38">
        <v>200000</v>
      </c>
      <c r="F29" s="38">
        <v>200000</v>
      </c>
    </row>
    <row r="30" spans="1:6" ht="15.75" x14ac:dyDescent="0.25">
      <c r="A30" s="95" t="s">
        <v>127</v>
      </c>
      <c r="B30" s="95" t="s">
        <v>117</v>
      </c>
      <c r="C30" s="33" t="s">
        <v>139</v>
      </c>
      <c r="D30" s="38">
        <f>П5ВЕД!AA97</f>
        <v>5399265.6500000004</v>
      </c>
      <c r="E30" s="38">
        <v>3166587.68</v>
      </c>
      <c r="F30" s="38">
        <v>3166587.68</v>
      </c>
    </row>
    <row r="31" spans="1:6" ht="15.75" x14ac:dyDescent="0.25">
      <c r="A31" s="95" t="s">
        <v>127</v>
      </c>
      <c r="B31" s="95" t="s">
        <v>118</v>
      </c>
      <c r="C31" s="33" t="s">
        <v>519</v>
      </c>
      <c r="D31" s="38">
        <f>П5ВЕД!AA114+П5ВЕД!AA272</f>
        <v>20428035.920000002</v>
      </c>
      <c r="E31" s="38">
        <v>3404662</v>
      </c>
      <c r="F31" s="38">
        <v>3404662</v>
      </c>
    </row>
    <row r="32" spans="1:6" ht="15.75" x14ac:dyDescent="0.25">
      <c r="A32" s="95" t="s">
        <v>127</v>
      </c>
      <c r="B32" s="95" t="s">
        <v>120</v>
      </c>
      <c r="C32" s="33" t="s">
        <v>140</v>
      </c>
      <c r="D32" s="38">
        <f>П5ВЕД!AA121</f>
        <v>183000</v>
      </c>
      <c r="E32" s="38">
        <v>250000</v>
      </c>
      <c r="F32" s="38">
        <v>250000</v>
      </c>
    </row>
    <row r="33" spans="1:6" ht="15.75" x14ac:dyDescent="0.25">
      <c r="A33" s="94" t="s">
        <v>115</v>
      </c>
      <c r="B33" s="94" t="s">
        <v>124</v>
      </c>
      <c r="C33" s="40" t="s">
        <v>105</v>
      </c>
      <c r="D33" s="98">
        <f>D34+D35+D36+D37</f>
        <v>301580163.18000001</v>
      </c>
      <c r="E33" s="98">
        <f>E34+E35+E36+E37</f>
        <v>106486170</v>
      </c>
      <c r="F33" s="98">
        <f>F34+F35+F36+F37</f>
        <v>111838000</v>
      </c>
    </row>
    <row r="34" spans="1:6" ht="15.75" x14ac:dyDescent="0.25">
      <c r="A34" s="95" t="s">
        <v>115</v>
      </c>
      <c r="B34" s="95" t="s">
        <v>113</v>
      </c>
      <c r="C34" s="33" t="s">
        <v>141</v>
      </c>
      <c r="D34" s="38">
        <f>П5ВЕД!AA133</f>
        <v>188341055.84999999</v>
      </c>
      <c r="E34" s="38">
        <v>3500000</v>
      </c>
      <c r="F34" s="38">
        <v>4000000</v>
      </c>
    </row>
    <row r="35" spans="1:6" ht="15.75" x14ac:dyDescent="0.25">
      <c r="A35" s="95" t="s">
        <v>115</v>
      </c>
      <c r="B35" s="95" t="s">
        <v>123</v>
      </c>
      <c r="C35" s="33" t="s">
        <v>142</v>
      </c>
      <c r="D35" s="38">
        <f>П5ВЕД!AA142+П5ВЕД!AA283</f>
        <v>109554139.14</v>
      </c>
      <c r="E35" s="38">
        <v>102206170</v>
      </c>
      <c r="F35" s="38">
        <v>107058000</v>
      </c>
    </row>
    <row r="36" spans="1:6" ht="15.75" x14ac:dyDescent="0.25">
      <c r="A36" s="95" t="s">
        <v>115</v>
      </c>
      <c r="B36" s="95" t="s">
        <v>114</v>
      </c>
      <c r="C36" s="97" t="s">
        <v>143</v>
      </c>
      <c r="D36" s="38">
        <f>П5ВЕД!AA151+П5ВЕД!AA298+П5ВЕД!AA310</f>
        <v>3684968.19</v>
      </c>
      <c r="E36" s="38">
        <v>780000</v>
      </c>
      <c r="F36" s="38">
        <v>780000</v>
      </c>
    </row>
    <row r="37" spans="1:6" ht="15.75" x14ac:dyDescent="0.25">
      <c r="A37" s="95" t="s">
        <v>115</v>
      </c>
      <c r="B37" s="95" t="s">
        <v>115</v>
      </c>
      <c r="C37" s="33" t="s">
        <v>144</v>
      </c>
      <c r="D37" s="38"/>
      <c r="E37" s="99"/>
      <c r="F37" s="99"/>
    </row>
    <row r="38" spans="1:6" ht="15.75" x14ac:dyDescent="0.25">
      <c r="A38" s="94" t="s">
        <v>116</v>
      </c>
      <c r="B38" s="94" t="s">
        <v>124</v>
      </c>
      <c r="C38" s="40" t="s">
        <v>106</v>
      </c>
      <c r="D38" s="42">
        <f>D39</f>
        <v>0</v>
      </c>
      <c r="E38" s="42">
        <f>E39</f>
        <v>0</v>
      </c>
      <c r="F38" s="42">
        <f>F39</f>
        <v>0</v>
      </c>
    </row>
    <row r="39" spans="1:6" ht="15.75" x14ac:dyDescent="0.25">
      <c r="A39" s="95" t="s">
        <v>116</v>
      </c>
      <c r="B39" s="95" t="s">
        <v>123</v>
      </c>
      <c r="C39" s="97" t="s">
        <v>145</v>
      </c>
      <c r="D39" s="38"/>
      <c r="E39" s="99"/>
      <c r="F39" s="99"/>
    </row>
    <row r="40" spans="1:6" ht="15.75" x14ac:dyDescent="0.25">
      <c r="A40" s="94" t="s">
        <v>129</v>
      </c>
      <c r="B40" s="94" t="s">
        <v>124</v>
      </c>
      <c r="C40" s="40" t="s">
        <v>107</v>
      </c>
      <c r="D40" s="42">
        <f>D41+D42+D43+D44</f>
        <v>416271908.89999998</v>
      </c>
      <c r="E40" s="42" t="e">
        <f>E41+E42+E43+E44</f>
        <v>#REF!</v>
      </c>
      <c r="F40" s="42" t="e">
        <f>F41+F42+F43+F44</f>
        <v>#REF!</v>
      </c>
    </row>
    <row r="41" spans="1:6" ht="15.75" x14ac:dyDescent="0.25">
      <c r="A41" s="95" t="s">
        <v>129</v>
      </c>
      <c r="B41" s="95" t="s">
        <v>113</v>
      </c>
      <c r="C41" s="33" t="s">
        <v>146</v>
      </c>
      <c r="D41" s="38">
        <f>П5ВЕД!AA367</f>
        <v>111099150.61999999</v>
      </c>
      <c r="E41" s="38" t="e">
        <f>П5ВЕД!AB367+П5ВЕД!#REF!</f>
        <v>#REF!</v>
      </c>
      <c r="F41" s="38" t="e">
        <f>П5ВЕД!AC367+П5ВЕД!#REF!</f>
        <v>#REF!</v>
      </c>
    </row>
    <row r="42" spans="1:6" ht="15.75" x14ac:dyDescent="0.25">
      <c r="A42" s="95" t="s">
        <v>129</v>
      </c>
      <c r="B42" s="95" t="s">
        <v>123</v>
      </c>
      <c r="C42" s="33" t="s">
        <v>147</v>
      </c>
      <c r="D42" s="38">
        <f>П5ВЕД!AA169+П5ВЕД!AA382+П5ВЕД!AA474</f>
        <v>275992149.12</v>
      </c>
      <c r="E42" s="38">
        <f>П5ВЕД!AB169+П5ВЕД!AB382+П5ВЕД!AB473</f>
        <v>0</v>
      </c>
      <c r="F42" s="38">
        <f>П5ВЕД!AC169+П5ВЕД!AC382+П5ВЕД!AC473</f>
        <v>0</v>
      </c>
    </row>
    <row r="43" spans="1:6" ht="15.75" x14ac:dyDescent="0.25">
      <c r="A43" s="95" t="s">
        <v>129</v>
      </c>
      <c r="B43" s="95" t="s">
        <v>129</v>
      </c>
      <c r="C43" s="33" t="s">
        <v>148</v>
      </c>
      <c r="D43" s="38">
        <f>П5ВЕД!AA416+П5ВЕД!AA172</f>
        <v>4511074.4000000004</v>
      </c>
      <c r="E43" s="38">
        <f>П5ВЕД!AB172+П5ВЕД!AB416</f>
        <v>0</v>
      </c>
      <c r="F43" s="38">
        <f>П5ВЕД!AC172+П5ВЕД!AC416</f>
        <v>0</v>
      </c>
    </row>
    <row r="44" spans="1:6" ht="15.75" x14ac:dyDescent="0.25">
      <c r="A44" s="95" t="s">
        <v>129</v>
      </c>
      <c r="B44" s="95" t="s">
        <v>118</v>
      </c>
      <c r="C44" s="33" t="s">
        <v>149</v>
      </c>
      <c r="D44" s="38">
        <f>П5ВЕД!AA183+П5ВЕД!AA425</f>
        <v>24669534.760000005</v>
      </c>
      <c r="E44" s="38">
        <f>П5ВЕД!AB183+П5ВЕД!AB425</f>
        <v>0</v>
      </c>
      <c r="F44" s="38">
        <f>П5ВЕД!AC183+П5ВЕД!AC425</f>
        <v>0</v>
      </c>
    </row>
    <row r="45" spans="1:6" ht="15.75" x14ac:dyDescent="0.25">
      <c r="A45" s="94" t="s">
        <v>117</v>
      </c>
      <c r="B45" s="94" t="s">
        <v>124</v>
      </c>
      <c r="C45" s="40" t="s">
        <v>245</v>
      </c>
      <c r="D45" s="42">
        <f>D46</f>
        <v>13680292.65</v>
      </c>
      <c r="E45" s="42">
        <f>E46</f>
        <v>0</v>
      </c>
      <c r="F45" s="42">
        <f>F46</f>
        <v>0</v>
      </c>
    </row>
    <row r="46" spans="1:6" ht="15.75" x14ac:dyDescent="0.25">
      <c r="A46" s="95" t="s">
        <v>117</v>
      </c>
      <c r="B46" s="95" t="s">
        <v>113</v>
      </c>
      <c r="C46" s="33" t="s">
        <v>150</v>
      </c>
      <c r="D46" s="38">
        <f>П5ВЕД!AA188+П5ВЕД!AA477+П5ВЕД!AA322</f>
        <v>13680292.65</v>
      </c>
      <c r="E46" s="38">
        <f>П5ВЕД!AB187+П5ВЕД!AB476</f>
        <v>0</v>
      </c>
      <c r="F46" s="38">
        <f>П5ВЕД!AC187+П5ВЕД!AC476</f>
        <v>0</v>
      </c>
    </row>
    <row r="47" spans="1:6" ht="15.75" x14ac:dyDescent="0.25">
      <c r="A47" s="94" t="s">
        <v>118</v>
      </c>
      <c r="B47" s="94" t="s">
        <v>124</v>
      </c>
      <c r="C47" s="40" t="s">
        <v>108</v>
      </c>
      <c r="D47" s="42">
        <f>D49+D48</f>
        <v>573397.05000000005</v>
      </c>
      <c r="E47" s="42">
        <f>E49+E48</f>
        <v>573400</v>
      </c>
      <c r="F47" s="42">
        <f>F49+F48</f>
        <v>573400</v>
      </c>
    </row>
    <row r="48" spans="1:6" s="16" customFormat="1" ht="15.75" x14ac:dyDescent="0.25">
      <c r="A48" s="95" t="s">
        <v>118</v>
      </c>
      <c r="B48" s="95" t="s">
        <v>129</v>
      </c>
      <c r="C48" s="33" t="s">
        <v>151</v>
      </c>
      <c r="D48" s="38">
        <v>0</v>
      </c>
      <c r="E48" s="38">
        <v>0</v>
      </c>
      <c r="F48" s="38">
        <v>0</v>
      </c>
    </row>
    <row r="49" spans="1:6" ht="15.75" x14ac:dyDescent="0.25">
      <c r="A49" s="100" t="s">
        <v>118</v>
      </c>
      <c r="B49" s="100" t="s">
        <v>118</v>
      </c>
      <c r="C49" s="18" t="s">
        <v>152</v>
      </c>
      <c r="D49" s="38">
        <f>П5ВЕД!AA199</f>
        <v>573397.05000000005</v>
      </c>
      <c r="E49" s="38">
        <f>[1]П_6!J159</f>
        <v>573400</v>
      </c>
      <c r="F49" s="38">
        <f>[1]П_6!K159</f>
        <v>573400</v>
      </c>
    </row>
    <row r="50" spans="1:6" ht="15.75" x14ac:dyDescent="0.25">
      <c r="A50" s="101" t="s">
        <v>134</v>
      </c>
      <c r="B50" s="101" t="s">
        <v>124</v>
      </c>
      <c r="C50" s="102" t="s">
        <v>109</v>
      </c>
      <c r="D50" s="42">
        <f>D51+D52+D53</f>
        <v>39714816.119999997</v>
      </c>
      <c r="E50" s="42">
        <f>E51+E52+E53</f>
        <v>0</v>
      </c>
      <c r="F50" s="42">
        <f>F51+F52+F53</f>
        <v>0</v>
      </c>
    </row>
    <row r="51" spans="1:6" ht="15.75" x14ac:dyDescent="0.25">
      <c r="A51" s="100" t="s">
        <v>134</v>
      </c>
      <c r="B51" s="100" t="s">
        <v>113</v>
      </c>
      <c r="C51" s="18" t="s">
        <v>153</v>
      </c>
      <c r="D51" s="38">
        <f>П5ВЕД!AA205+П5ВЕД!AA437</f>
        <v>1884025.98</v>
      </c>
      <c r="E51" s="38">
        <f>П5ВЕД!AB206+П5ВЕД!AB437+П5ВЕД!AB485</f>
        <v>0</v>
      </c>
      <c r="F51" s="38">
        <f>П5ВЕД!AC206+П5ВЕД!AC437+П5ВЕД!AC485</f>
        <v>0</v>
      </c>
    </row>
    <row r="52" spans="1:6" ht="15.75" x14ac:dyDescent="0.25">
      <c r="A52" s="100" t="s">
        <v>134</v>
      </c>
      <c r="B52" s="100" t="s">
        <v>114</v>
      </c>
      <c r="C52" s="18" t="s">
        <v>154</v>
      </c>
      <c r="D52" s="38">
        <f>П5ВЕД!AA210</f>
        <v>3668698.5300000003</v>
      </c>
      <c r="E52" s="38">
        <f>П5ВЕД!AB210</f>
        <v>0</v>
      </c>
      <c r="F52" s="38">
        <f>П5ВЕД!AC210</f>
        <v>0</v>
      </c>
    </row>
    <row r="53" spans="1:6" ht="15.75" x14ac:dyDescent="0.25">
      <c r="A53" s="100" t="s">
        <v>134</v>
      </c>
      <c r="B53" s="100" t="s">
        <v>127</v>
      </c>
      <c r="C53" s="18" t="s">
        <v>155</v>
      </c>
      <c r="D53" s="38">
        <f>П5ВЕД!AA228+П5ВЕД!AA441</f>
        <v>34162091.609999999</v>
      </c>
      <c r="E53" s="38">
        <f>П5ВЕД!AB228+П5ВЕД!AB441</f>
        <v>0</v>
      </c>
      <c r="F53" s="38">
        <f>П5ВЕД!AC228+П5ВЕД!AC441</f>
        <v>0</v>
      </c>
    </row>
    <row r="54" spans="1:6" ht="15.75" x14ac:dyDescent="0.25">
      <c r="A54" s="101" t="s">
        <v>119</v>
      </c>
      <c r="B54" s="101" t="s">
        <v>124</v>
      </c>
      <c r="C54" s="102" t="s">
        <v>156</v>
      </c>
      <c r="D54" s="42">
        <f>D55+D58</f>
        <v>6348058.5099999998</v>
      </c>
      <c r="E54" s="42">
        <f>E55+E58</f>
        <v>0</v>
      </c>
      <c r="F54" s="42">
        <f>F55+F58</f>
        <v>0</v>
      </c>
    </row>
    <row r="55" spans="1:6" ht="15.75" x14ac:dyDescent="0.25">
      <c r="A55" s="100" t="s">
        <v>119</v>
      </c>
      <c r="B55" s="100" t="s">
        <v>113</v>
      </c>
      <c r="C55" s="18" t="s">
        <v>246</v>
      </c>
      <c r="D55" s="38">
        <f>П5ВЕД!AA238</f>
        <v>1428700</v>
      </c>
      <c r="E55" s="38">
        <f>П5ВЕД!AB238</f>
        <v>0</v>
      </c>
      <c r="F55" s="38">
        <f>П5ВЕД!AC238</f>
        <v>0</v>
      </c>
    </row>
    <row r="56" spans="1:6" ht="31.5" x14ac:dyDescent="0.25">
      <c r="A56" s="100" t="s">
        <v>119</v>
      </c>
      <c r="B56" s="100" t="s">
        <v>127</v>
      </c>
      <c r="C56" s="18" t="s">
        <v>158</v>
      </c>
      <c r="D56" s="38">
        <v>0</v>
      </c>
      <c r="E56" s="96">
        <v>0</v>
      </c>
      <c r="F56" s="96">
        <v>0</v>
      </c>
    </row>
    <row r="57" spans="1:6" ht="15.75" x14ac:dyDescent="0.25">
      <c r="A57" s="100" t="s">
        <v>119</v>
      </c>
      <c r="B57" s="100" t="s">
        <v>115</v>
      </c>
      <c r="C57" s="80" t="s">
        <v>159</v>
      </c>
      <c r="D57" s="38">
        <v>0</v>
      </c>
      <c r="E57" s="96">
        <v>0</v>
      </c>
      <c r="F57" s="96">
        <v>0</v>
      </c>
    </row>
    <row r="58" spans="1:6" ht="15.75" x14ac:dyDescent="0.25">
      <c r="A58" s="100" t="s">
        <v>119</v>
      </c>
      <c r="B58" s="100" t="s">
        <v>123</v>
      </c>
      <c r="C58" s="80" t="s">
        <v>157</v>
      </c>
      <c r="D58" s="38">
        <f>П5ВЕД!AA243</f>
        <v>4919358.51</v>
      </c>
      <c r="E58" s="38">
        <f>П5ВЕД!AB243</f>
        <v>0</v>
      </c>
      <c r="F58" s="38">
        <f>П5ВЕД!AC243</f>
        <v>0</v>
      </c>
    </row>
    <row r="59" spans="1:6" ht="21" customHeight="1" x14ac:dyDescent="0.25">
      <c r="A59" s="101" t="s">
        <v>121</v>
      </c>
      <c r="B59" s="101" t="s">
        <v>124</v>
      </c>
      <c r="C59" s="103" t="s">
        <v>111</v>
      </c>
      <c r="D59" s="42">
        <f>D60</f>
        <v>0</v>
      </c>
      <c r="E59" s="42">
        <f>E60</f>
        <v>0</v>
      </c>
      <c r="F59" s="42">
        <f>F60</f>
        <v>0</v>
      </c>
    </row>
    <row r="60" spans="1:6" ht="31.5" x14ac:dyDescent="0.25">
      <c r="A60" s="100" t="s">
        <v>121</v>
      </c>
      <c r="B60" s="100" t="s">
        <v>113</v>
      </c>
      <c r="C60" s="80" t="s">
        <v>247</v>
      </c>
      <c r="D60" s="38">
        <f>П5ВЕД!AA329</f>
        <v>0</v>
      </c>
      <c r="E60" s="38">
        <f>П5ВЕД!AB328</f>
        <v>0</v>
      </c>
      <c r="F60" s="38">
        <f>П5ВЕД!AC328</f>
        <v>0</v>
      </c>
    </row>
    <row r="61" spans="1:6" ht="47.25" x14ac:dyDescent="0.25">
      <c r="A61" s="101" t="s">
        <v>122</v>
      </c>
      <c r="B61" s="101" t="s">
        <v>124</v>
      </c>
      <c r="C61" s="103" t="s">
        <v>248</v>
      </c>
      <c r="D61" s="42">
        <f>D62+D63</f>
        <v>18000000</v>
      </c>
      <c r="E61" s="42">
        <f>E62</f>
        <v>0</v>
      </c>
      <c r="F61" s="42">
        <f>F62</f>
        <v>0</v>
      </c>
    </row>
    <row r="62" spans="1:6" ht="31.5" x14ac:dyDescent="0.25">
      <c r="A62" s="100" t="s">
        <v>122</v>
      </c>
      <c r="B62" s="100" t="s">
        <v>113</v>
      </c>
      <c r="C62" s="80" t="s">
        <v>160</v>
      </c>
      <c r="D62" s="38">
        <f>П5ВЕД!AA332</f>
        <v>18000000</v>
      </c>
      <c r="E62" s="38">
        <f>П5ВЕД!AB332</f>
        <v>0</v>
      </c>
      <c r="F62" s="38">
        <f>П5ВЕД!AC332</f>
        <v>0</v>
      </c>
    </row>
    <row r="63" spans="1:6" ht="15.75" x14ac:dyDescent="0.25">
      <c r="A63" s="100" t="s">
        <v>122</v>
      </c>
      <c r="B63" s="100" t="s">
        <v>114</v>
      </c>
      <c r="C63" s="119" t="s">
        <v>538</v>
      </c>
      <c r="D63" s="38">
        <f>П5ВЕД!Z335</f>
        <v>0</v>
      </c>
      <c r="E63" s="38">
        <v>0</v>
      </c>
      <c r="F63" s="38">
        <v>0</v>
      </c>
    </row>
    <row r="64" spans="1:6" s="104" customFormat="1" ht="15.75" x14ac:dyDescent="0.25">
      <c r="A64" s="101" t="s">
        <v>124</v>
      </c>
      <c r="B64" s="101" t="s">
        <v>124</v>
      </c>
      <c r="C64" s="103" t="s">
        <v>101</v>
      </c>
      <c r="D64" s="42">
        <f>[1]П_6!I198</f>
        <v>0</v>
      </c>
      <c r="E64" s="42">
        <v>16401242.550000001</v>
      </c>
      <c r="F64" s="42">
        <v>32495263.260000002</v>
      </c>
    </row>
    <row r="65" spans="1:6" ht="18.75" customHeight="1" x14ac:dyDescent="0.25">
      <c r="A65" s="101" t="s">
        <v>161</v>
      </c>
      <c r="B65" s="101" t="s">
        <v>124</v>
      </c>
      <c r="C65" s="102" t="s">
        <v>162</v>
      </c>
      <c r="D65" s="42">
        <f>D11+D20+D26+D33+D40+D45+D47+D50+D54+D38+D59+D61</f>
        <v>903084468.30999994</v>
      </c>
      <c r="E65" s="42" t="e">
        <f>E11+E20+E26+E33+E40+E45+E47+E50+E54+E38+E59+E61+E64</f>
        <v>#REF!</v>
      </c>
      <c r="F65" s="42" t="e">
        <f>F11+F20+F26+F33+F40+F45+F47+F50+F54+F38+F59+F61+F64</f>
        <v>#REF!</v>
      </c>
    </row>
  </sheetData>
  <mergeCells count="9">
    <mergeCell ref="A9:A10"/>
    <mergeCell ref="B9:B10"/>
    <mergeCell ref="C9:C10"/>
    <mergeCell ref="D9:F9"/>
    <mergeCell ref="C1:F1"/>
    <mergeCell ref="C2:F2"/>
    <mergeCell ref="C3:F3"/>
    <mergeCell ref="C4:F4"/>
    <mergeCell ref="A7:F7"/>
  </mergeCells>
  <pageMargins left="0.70866141732283472" right="0.70866141732283472" top="0.74803149606299213" bottom="0.19685039370078741" header="0.31496062992125984" footer="0.31496062992125984"/>
  <pageSetup paperSize="9"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A5" sqref="A5"/>
    </sheetView>
  </sheetViews>
  <sheetFormatPr defaultRowHeight="15" x14ac:dyDescent="0.25"/>
  <cols>
    <col min="1" max="1" width="67.7109375" customWidth="1"/>
    <col min="2" max="2" width="31.5703125" customWidth="1"/>
    <col min="3" max="4" width="0.14062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502" t="s">
        <v>1149</v>
      </c>
      <c r="B1" s="502"/>
      <c r="C1" s="502"/>
      <c r="D1" s="502"/>
    </row>
    <row r="2" spans="1:4" ht="15.75" x14ac:dyDescent="0.25">
      <c r="A2" s="502" t="s">
        <v>250</v>
      </c>
      <c r="B2" s="502"/>
      <c r="C2" s="502"/>
      <c r="D2" s="502"/>
    </row>
    <row r="3" spans="1:4" ht="15.75" x14ac:dyDescent="0.25">
      <c r="A3" s="502" t="s">
        <v>0</v>
      </c>
      <c r="B3" s="502"/>
      <c r="C3" s="502"/>
      <c r="D3" s="502"/>
    </row>
    <row r="4" spans="1:4" ht="15.75" x14ac:dyDescent="0.25">
      <c r="A4" s="502" t="s">
        <v>1257</v>
      </c>
      <c r="B4" s="502"/>
      <c r="C4" s="502"/>
      <c r="D4" s="502"/>
    </row>
    <row r="5" spans="1:4" ht="15.75" x14ac:dyDescent="0.25">
      <c r="A5" s="1"/>
      <c r="B5" s="1"/>
      <c r="C5" s="1"/>
      <c r="D5" s="1"/>
    </row>
    <row r="6" spans="1:4" ht="18" x14ac:dyDescent="0.25">
      <c r="A6" s="537" t="s">
        <v>251</v>
      </c>
      <c r="B6" s="537"/>
      <c r="C6" s="537"/>
      <c r="D6" s="537"/>
    </row>
    <row r="7" spans="1:4" ht="18" x14ac:dyDescent="0.25">
      <c r="A7" s="537" t="s">
        <v>789</v>
      </c>
      <c r="B7" s="537"/>
      <c r="C7" s="537"/>
      <c r="D7" s="537"/>
    </row>
    <row r="8" spans="1:4" ht="15.75" x14ac:dyDescent="0.25">
      <c r="A8" s="1"/>
      <c r="B8" s="1"/>
      <c r="C8" s="1"/>
      <c r="D8" s="1"/>
    </row>
    <row r="9" spans="1:4" ht="15.75" x14ac:dyDescent="0.25">
      <c r="A9" s="468" t="s">
        <v>1</v>
      </c>
      <c r="B9" s="534" t="s">
        <v>165</v>
      </c>
      <c r="C9" s="535"/>
      <c r="D9" s="536"/>
    </row>
    <row r="10" spans="1:4" ht="15.75" x14ac:dyDescent="0.25">
      <c r="A10" s="469"/>
      <c r="B10" s="24">
        <v>2016</v>
      </c>
      <c r="C10" s="24">
        <v>2016</v>
      </c>
      <c r="D10" s="17">
        <v>2017</v>
      </c>
    </row>
    <row r="11" spans="1:4" ht="15.75" x14ac:dyDescent="0.25">
      <c r="A11" s="18" t="s">
        <v>252</v>
      </c>
      <c r="B11" s="193">
        <f>П2ИВФ!C21</f>
        <v>103228065.34999999</v>
      </c>
      <c r="C11" s="38">
        <f>П2ИВФ!D21</f>
        <v>0</v>
      </c>
      <c r="D11" s="38">
        <f>П2ИВФ!E21</f>
        <v>-513000</v>
      </c>
    </row>
    <row r="12" spans="1:4" ht="15.75" x14ac:dyDescent="0.25">
      <c r="A12" s="18" t="s">
        <v>100</v>
      </c>
      <c r="B12" s="18"/>
      <c r="C12" s="18"/>
      <c r="D12" s="19"/>
    </row>
    <row r="13" spans="1:4" ht="15.75" x14ac:dyDescent="0.25">
      <c r="A13" s="1" t="s">
        <v>166</v>
      </c>
      <c r="B13" s="19">
        <f>B14</f>
        <v>0</v>
      </c>
      <c r="C13" s="19">
        <f>C14</f>
        <v>0</v>
      </c>
      <c r="D13" s="19">
        <f>D14</f>
        <v>0</v>
      </c>
    </row>
    <row r="14" spans="1:4" ht="31.5" x14ac:dyDescent="0.25">
      <c r="A14" s="20" t="s">
        <v>167</v>
      </c>
      <c r="B14" s="21">
        <f>П2ИВФ!C12</f>
        <v>0</v>
      </c>
      <c r="C14" s="21">
        <f>П2ИВФ!D12</f>
        <v>0</v>
      </c>
      <c r="D14" s="21">
        <f>П2ИВФ!E12</f>
        <v>0</v>
      </c>
    </row>
    <row r="15" spans="1:4" ht="31.5" x14ac:dyDescent="0.25">
      <c r="A15" s="20" t="s">
        <v>168</v>
      </c>
      <c r="B15" s="21">
        <f>[1]П_3!C13</f>
        <v>0</v>
      </c>
      <c r="C15" s="21">
        <f>[1]П_3!D13</f>
        <v>0</v>
      </c>
      <c r="D15" s="21">
        <f>[1]П_3!E13</f>
        <v>0</v>
      </c>
    </row>
    <row r="16" spans="1:4" ht="31.5" x14ac:dyDescent="0.25">
      <c r="A16" s="18" t="s">
        <v>169</v>
      </c>
      <c r="B16" s="19">
        <f>B17+B18</f>
        <v>0</v>
      </c>
      <c r="C16" s="19">
        <f>C17+C18</f>
        <v>0</v>
      </c>
      <c r="D16" s="19">
        <f>D17+D18</f>
        <v>-1272000</v>
      </c>
    </row>
    <row r="17" spans="1:4" ht="31.5" x14ac:dyDescent="0.25">
      <c r="A17" s="20" t="s">
        <v>170</v>
      </c>
      <c r="B17" s="21">
        <f>[1]П_3!C15</f>
        <v>0</v>
      </c>
      <c r="C17" s="21">
        <f>[1]П_3!D15</f>
        <v>0</v>
      </c>
      <c r="D17" s="21">
        <f>[1]П_3!E15</f>
        <v>0</v>
      </c>
    </row>
    <row r="18" spans="1:4" ht="31.5" x14ac:dyDescent="0.25">
      <c r="A18" s="20" t="s">
        <v>171</v>
      </c>
      <c r="B18" s="21">
        <f>П2ИВФ!C16</f>
        <v>0</v>
      </c>
      <c r="C18" s="21">
        <f>П2ИВФ!D16</f>
        <v>0</v>
      </c>
      <c r="D18" s="21">
        <f>П2ИВФ!E16</f>
        <v>-1272000</v>
      </c>
    </row>
    <row r="19" spans="1:4" ht="31.5" x14ac:dyDescent="0.25">
      <c r="A19" s="20" t="s">
        <v>172</v>
      </c>
      <c r="B19" s="19">
        <f>B20+B21</f>
        <v>5888960.0499999998</v>
      </c>
      <c r="C19" s="19">
        <f>C20+C21</f>
        <v>0</v>
      </c>
      <c r="D19" s="19">
        <f>D20+D21</f>
        <v>759000</v>
      </c>
    </row>
    <row r="20" spans="1:4" ht="15.75" x14ac:dyDescent="0.25">
      <c r="A20" s="20" t="s">
        <v>173</v>
      </c>
      <c r="B20" s="21">
        <f>[1]П_3!C19</f>
        <v>0</v>
      </c>
      <c r="C20" s="21">
        <f>[1]П_3!D19</f>
        <v>0</v>
      </c>
      <c r="D20" s="21">
        <f>[1]П_3!E19</f>
        <v>0</v>
      </c>
    </row>
    <row r="21" spans="1:4" ht="31.5" x14ac:dyDescent="0.25">
      <c r="A21" s="20" t="s">
        <v>174</v>
      </c>
      <c r="B21" s="124">
        <f>П2ИВФ!C20</f>
        <v>5888960.0499999998</v>
      </c>
      <c r="C21" s="124">
        <f>П2ИВФ!D20</f>
        <v>0</v>
      </c>
      <c r="D21" s="124">
        <f>П2ИВФ!E20</f>
        <v>759000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П1ГАД</vt:lpstr>
      <vt:lpstr>П2ИВФ</vt:lpstr>
      <vt:lpstr>П3ДОХОДЫ</vt:lpstr>
      <vt:lpstr>П4РАСПР.</vt:lpstr>
      <vt:lpstr>П5ВЕД</vt:lpstr>
      <vt:lpstr>П3_Доходы</vt:lpstr>
      <vt:lpstr>П6ПРОГРАММЫ</vt:lpstr>
      <vt:lpstr>П7РАСПР</vt:lpstr>
      <vt:lpstr>П8ПМВЗ</vt:lpstr>
      <vt:lpstr>П9нормативы</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2016-10-23T23:04:47Z</dcterms:modified>
</cp:coreProperties>
</file>