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9"/>
  </bookViews>
  <sheets>
    <sheet name="П1ИВФ" sheetId="11" r:id="rId1"/>
    <sheet name="П4ДОХОДЫ " sheetId="20" state="hidden" r:id="rId2"/>
    <sheet name="ДОХОДЫ" sheetId="25" r:id="rId3"/>
    <sheet name="П3РБАЦС" sheetId="12" r:id="rId4"/>
    <sheet name="П3_Доходы" sheetId="3" state="hidden" r:id="rId5"/>
    <sheet name="П4ВСР" sheetId="21" r:id="rId6"/>
    <sheet name="П5МП" sheetId="10" r:id="rId7"/>
    <sheet name="П6РБАРПР" sheetId="14" r:id="rId8"/>
    <sheet name="П7ПМВЗ" sheetId="16" r:id="rId9"/>
    <sheet name="П8ГАДРБ" sheetId="29" r:id="rId10"/>
    <sheet name="адм" sheetId="26" state="hidden" r:id="rId11"/>
    <sheet name="кредиты" sheetId="27" state="hidden" r:id="rId12"/>
    <sheet name="доп.доп.информация" sheetId="24" state="hidden" r:id="rId13"/>
  </sheets>
  <externalReferences>
    <externalReference r:id="rId14"/>
  </externalReferences>
  <definedNames>
    <definedName name="_xlnm._FilterDatabase" localSheetId="5" hidden="1">П4ВСР!$A$12:$E$478</definedName>
    <definedName name="_xlnm.Print_Titles" localSheetId="4">П3_Доходы!$8:$8</definedName>
  </definedNames>
  <calcPr calcId="152511"/>
</workbook>
</file>

<file path=xl/calcChain.xml><?xml version="1.0" encoding="utf-8"?>
<calcChain xmlns="http://schemas.openxmlformats.org/spreadsheetml/2006/main">
  <c r="E124" i="25" l="1"/>
  <c r="E120" i="25"/>
  <c r="E119" i="25"/>
  <c r="E117" i="25"/>
  <c r="E128" i="25"/>
  <c r="Z483" i="21" l="1"/>
  <c r="I20" i="10"/>
  <c r="E91" i="25" l="1"/>
  <c r="E114" i="25"/>
  <c r="E113" i="25"/>
  <c r="Z166" i="21" l="1"/>
  <c r="U124" i="12"/>
  <c r="U129" i="12"/>
  <c r="U130" i="12"/>
  <c r="Z104" i="21"/>
  <c r="Z109" i="21"/>
  <c r="Z106" i="21"/>
  <c r="Z250" i="21" l="1"/>
  <c r="E99" i="25"/>
  <c r="E107" i="25"/>
  <c r="E104" i="25"/>
  <c r="Z432" i="21"/>
  <c r="Z439" i="21"/>
  <c r="E102" i="25"/>
  <c r="Z43" i="21"/>
  <c r="Z385" i="21" l="1"/>
  <c r="Z370" i="21"/>
  <c r="Z397" i="21"/>
  <c r="G120" i="25" l="1"/>
  <c r="F120" i="25"/>
  <c r="E121" i="25"/>
  <c r="Z458" i="21" l="1"/>
  <c r="Z455" i="21"/>
  <c r="Z149" i="21" l="1"/>
  <c r="Z87" i="21"/>
  <c r="Z399" i="21" l="1"/>
  <c r="Z379" i="21"/>
  <c r="Z402" i="21"/>
  <c r="Z292" i="21" l="1"/>
  <c r="Z136" i="21"/>
  <c r="E36" i="25" l="1"/>
  <c r="E110" i="25"/>
  <c r="Z140" i="21" l="1"/>
  <c r="Z383" i="21" l="1"/>
  <c r="Z366" i="21"/>
  <c r="Z127" i="21" l="1"/>
  <c r="Z316" i="21" l="1"/>
  <c r="Z138" i="21"/>
  <c r="Z68" i="21" l="1"/>
  <c r="Z72" i="21" l="1"/>
  <c r="Z194" i="21"/>
  <c r="Z101" i="21"/>
  <c r="Z147" i="21"/>
  <c r="Z210" i="21"/>
  <c r="Z234" i="21"/>
  <c r="Z89" i="21"/>
  <c r="Z418" i="21" l="1"/>
  <c r="Z487" i="21" l="1"/>
  <c r="AA159" i="21"/>
  <c r="E39" i="25"/>
  <c r="Z60" i="21" l="1"/>
  <c r="Z59" i="21"/>
  <c r="Z229" i="21"/>
  <c r="Z185" i="21"/>
  <c r="U322" i="12"/>
  <c r="U321" i="12" s="1"/>
  <c r="Z217" i="21"/>
  <c r="D20" i="11" l="1"/>
  <c r="U109" i="12" l="1"/>
  <c r="Z281" i="21"/>
  <c r="E43" i="25" l="1"/>
  <c r="E32" i="25"/>
  <c r="E29" i="25"/>
  <c r="E28" i="25"/>
  <c r="V56" i="12" l="1"/>
  <c r="V55" i="12" s="1"/>
  <c r="W56" i="12"/>
  <c r="W55" i="12" s="1"/>
  <c r="X56" i="12"/>
  <c r="X55" i="12" s="1"/>
  <c r="U56" i="12"/>
  <c r="U55" i="12" s="1"/>
  <c r="C20" i="11" l="1"/>
  <c r="V57" i="12"/>
  <c r="W57" i="12"/>
  <c r="U57" i="12"/>
  <c r="AA47" i="21" l="1"/>
  <c r="AB47" i="21"/>
  <c r="AC47" i="21"/>
  <c r="AD47" i="21"/>
  <c r="AE47" i="21"/>
  <c r="AA48" i="21"/>
  <c r="AB48" i="21"/>
  <c r="Z48" i="21"/>
  <c r="X99" i="12"/>
  <c r="V117" i="12"/>
  <c r="V116" i="12" s="1"/>
  <c r="W117" i="12"/>
  <c r="W116" i="12" s="1"/>
  <c r="U117" i="12"/>
  <c r="U116" i="12" s="1"/>
  <c r="J12" i="10"/>
  <c r="K12" i="10"/>
  <c r="AA79" i="21"/>
  <c r="AB79" i="21"/>
  <c r="AA96" i="21"/>
  <c r="AB96" i="21"/>
  <c r="Z96" i="21"/>
  <c r="B20" i="16" l="1"/>
  <c r="Z294" i="21"/>
  <c r="Z165" i="21" l="1"/>
  <c r="Z162" i="21" s="1"/>
  <c r="Z42" i="21"/>
  <c r="Z41" i="21" s="1"/>
  <c r="C18" i="11"/>
  <c r="C24" i="11"/>
  <c r="C21" i="11"/>
  <c r="D13" i="27"/>
  <c r="C13" i="27"/>
  <c r="B13" i="27"/>
  <c r="Z315" i="21"/>
  <c r="G36" i="25"/>
  <c r="G56" i="25"/>
  <c r="G54" i="25"/>
  <c r="F56" i="25"/>
  <c r="F54" i="25"/>
  <c r="E56" i="25"/>
  <c r="G39" i="25"/>
  <c r="F39" i="25"/>
  <c r="F36" i="25" s="1"/>
  <c r="Z490" i="21"/>
  <c r="Z489" i="21"/>
  <c r="Z481" i="21"/>
  <c r="U128" i="12"/>
  <c r="U127" i="12" s="1"/>
  <c r="V128" i="12"/>
  <c r="V127" i="12" s="1"/>
  <c r="W128" i="12"/>
  <c r="W127" i="12" s="1"/>
  <c r="Z108" i="21"/>
  <c r="Z91" i="21"/>
  <c r="Z244" i="21"/>
  <c r="Z245" i="21"/>
  <c r="Z153" i="21"/>
  <c r="AA303" i="21"/>
  <c r="AB303" i="21"/>
  <c r="AA302" i="21"/>
  <c r="AA301" i="21"/>
  <c r="AA300" i="21"/>
  <c r="AB302" i="21"/>
  <c r="AB301" i="21"/>
  <c r="AB300" i="21"/>
  <c r="Z303" i="21"/>
  <c r="Z302" i="21"/>
  <c r="Z309" i="21"/>
  <c r="Z161" i="21"/>
  <c r="E112" i="25"/>
  <c r="U177" i="12"/>
  <c r="U176" i="12" s="1"/>
  <c r="Z301" i="21"/>
  <c r="Z377" i="21"/>
  <c r="Z375" i="21"/>
  <c r="Z360" i="21"/>
  <c r="Z362" i="21"/>
  <c r="E93" i="25"/>
  <c r="E123" i="25" s="1"/>
  <c r="E125" i="25" s="1"/>
  <c r="Z247" i="21"/>
  <c r="J25" i="10"/>
  <c r="K25" i="10"/>
  <c r="J21" i="10"/>
  <c r="K21" i="10"/>
  <c r="I11" i="10"/>
  <c r="U165" i="12"/>
  <c r="U164" i="12" s="1"/>
  <c r="Z296" i="21"/>
  <c r="Z295" i="21"/>
  <c r="Z216" i="21"/>
  <c r="U111" i="12"/>
  <c r="U110" i="12" s="1"/>
  <c r="Z277" i="21"/>
  <c r="E108" i="25"/>
  <c r="E88" i="25"/>
  <c r="E80" i="25"/>
  <c r="E83" i="25"/>
  <c r="E64" i="25" s="1"/>
  <c r="E78" i="25"/>
  <c r="E77" i="25"/>
  <c r="E74" i="25"/>
  <c r="E66" i="25"/>
  <c r="E59" i="25"/>
  <c r="E54" i="25" s="1"/>
  <c r="E57" i="25"/>
  <c r="E55" i="25"/>
  <c r="E53" i="25"/>
  <c r="E52" i="25" s="1"/>
  <c r="E51" i="25"/>
  <c r="E48" i="25"/>
  <c r="E44" i="25"/>
  <c r="E34" i="25"/>
  <c r="E33" i="25"/>
  <c r="E27" i="25"/>
  <c r="E26" i="25"/>
  <c r="E17" i="25"/>
  <c r="E15" i="25"/>
  <c r="E14" i="25" s="1"/>
  <c r="Z20" i="21"/>
  <c r="Z18" i="21"/>
  <c r="Z451" i="21"/>
  <c r="Z413" i="21"/>
  <c r="Z273" i="21"/>
  <c r="Z27" i="21"/>
  <c r="Z321" i="21"/>
  <c r="Z322" i="21"/>
  <c r="Z341" i="21"/>
  <c r="Z339" i="21"/>
  <c r="Z336" i="21"/>
  <c r="Z335" i="21"/>
  <c r="Z338" i="21"/>
  <c r="Z333" i="21"/>
  <c r="Z334" i="21"/>
  <c r="Z337" i="21"/>
  <c r="Z340" i="21"/>
  <c r="U276" i="12"/>
  <c r="U275" i="12" s="1"/>
  <c r="Z199" i="21"/>
  <c r="Z183" i="21"/>
  <c r="U147" i="12"/>
  <c r="U146" i="12" s="1"/>
  <c r="Z126" i="21"/>
  <c r="Z111" i="21" s="1"/>
  <c r="D29" i="14" s="1"/>
  <c r="Z131" i="21"/>
  <c r="Z177" i="21"/>
  <c r="Z123" i="21"/>
  <c r="Z25" i="21"/>
  <c r="Z133" i="21"/>
  <c r="Z129" i="21"/>
  <c r="Z265" i="21"/>
  <c r="Z83" i="21"/>
  <c r="U280" i="12"/>
  <c r="Z401" i="21"/>
  <c r="Z403" i="21"/>
  <c r="Z373" i="21"/>
  <c r="Z168" i="21"/>
  <c r="E101" i="25"/>
  <c r="Z456" i="21"/>
  <c r="Z171" i="21"/>
  <c r="Z329" i="21"/>
  <c r="Z330" i="21"/>
  <c r="Z173" i="21"/>
  <c r="U205" i="12"/>
  <c r="U204" i="12" s="1"/>
  <c r="Z408" i="21"/>
  <c r="Z407" i="21"/>
  <c r="Z214" i="21"/>
  <c r="Z348" i="21"/>
  <c r="Z347" i="21"/>
  <c r="I17" i="10"/>
  <c r="Z117" i="21"/>
  <c r="Z346" i="21"/>
  <c r="U318" i="12"/>
  <c r="U317" i="12" s="1"/>
  <c r="U137" i="12"/>
  <c r="U136" i="12" s="1"/>
  <c r="Z116" i="21"/>
  <c r="Z343" i="21"/>
  <c r="Z342" i="21"/>
  <c r="Z475" i="21"/>
  <c r="I51" i="10"/>
  <c r="U213" i="12"/>
  <c r="U212" i="12" s="1"/>
  <c r="E111" i="25"/>
  <c r="V173" i="12"/>
  <c r="V172" i="12" s="1"/>
  <c r="W173" i="12"/>
  <c r="W172" i="12" s="1"/>
  <c r="U173" i="12"/>
  <c r="U172" i="12" s="1"/>
  <c r="AA148" i="21"/>
  <c r="AB148" i="21"/>
  <c r="Z148" i="21"/>
  <c r="Z141" i="21" s="1"/>
  <c r="D31" i="14" s="1"/>
  <c r="V110" i="12"/>
  <c r="W110" i="12"/>
  <c r="AA90" i="21"/>
  <c r="AB90" i="21"/>
  <c r="Z90" i="21"/>
  <c r="V108" i="12"/>
  <c r="W108" i="12"/>
  <c r="X108" i="12"/>
  <c r="U108" i="12"/>
  <c r="AA88" i="21"/>
  <c r="AB88" i="21"/>
  <c r="AC88" i="21"/>
  <c r="Z88" i="21"/>
  <c r="Z236" i="21"/>
  <c r="Z85" i="21"/>
  <c r="Z81" i="21"/>
  <c r="Z119" i="21"/>
  <c r="Z115" i="21"/>
  <c r="Z57" i="21"/>
  <c r="V30" i="12"/>
  <c r="W30" i="12"/>
  <c r="U30" i="12"/>
  <c r="AA30" i="21"/>
  <c r="AB30" i="21"/>
  <c r="AC30" i="21"/>
  <c r="AC23" i="21"/>
  <c r="Z30" i="21"/>
  <c r="Z311" i="21"/>
  <c r="Z314" i="21"/>
  <c r="Z205" i="21"/>
  <c r="Z206" i="21"/>
  <c r="Z364" i="21"/>
  <c r="E87" i="25"/>
  <c r="Z405" i="21"/>
  <c r="Z290" i="21"/>
  <c r="Z289" i="21" s="1"/>
  <c r="Z415" i="21"/>
  <c r="Z414" i="21"/>
  <c r="G109" i="25"/>
  <c r="F109" i="25"/>
  <c r="G98" i="25"/>
  <c r="F98" i="25"/>
  <c r="G94" i="25"/>
  <c r="F94" i="25"/>
  <c r="G118" i="25"/>
  <c r="F118" i="25"/>
  <c r="E106" i="25"/>
  <c r="E105" i="25"/>
  <c r="E122" i="25" s="1"/>
  <c r="G104" i="25"/>
  <c r="G119" i="25"/>
  <c r="F104" i="25"/>
  <c r="F119" i="25"/>
  <c r="E103" i="25"/>
  <c r="G101" i="25"/>
  <c r="G107" i="25" s="1"/>
  <c r="F101" i="25"/>
  <c r="F107" i="25" s="1"/>
  <c r="E97" i="25"/>
  <c r="E92" i="25"/>
  <c r="E118" i="25"/>
  <c r="E94" i="25"/>
  <c r="F113" i="25"/>
  <c r="F117" i="25"/>
  <c r="F123" i="25"/>
  <c r="F125" i="25"/>
  <c r="E98" i="25"/>
  <c r="F91" i="25"/>
  <c r="G64" i="25"/>
  <c r="F64" i="25"/>
  <c r="G47" i="25"/>
  <c r="F47" i="25"/>
  <c r="E47" i="25"/>
  <c r="G33" i="25"/>
  <c r="F33" i="25"/>
  <c r="G31" i="25"/>
  <c r="G30" i="25"/>
  <c r="F31" i="25"/>
  <c r="F30" i="25" s="1"/>
  <c r="E31" i="25"/>
  <c r="E30" i="25" s="1"/>
  <c r="G25" i="25"/>
  <c r="F25" i="25"/>
  <c r="G15" i="25"/>
  <c r="F15" i="25"/>
  <c r="F14" i="25" s="1"/>
  <c r="G23" i="25"/>
  <c r="F23" i="25"/>
  <c r="E23" i="25"/>
  <c r="G21" i="25"/>
  <c r="F21" i="25"/>
  <c r="F20" i="25" s="1"/>
  <c r="F19" i="25" s="1"/>
  <c r="E21" i="25"/>
  <c r="G121" i="25"/>
  <c r="G20" i="25"/>
  <c r="G19" i="25" s="1"/>
  <c r="E20" i="25"/>
  <c r="E19" i="25"/>
  <c r="G14" i="25"/>
  <c r="Z113" i="21"/>
  <c r="Z159" i="21"/>
  <c r="AB136" i="21"/>
  <c r="AA136" i="21"/>
  <c r="G44" i="20"/>
  <c r="G42" i="20"/>
  <c r="F42" i="20"/>
  <c r="F44" i="20"/>
  <c r="E42" i="20"/>
  <c r="E44" i="20"/>
  <c r="U71" i="12"/>
  <c r="U70" i="12" s="1"/>
  <c r="Z54" i="21"/>
  <c r="E20" i="20"/>
  <c r="E19" i="20"/>
  <c r="E67" i="20"/>
  <c r="Z62" i="21"/>
  <c r="W341" i="12"/>
  <c r="W340" i="12" s="1"/>
  <c r="V341" i="12"/>
  <c r="V340" i="12" s="1"/>
  <c r="U341" i="12"/>
  <c r="U340" i="12" s="1"/>
  <c r="U343" i="12"/>
  <c r="U342" i="12" s="1"/>
  <c r="AB235" i="21"/>
  <c r="AA235" i="21"/>
  <c r="Z235" i="21"/>
  <c r="AB240" i="21"/>
  <c r="AA240" i="21"/>
  <c r="Z240" i="21"/>
  <c r="Z237" i="21"/>
  <c r="E64" i="20"/>
  <c r="E72" i="20"/>
  <c r="E70" i="20"/>
  <c r="E61" i="20"/>
  <c r="U153" i="12"/>
  <c r="U152" i="12" s="1"/>
  <c r="Z164" i="21"/>
  <c r="Z51" i="21"/>
  <c r="Z212" i="21"/>
  <c r="Z181" i="21"/>
  <c r="Z132" i="21"/>
  <c r="U296" i="12"/>
  <c r="W183" i="12"/>
  <c r="W182" i="12" s="1"/>
  <c r="V183" i="12"/>
  <c r="V182" i="12" s="1"/>
  <c r="AB155" i="21"/>
  <c r="AA155" i="21"/>
  <c r="Z155" i="21"/>
  <c r="Z158" i="21"/>
  <c r="AB158" i="21"/>
  <c r="AA158" i="21"/>
  <c r="AA151" i="21" s="1"/>
  <c r="Z412" i="21"/>
  <c r="W285" i="12"/>
  <c r="V285" i="12"/>
  <c r="U285" i="12"/>
  <c r="W286" i="12"/>
  <c r="V286" i="12"/>
  <c r="U286" i="12"/>
  <c r="Z406" i="21"/>
  <c r="AB410" i="21"/>
  <c r="AA410" i="21"/>
  <c r="Z410" i="21"/>
  <c r="AB406" i="21"/>
  <c r="AA406" i="21"/>
  <c r="U183" i="12"/>
  <c r="U182" i="12" s="1"/>
  <c r="W198" i="12"/>
  <c r="V198" i="12"/>
  <c r="Z319" i="21"/>
  <c r="I21" i="10"/>
  <c r="Z318" i="21"/>
  <c r="Z317" i="21"/>
  <c r="W90" i="12"/>
  <c r="W89" i="12" s="1"/>
  <c r="V90" i="12"/>
  <c r="V89" i="12" s="1"/>
  <c r="U90" i="12"/>
  <c r="U89" i="12" s="1"/>
  <c r="AB69" i="21"/>
  <c r="AA69" i="21"/>
  <c r="Z69" i="21"/>
  <c r="AB74" i="21"/>
  <c r="AA74" i="21"/>
  <c r="Z74" i="21"/>
  <c r="U199" i="12"/>
  <c r="U198" i="12" s="1"/>
  <c r="Z28" i="21"/>
  <c r="W283" i="12"/>
  <c r="W282" i="12" s="1"/>
  <c r="V283" i="12"/>
  <c r="V282" i="12" s="1"/>
  <c r="U283" i="12"/>
  <c r="U282" i="12" s="1"/>
  <c r="AB403" i="21"/>
  <c r="AA403" i="21"/>
  <c r="AB404" i="21"/>
  <c r="AA404" i="21"/>
  <c r="Z404" i="21"/>
  <c r="U367" i="12"/>
  <c r="Z53" i="21"/>
  <c r="Z125" i="21"/>
  <c r="Z438" i="21"/>
  <c r="U360" i="12"/>
  <c r="Z435" i="21"/>
  <c r="Z433" i="21"/>
  <c r="U355" i="12"/>
  <c r="Z430" i="21"/>
  <c r="Z428" i="21"/>
  <c r="U335" i="12"/>
  <c r="Z426" i="21"/>
  <c r="Z424" i="21"/>
  <c r="Z423" i="21"/>
  <c r="E18" i="20"/>
  <c r="U162" i="12"/>
  <c r="U161" i="12" s="1"/>
  <c r="Z139" i="21"/>
  <c r="Z374" i="21"/>
  <c r="U236" i="12"/>
  <c r="U235" i="12" s="1"/>
  <c r="Z361" i="21"/>
  <c r="U223" i="12"/>
  <c r="U222" i="12" s="1"/>
  <c r="E14" i="20"/>
  <c r="L218" i="24"/>
  <c r="L219" i="24" s="1"/>
  <c r="L198" i="24"/>
  <c r="K198" i="24"/>
  <c r="J198" i="24"/>
  <c r="L194" i="24"/>
  <c r="K194" i="24"/>
  <c r="J194" i="24"/>
  <c r="L189" i="24"/>
  <c r="K189" i="24"/>
  <c r="J189" i="24"/>
  <c r="L173" i="24"/>
  <c r="K173" i="24"/>
  <c r="J173" i="24"/>
  <c r="L166" i="24"/>
  <c r="K166" i="24"/>
  <c r="J166" i="24"/>
  <c r="L152" i="24"/>
  <c r="K152" i="24"/>
  <c r="J152" i="24"/>
  <c r="L112" i="24"/>
  <c r="K112" i="24"/>
  <c r="J112" i="24"/>
  <c r="L109" i="24"/>
  <c r="K109" i="24"/>
  <c r="J109" i="24"/>
  <c r="J95" i="24"/>
  <c r="L95" i="24"/>
  <c r="K95" i="24"/>
  <c r="L74" i="24"/>
  <c r="K74" i="24"/>
  <c r="J74" i="24"/>
  <c r="L71" i="24"/>
  <c r="K71" i="24"/>
  <c r="J71" i="24"/>
  <c r="L54" i="24"/>
  <c r="K54" i="24"/>
  <c r="J54" i="24"/>
  <c r="L48" i="24"/>
  <c r="K48" i="24"/>
  <c r="J48" i="24"/>
  <c r="L38" i="24"/>
  <c r="J38" i="24"/>
  <c r="L209" i="24"/>
  <c r="K209" i="24"/>
  <c r="J209" i="24"/>
  <c r="Z61" i="21"/>
  <c r="U78" i="12"/>
  <c r="U77" i="12" s="1"/>
  <c r="AB379" i="21"/>
  <c r="AA379" i="21"/>
  <c r="AB381" i="21"/>
  <c r="AA381" i="21"/>
  <c r="Z381" i="21"/>
  <c r="Z308" i="21"/>
  <c r="I25" i="10" s="1"/>
  <c r="W68" i="12"/>
  <c r="V68" i="12"/>
  <c r="U69" i="12"/>
  <c r="U68" i="12" s="1"/>
  <c r="AB457" i="21"/>
  <c r="AA457" i="21"/>
  <c r="Z457" i="21"/>
  <c r="E15" i="20"/>
  <c r="Z160" i="21"/>
  <c r="E16" i="20"/>
  <c r="Z280" i="21"/>
  <c r="W376" i="12"/>
  <c r="V376" i="12"/>
  <c r="W375" i="12"/>
  <c r="V375" i="12"/>
  <c r="U375" i="12"/>
  <c r="AB441" i="21"/>
  <c r="AA441" i="21"/>
  <c r="Z441" i="21"/>
  <c r="AB442" i="21"/>
  <c r="AA442" i="21"/>
  <c r="Z442" i="21"/>
  <c r="Z446" i="21"/>
  <c r="U376" i="12"/>
  <c r="AB444" i="21"/>
  <c r="AB443" i="21"/>
  <c r="F54" i="14"/>
  <c r="AA444" i="21"/>
  <c r="AA443" i="21"/>
  <c r="E54" i="14"/>
  <c r="E22" i="20"/>
  <c r="Z444" i="21"/>
  <c r="Z443" i="21"/>
  <c r="D54" i="14"/>
  <c r="W72" i="12"/>
  <c r="V72" i="12"/>
  <c r="U73" i="12"/>
  <c r="U72" i="12" s="1"/>
  <c r="AB56" i="21"/>
  <c r="AA56" i="21"/>
  <c r="Z56" i="21"/>
  <c r="Z99" i="21"/>
  <c r="E24" i="20"/>
  <c r="E23" i="20"/>
  <c r="E21" i="20"/>
  <c r="E26" i="20"/>
  <c r="E25" i="20"/>
  <c r="Z436" i="21"/>
  <c r="Z368" i="21"/>
  <c r="Z225" i="21"/>
  <c r="Z34" i="21"/>
  <c r="Z33" i="21"/>
  <c r="Z473" i="21"/>
  <c r="W265" i="12"/>
  <c r="W264" i="12" s="1"/>
  <c r="W263" i="12" s="1"/>
  <c r="V265" i="12"/>
  <c r="V264" i="12" s="1"/>
  <c r="V263" i="12" s="1"/>
  <c r="Z469" i="21"/>
  <c r="U265" i="12"/>
  <c r="U264" i="12" s="1"/>
  <c r="U263" i="12" s="1"/>
  <c r="AB466" i="21"/>
  <c r="AA466" i="21"/>
  <c r="Z466" i="21"/>
  <c r="AB468" i="21"/>
  <c r="K44" i="10"/>
  <c r="AA468" i="21"/>
  <c r="J44" i="10"/>
  <c r="Z468" i="21"/>
  <c r="I44" i="10"/>
  <c r="AA467" i="21"/>
  <c r="E42" i="14"/>
  <c r="Z467" i="21"/>
  <c r="D42" i="14"/>
  <c r="AB467" i="21"/>
  <c r="F42" i="14"/>
  <c r="Z202" i="21"/>
  <c r="Z189" i="21"/>
  <c r="Z198" i="21"/>
  <c r="Z196" i="21"/>
  <c r="Z143" i="21"/>
  <c r="Z192" i="21"/>
  <c r="W177" i="12"/>
  <c r="W176" i="12" s="1"/>
  <c r="V177" i="12"/>
  <c r="V176" i="12" s="1"/>
  <c r="AB152" i="21"/>
  <c r="AA152" i="21"/>
  <c r="Z152" i="21"/>
  <c r="Z95" i="21"/>
  <c r="Z93" i="21"/>
  <c r="Z145" i="21"/>
  <c r="L214" i="24"/>
  <c r="AB383" i="21"/>
  <c r="AA383" i="21"/>
  <c r="AB243" i="21"/>
  <c r="AA243" i="21"/>
  <c r="W349" i="12"/>
  <c r="V349" i="12"/>
  <c r="U349" i="12"/>
  <c r="AB366" i="21"/>
  <c r="AA71" i="21"/>
  <c r="AA268" i="21"/>
  <c r="AB268" i="21"/>
  <c r="Z477" i="21"/>
  <c r="Z256" i="21"/>
  <c r="Z242" i="21"/>
  <c r="Z121" i="21"/>
  <c r="Z243" i="21"/>
  <c r="AA364" i="21"/>
  <c r="AA80" i="21"/>
  <c r="Z154" i="21"/>
  <c r="AB260" i="21"/>
  <c r="AB233" i="21"/>
  <c r="G71" i="20"/>
  <c r="F71" i="20"/>
  <c r="E71" i="20"/>
  <c r="G68" i="20"/>
  <c r="F68" i="20"/>
  <c r="E68" i="20"/>
  <c r="G67" i="20"/>
  <c r="F67" i="20"/>
  <c r="G65" i="20"/>
  <c r="F65" i="20"/>
  <c r="E65" i="20"/>
  <c r="E75" i="20"/>
  <c r="L216" i="24"/>
  <c r="W288" i="12"/>
  <c r="W287" i="12" s="1"/>
  <c r="V288" i="12"/>
  <c r="V287" i="12" s="1"/>
  <c r="U288" i="12"/>
  <c r="U287" i="12" s="1"/>
  <c r="AB172" i="21"/>
  <c r="D18" i="11"/>
  <c r="E18" i="11"/>
  <c r="E21" i="11"/>
  <c r="D21" i="11"/>
  <c r="AB409" i="21"/>
  <c r="AA409" i="21"/>
  <c r="Z409" i="21"/>
  <c r="Z400" i="21"/>
  <c r="Z15" i="21"/>
  <c r="Z14" i="21"/>
  <c r="Z13" i="21" s="1"/>
  <c r="D12" i="14" s="1"/>
  <c r="AA15" i="21"/>
  <c r="AA14" i="21"/>
  <c r="AA13" i="21" s="1"/>
  <c r="AB15" i="21"/>
  <c r="AB14" i="21"/>
  <c r="AB13" i="21" s="1"/>
  <c r="Z17" i="21"/>
  <c r="AA18" i="21"/>
  <c r="AA17" i="21"/>
  <c r="AB18" i="21"/>
  <c r="AB17" i="21"/>
  <c r="AB19" i="21"/>
  <c r="Z19" i="21"/>
  <c r="AA19" i="21"/>
  <c r="Z24" i="21"/>
  <c r="AA24" i="21"/>
  <c r="AB24" i="21"/>
  <c r="AA27" i="21"/>
  <c r="AB27" i="21"/>
  <c r="AA28" i="21"/>
  <c r="AB28" i="21"/>
  <c r="Z29" i="21"/>
  <c r="Z26" i="21"/>
  <c r="AA29" i="21"/>
  <c r="AB29" i="21"/>
  <c r="Z32" i="21"/>
  <c r="AA32" i="21"/>
  <c r="AB32" i="21"/>
  <c r="Z36" i="21"/>
  <c r="Z35" i="21" s="1"/>
  <c r="D15" i="14" s="1"/>
  <c r="AA36" i="21"/>
  <c r="AA35" i="21" s="1"/>
  <c r="E15" i="14" s="1"/>
  <c r="AB36" i="21"/>
  <c r="AB35" i="21" s="1"/>
  <c r="F15" i="14" s="1"/>
  <c r="Z40" i="21"/>
  <c r="Z39" i="21"/>
  <c r="Z38" i="21" s="1"/>
  <c r="D16" i="14" s="1"/>
  <c r="AA40" i="21"/>
  <c r="AA39" i="21"/>
  <c r="AA38" i="21" s="1"/>
  <c r="E16" i="14" s="1"/>
  <c r="AB40" i="21"/>
  <c r="AB39" i="21"/>
  <c r="AB38" i="21" s="1"/>
  <c r="AA42" i="21"/>
  <c r="E17" i="14" s="1"/>
  <c r="AB42" i="21"/>
  <c r="F17" i="14" s="1"/>
  <c r="Z45" i="21"/>
  <c r="I35" i="10" s="1"/>
  <c r="AA45" i="21"/>
  <c r="AA44" i="21" s="1"/>
  <c r="E18" i="14" s="1"/>
  <c r="AB45" i="21"/>
  <c r="AB44" i="21" s="1"/>
  <c r="F18" i="14" s="1"/>
  <c r="Z50" i="21"/>
  <c r="AA50" i="21"/>
  <c r="AB50" i="21"/>
  <c r="Z52" i="21"/>
  <c r="AA52" i="21"/>
  <c r="AB52" i="21"/>
  <c r="Z58" i="21"/>
  <c r="Z47" i="21" s="1"/>
  <c r="AA58" i="21"/>
  <c r="AB58" i="21"/>
  <c r="Z63" i="21"/>
  <c r="AA63" i="21"/>
  <c r="AB63" i="21"/>
  <c r="Z67" i="21"/>
  <c r="Z66" i="21" s="1"/>
  <c r="D22" i="14" s="1"/>
  <c r="AA67" i="21"/>
  <c r="AB67" i="21"/>
  <c r="Z71" i="21"/>
  <c r="AB71" i="21"/>
  <c r="AB73" i="21"/>
  <c r="Z73" i="21"/>
  <c r="AA73" i="21"/>
  <c r="AB76" i="21"/>
  <c r="AB75" i="21" s="1"/>
  <c r="AB65" i="21" s="1"/>
  <c r="Z77" i="21"/>
  <c r="Z76" i="21"/>
  <c r="Z75" i="21" s="1"/>
  <c r="AA77" i="21"/>
  <c r="AA76" i="21"/>
  <c r="AA75" i="21" s="1"/>
  <c r="Z80" i="21"/>
  <c r="AB80" i="21"/>
  <c r="Z82" i="21"/>
  <c r="AA82" i="21"/>
  <c r="AB82" i="21"/>
  <c r="Z84" i="21"/>
  <c r="AA84" i="21"/>
  <c r="AB84" i="21"/>
  <c r="Z86" i="21"/>
  <c r="AA86" i="21"/>
  <c r="AB86" i="21"/>
  <c r="Z92" i="21"/>
  <c r="AA92" i="21"/>
  <c r="AB92" i="21"/>
  <c r="Z94" i="21"/>
  <c r="AA94" i="21"/>
  <c r="AB94" i="21"/>
  <c r="Z98" i="21"/>
  <c r="AA98" i="21"/>
  <c r="AB98" i="21"/>
  <c r="Z100" i="21"/>
  <c r="AA100" i="21"/>
  <c r="AB100" i="21"/>
  <c r="Z102" i="21"/>
  <c r="AA102" i="21"/>
  <c r="AB102" i="21"/>
  <c r="Z105" i="21"/>
  <c r="AA105" i="21"/>
  <c r="AB105" i="21"/>
  <c r="Z107" i="21"/>
  <c r="AA107" i="21"/>
  <c r="AB107" i="21"/>
  <c r="Z112" i="21"/>
  <c r="AA112" i="21"/>
  <c r="AB112" i="21"/>
  <c r="Z114" i="21"/>
  <c r="AA114" i="21"/>
  <c r="AB114" i="21"/>
  <c r="Z118" i="21"/>
  <c r="AA118" i="21"/>
  <c r="AB118" i="21"/>
  <c r="Z120" i="21"/>
  <c r="AA120" i="21"/>
  <c r="AB120" i="21"/>
  <c r="Z122" i="21"/>
  <c r="AA122" i="21"/>
  <c r="AB122" i="21"/>
  <c r="Z124" i="21"/>
  <c r="AA124" i="21"/>
  <c r="AB124" i="21"/>
  <c r="Z128" i="21"/>
  <c r="AA128" i="21"/>
  <c r="AB128" i="21"/>
  <c r="Z130" i="21"/>
  <c r="AA130" i="21"/>
  <c r="AB130" i="21"/>
  <c r="Z135" i="21"/>
  <c r="Z134" i="21" s="1"/>
  <c r="AA135" i="21"/>
  <c r="AB135" i="21"/>
  <c r="Z137" i="21"/>
  <c r="AA137" i="21"/>
  <c r="AB137" i="21"/>
  <c r="Z142" i="21"/>
  <c r="AA142" i="21"/>
  <c r="AB142" i="21"/>
  <c r="Z144" i="21"/>
  <c r="AA144" i="21"/>
  <c r="AB144" i="21"/>
  <c r="Z146" i="21"/>
  <c r="AA146" i="21"/>
  <c r="AB146" i="21"/>
  <c r="AA154" i="21"/>
  <c r="AB154" i="21"/>
  <c r="Z156" i="21"/>
  <c r="AA156" i="21"/>
  <c r="AB156" i="21"/>
  <c r="AA160" i="21"/>
  <c r="AB160" i="21"/>
  <c r="Z163" i="21"/>
  <c r="AA163" i="21"/>
  <c r="AB163" i="21"/>
  <c r="AB165" i="21"/>
  <c r="K23" i="10"/>
  <c r="AA165" i="21"/>
  <c r="J23" i="10"/>
  <c r="Z167" i="21"/>
  <c r="AA167" i="21"/>
  <c r="AB167" i="21"/>
  <c r="Z170" i="21"/>
  <c r="AA170" i="21"/>
  <c r="AB170" i="21"/>
  <c r="Z172" i="21"/>
  <c r="AA172" i="21"/>
  <c r="Z174" i="21"/>
  <c r="AA174" i="21"/>
  <c r="AB174" i="21"/>
  <c r="Z176" i="21"/>
  <c r="AA176" i="21"/>
  <c r="AB176" i="21"/>
  <c r="Z178" i="21"/>
  <c r="AA178" i="21"/>
  <c r="AB178" i="21"/>
  <c r="Z180" i="21"/>
  <c r="AA180" i="21"/>
  <c r="AB180" i="21"/>
  <c r="Z182" i="21"/>
  <c r="U215" i="12"/>
  <c r="U214" i="12" s="1"/>
  <c r="AA182" i="21"/>
  <c r="AB182" i="21"/>
  <c r="Z184" i="21"/>
  <c r="AA184" i="21"/>
  <c r="AB184" i="21"/>
  <c r="Z188" i="21"/>
  <c r="I45" i="10" s="1"/>
  <c r="AA188" i="21"/>
  <c r="AA187" i="21" s="1"/>
  <c r="AB188" i="21"/>
  <c r="AB187" i="21" s="1"/>
  <c r="AB186" i="21" s="1"/>
  <c r="Z191" i="21"/>
  <c r="AA191" i="21"/>
  <c r="AB191" i="21"/>
  <c r="Z193" i="21"/>
  <c r="Z190" i="21" s="1"/>
  <c r="AA193" i="21"/>
  <c r="AB193" i="21"/>
  <c r="Z195" i="21"/>
  <c r="AA195" i="21"/>
  <c r="AB195" i="21"/>
  <c r="Z197" i="21"/>
  <c r="AA197" i="21"/>
  <c r="AB197" i="21"/>
  <c r="Z201" i="21"/>
  <c r="AA201" i="21"/>
  <c r="AB201" i="21"/>
  <c r="AB204" i="21"/>
  <c r="AB203" i="21"/>
  <c r="Z204" i="21"/>
  <c r="Z203" i="21"/>
  <c r="AA204" i="21"/>
  <c r="AA203" i="21"/>
  <c r="Z209" i="21"/>
  <c r="AA209" i="21"/>
  <c r="AB209" i="21"/>
  <c r="Z211" i="21"/>
  <c r="AA211" i="21"/>
  <c r="AB211" i="21"/>
  <c r="Z213" i="21"/>
  <c r="AA213" i="21"/>
  <c r="AB213" i="21"/>
  <c r="Z215" i="21"/>
  <c r="AA215" i="21"/>
  <c r="AB215" i="21"/>
  <c r="Z219" i="21"/>
  <c r="AA219" i="21"/>
  <c r="AB219" i="21"/>
  <c r="Z223" i="21"/>
  <c r="Z222" i="21"/>
  <c r="Z221" i="21"/>
  <c r="AA223" i="21"/>
  <c r="AA222" i="21"/>
  <c r="AA221" i="21" s="1"/>
  <c r="AA483" i="21" s="1"/>
  <c r="AB223" i="21"/>
  <c r="AB222" i="21"/>
  <c r="F49" i="14" s="1"/>
  <c r="F47" i="14" s="1"/>
  <c r="Z228" i="21"/>
  <c r="AA228" i="21"/>
  <c r="AB228" i="21"/>
  <c r="Z230" i="21"/>
  <c r="AA230" i="21"/>
  <c r="AB230" i="21"/>
  <c r="Z233" i="21"/>
  <c r="AA233" i="21"/>
  <c r="Z239" i="21"/>
  <c r="AA239" i="21"/>
  <c r="AB239" i="21"/>
  <c r="Z241" i="21"/>
  <c r="AA241" i="21"/>
  <c r="AB241" i="21"/>
  <c r="Z246" i="21"/>
  <c r="AA246" i="21"/>
  <c r="AB246" i="21"/>
  <c r="Z249" i="21"/>
  <c r="Z248" i="21" s="1"/>
  <c r="AA249" i="21"/>
  <c r="AB249" i="21"/>
  <c r="Z251" i="21"/>
  <c r="AA251" i="21"/>
  <c r="AB251" i="21"/>
  <c r="AB255" i="21"/>
  <c r="Z255" i="21"/>
  <c r="AA256" i="21"/>
  <c r="AA255" i="21"/>
  <c r="Z257" i="21"/>
  <c r="AA257" i="21"/>
  <c r="AB257" i="21"/>
  <c r="Z260" i="21"/>
  <c r="AA260" i="21"/>
  <c r="Z262" i="21"/>
  <c r="AA262" i="21"/>
  <c r="AB262" i="21"/>
  <c r="Z264" i="21"/>
  <c r="AA264" i="21"/>
  <c r="AB264" i="21"/>
  <c r="AA267" i="21"/>
  <c r="AA485" i="21"/>
  <c r="AB267" i="21"/>
  <c r="AA273" i="21"/>
  <c r="AB273" i="21"/>
  <c r="Z274" i="21"/>
  <c r="AA274" i="21"/>
  <c r="AB274" i="21"/>
  <c r="Z275" i="21"/>
  <c r="Z276" i="21"/>
  <c r="AA276" i="21"/>
  <c r="AB276" i="21"/>
  <c r="AA280" i="21"/>
  <c r="AA279" i="21" s="1"/>
  <c r="AA278" i="21" s="1"/>
  <c r="AB280" i="21"/>
  <c r="AB279" i="21" s="1"/>
  <c r="Z354" i="21"/>
  <c r="Z353" i="21"/>
  <c r="Z352" i="21"/>
  <c r="AA354" i="21"/>
  <c r="AA353" i="21"/>
  <c r="AA352" i="21"/>
  <c r="AB354" i="21"/>
  <c r="AB353" i="21"/>
  <c r="AB352" i="21"/>
  <c r="Z359" i="21"/>
  <c r="AA359" i="21"/>
  <c r="AB359" i="21"/>
  <c r="Z363" i="21"/>
  <c r="AA363" i="21"/>
  <c r="AB363" i="21"/>
  <c r="Z365" i="21"/>
  <c r="AA365" i="21"/>
  <c r="AB365" i="21"/>
  <c r="Z367" i="21"/>
  <c r="AA367" i="21"/>
  <c r="AB367" i="21"/>
  <c r="Z369" i="21"/>
  <c r="AA369" i="21"/>
  <c r="AB369" i="21"/>
  <c r="Z372" i="21"/>
  <c r="AA372" i="21"/>
  <c r="AB372" i="21"/>
  <c r="Z376" i="21"/>
  <c r="AA376" i="21"/>
  <c r="AB376" i="21"/>
  <c r="Z378" i="21"/>
  <c r="AA378" i="21"/>
  <c r="AB378" i="21"/>
  <c r="Z380" i="21"/>
  <c r="AA380" i="21"/>
  <c r="AB380" i="21"/>
  <c r="Z382" i="21"/>
  <c r="AA382" i="21"/>
  <c r="AB382" i="21"/>
  <c r="Z384" i="21"/>
  <c r="AA384" i="21"/>
  <c r="AB384" i="21"/>
  <c r="Z386" i="21"/>
  <c r="AA386" i="21"/>
  <c r="AB386" i="21"/>
  <c r="Z388" i="21"/>
  <c r="AA388" i="21"/>
  <c r="AB388" i="21"/>
  <c r="Z390" i="21"/>
  <c r="AA390" i="21"/>
  <c r="AB390" i="21"/>
  <c r="Z392" i="21"/>
  <c r="AA392" i="21"/>
  <c r="AB392" i="21"/>
  <c r="Z394" i="21"/>
  <c r="AA394" i="21"/>
  <c r="AB394" i="21"/>
  <c r="Z396" i="21"/>
  <c r="AA396" i="21"/>
  <c r="AB396" i="21"/>
  <c r="Z398" i="21"/>
  <c r="AA398" i="21"/>
  <c r="AB398" i="21"/>
  <c r="AA401" i="21"/>
  <c r="AA400" i="21"/>
  <c r="AB401" i="21"/>
  <c r="AB400" i="21"/>
  <c r="AA412" i="21"/>
  <c r="AB412" i="21"/>
  <c r="Z416" i="21"/>
  <c r="AA416" i="21"/>
  <c r="AB416" i="21"/>
  <c r="Z420" i="21"/>
  <c r="AA420" i="21"/>
  <c r="AB420" i="21"/>
  <c r="AA424" i="21"/>
  <c r="AA423" i="21"/>
  <c r="AB424" i="21"/>
  <c r="AB423" i="21"/>
  <c r="AA428" i="21"/>
  <c r="AB428" i="21"/>
  <c r="Z431" i="21"/>
  <c r="AA431" i="21"/>
  <c r="AB431" i="21"/>
  <c r="AA433" i="21"/>
  <c r="AB433" i="21"/>
  <c r="AA436" i="21"/>
  <c r="AB436" i="21"/>
  <c r="Z440" i="21"/>
  <c r="AA440" i="21"/>
  <c r="AB440" i="21"/>
  <c r="AA451" i="21"/>
  <c r="AB451" i="21"/>
  <c r="Z452" i="21"/>
  <c r="AA452" i="21"/>
  <c r="AB452" i="21"/>
  <c r="Z453" i="21"/>
  <c r="AA453" i="21"/>
  <c r="AB453" i="21"/>
  <c r="AA455" i="21"/>
  <c r="AB455" i="21"/>
  <c r="Z454" i="21"/>
  <c r="AA456" i="21"/>
  <c r="AB456" i="21"/>
  <c r="Z461" i="21"/>
  <c r="Z460" i="21"/>
  <c r="Z459" i="21"/>
  <c r="AA461" i="21"/>
  <c r="AA460" i="21"/>
  <c r="AA459" i="21"/>
  <c r="AB461" i="21"/>
  <c r="AB460" i="21"/>
  <c r="AB459" i="21"/>
  <c r="Z465" i="21"/>
  <c r="Z464" i="21"/>
  <c r="Z463" i="21"/>
  <c r="AA465" i="21"/>
  <c r="AA464" i="21"/>
  <c r="AA463" i="21"/>
  <c r="AB465" i="21"/>
  <c r="AB464" i="21"/>
  <c r="AB463" i="21"/>
  <c r="Z472" i="21"/>
  <c r="AA472" i="21"/>
  <c r="AB472" i="21"/>
  <c r="Z474" i="21"/>
  <c r="AA474" i="21"/>
  <c r="AB474" i="21"/>
  <c r="Z476" i="21"/>
  <c r="AA476" i="21"/>
  <c r="AB476" i="21"/>
  <c r="Z23" i="21"/>
  <c r="I52" i="10"/>
  <c r="I53" i="10" s="1"/>
  <c r="I31" i="10"/>
  <c r="I32" i="10" s="1"/>
  <c r="J29" i="10"/>
  <c r="J30" i="10" s="1"/>
  <c r="AB232" i="21"/>
  <c r="Z232" i="21"/>
  <c r="Z151" i="21"/>
  <c r="D33" i="14"/>
  <c r="I29" i="10"/>
  <c r="I30" i="10" s="1"/>
  <c r="AB454" i="21"/>
  <c r="Z411" i="21"/>
  <c r="Z272" i="21"/>
  <c r="Z271" i="21"/>
  <c r="Z270" i="21"/>
  <c r="AB248" i="21"/>
  <c r="AA232" i="21"/>
  <c r="K29" i="10"/>
  <c r="K30" i="10" s="1"/>
  <c r="K43" i="10"/>
  <c r="AB66" i="21"/>
  <c r="K41" i="10"/>
  <c r="AA66" i="21"/>
  <c r="J41" i="10"/>
  <c r="J43" i="10"/>
  <c r="AB151" i="21"/>
  <c r="F33" i="14"/>
  <c r="I24" i="10"/>
  <c r="Z169" i="21"/>
  <c r="D35" i="14"/>
  <c r="Z227" i="21"/>
  <c r="AB134" i="21"/>
  <c r="AB254" i="21"/>
  <c r="AB450" i="21"/>
  <c r="Z259" i="21"/>
  <c r="AA26" i="21"/>
  <c r="AA23" i="21"/>
  <c r="Z471" i="21"/>
  <c r="Z470" i="21"/>
  <c r="AA454" i="21"/>
  <c r="Z427" i="21"/>
  <c r="Z422" i="21" s="1"/>
  <c r="AA411" i="21"/>
  <c r="AA272" i="21"/>
  <c r="AA271" i="21"/>
  <c r="AA270" i="21"/>
  <c r="AA266" i="21"/>
  <c r="Z254" i="21"/>
  <c r="AA227" i="21"/>
  <c r="AB26" i="21"/>
  <c r="AB23" i="21"/>
  <c r="AA450" i="21"/>
  <c r="Z450" i="21"/>
  <c r="AB190" i="21"/>
  <c r="D28" i="14"/>
  <c r="AB471" i="21"/>
  <c r="AB470" i="21"/>
  <c r="AA254" i="21"/>
  <c r="AA248" i="21"/>
  <c r="AB227" i="21"/>
  <c r="AA471" i="21"/>
  <c r="AA470" i="21"/>
  <c r="AB272" i="21"/>
  <c r="AB271" i="21"/>
  <c r="AB270" i="21"/>
  <c r="AB266" i="21"/>
  <c r="AA104" i="21"/>
  <c r="AB16" i="21"/>
  <c r="AA16" i="21"/>
  <c r="Z16" i="21"/>
  <c r="AA259" i="21"/>
  <c r="AA134" i="21"/>
  <c r="AB104" i="21"/>
  <c r="AB411" i="21"/>
  <c r="AB259" i="21"/>
  <c r="AB226" i="21"/>
  <c r="AB169" i="21"/>
  <c r="AA208" i="21"/>
  <c r="AA207" i="21"/>
  <c r="AB162" i="21"/>
  <c r="AB485" i="21"/>
  <c r="AA162" i="21"/>
  <c r="AB371" i="21"/>
  <c r="AA371" i="21"/>
  <c r="AA427" i="21"/>
  <c r="AA422" i="21"/>
  <c r="AB358" i="21"/>
  <c r="AB208" i="21"/>
  <c r="AB207" i="21"/>
  <c r="AB111" i="21"/>
  <c r="AA111" i="21"/>
  <c r="AB427" i="21"/>
  <c r="AB422" i="21"/>
  <c r="AA169" i="21"/>
  <c r="AA358" i="21"/>
  <c r="AA190" i="21"/>
  <c r="AB141" i="21"/>
  <c r="AA141" i="21"/>
  <c r="AB449" i="21"/>
  <c r="AB448" i="21"/>
  <c r="AB447" i="21"/>
  <c r="AA253" i="21"/>
  <c r="AB253" i="21"/>
  <c r="AA449" i="21"/>
  <c r="AA448" i="21"/>
  <c r="Z253" i="21"/>
  <c r="AA447" i="21"/>
  <c r="AA226" i="21"/>
  <c r="AB357" i="21"/>
  <c r="AB356" i="21"/>
  <c r="AB150" i="21"/>
  <c r="AA357" i="21"/>
  <c r="AA356" i="21"/>
  <c r="G23" i="20"/>
  <c r="G66" i="20"/>
  <c r="F23" i="20"/>
  <c r="F66" i="20"/>
  <c r="G15" i="20"/>
  <c r="G61" i="20"/>
  <c r="F15" i="20"/>
  <c r="F61" i="20"/>
  <c r="G70" i="20"/>
  <c r="G64" i="20"/>
  <c r="G69" i="20"/>
  <c r="E66" i="20"/>
  <c r="E69" i="20"/>
  <c r="F64" i="20"/>
  <c r="F69" i="20"/>
  <c r="F70" i="20"/>
  <c r="F64" i="14"/>
  <c r="E64" i="14"/>
  <c r="F63" i="14"/>
  <c r="F62" i="14" s="1"/>
  <c r="E63" i="14"/>
  <c r="E62" i="14" s="1"/>
  <c r="D63" i="14"/>
  <c r="D62" i="14" s="1"/>
  <c r="F59" i="14"/>
  <c r="E59" i="14"/>
  <c r="D59" i="14"/>
  <c r="F56" i="14"/>
  <c r="E56" i="14"/>
  <c r="D56" i="14"/>
  <c r="F53" i="14"/>
  <c r="E53" i="14"/>
  <c r="F52" i="14"/>
  <c r="E52" i="14"/>
  <c r="D52" i="14"/>
  <c r="F51" i="14"/>
  <c r="E51" i="14"/>
  <c r="D51" i="14"/>
  <c r="D49" i="14"/>
  <c r="D47" i="14" s="1"/>
  <c r="F46" i="14"/>
  <c r="F45" i="14" s="1"/>
  <c r="E46" i="14"/>
  <c r="E45" i="14" s="1"/>
  <c r="F44" i="14"/>
  <c r="E44" i="14"/>
  <c r="D44" i="14"/>
  <c r="F43" i="14"/>
  <c r="E43" i="14"/>
  <c r="F40" i="14"/>
  <c r="E40" i="14"/>
  <c r="F35" i="14"/>
  <c r="E35" i="14"/>
  <c r="F34" i="14"/>
  <c r="E34" i="14"/>
  <c r="F31" i="14"/>
  <c r="E31" i="14"/>
  <c r="F30" i="14"/>
  <c r="E30" i="14"/>
  <c r="F29" i="14"/>
  <c r="E29" i="14"/>
  <c r="F28" i="14"/>
  <c r="E28" i="14"/>
  <c r="F22" i="14"/>
  <c r="E22" i="14"/>
  <c r="F19" i="14"/>
  <c r="E19" i="14"/>
  <c r="D17" i="14"/>
  <c r="W48" i="12"/>
  <c r="W47" i="12" s="1"/>
  <c r="V48" i="12"/>
  <c r="V47" i="12" s="1"/>
  <c r="U48" i="12"/>
  <c r="U47" i="12" s="1"/>
  <c r="W258" i="12"/>
  <c r="W257" i="12" s="1"/>
  <c r="V258" i="12"/>
  <c r="V257" i="12" s="1"/>
  <c r="U258" i="12"/>
  <c r="U257" i="12" s="1"/>
  <c r="W294" i="12"/>
  <c r="V294" i="12"/>
  <c r="U294" i="12"/>
  <c r="W295" i="12"/>
  <c r="V295" i="12"/>
  <c r="U295" i="12"/>
  <c r="W123" i="12"/>
  <c r="W122" i="12" s="1"/>
  <c r="V123" i="12"/>
  <c r="V122" i="12" s="1"/>
  <c r="U123" i="12"/>
  <c r="U122" i="12" s="1"/>
  <c r="W121" i="12"/>
  <c r="W120" i="12" s="1"/>
  <c r="V121" i="12"/>
  <c r="V120" i="12" s="1"/>
  <c r="U121" i="12"/>
  <c r="U120" i="12" s="1"/>
  <c r="W365" i="12"/>
  <c r="W364" i="12" s="1"/>
  <c r="V365" i="12"/>
  <c r="V364" i="12" s="1"/>
  <c r="U365" i="12"/>
  <c r="U364" i="12" s="1"/>
  <c r="W363" i="12"/>
  <c r="W362" i="12" s="1"/>
  <c r="V363" i="12"/>
  <c r="V362" i="12" s="1"/>
  <c r="U363" i="12"/>
  <c r="U362" i="12" s="1"/>
  <c r="W393" i="12"/>
  <c r="W392" i="12" s="1"/>
  <c r="W391" i="12" s="1"/>
  <c r="W390" i="12" s="1"/>
  <c r="V393" i="12"/>
  <c r="V392" i="12" s="1"/>
  <c r="V391" i="12" s="1"/>
  <c r="V390" i="12" s="1"/>
  <c r="U393" i="12"/>
  <c r="U392" i="12" s="1"/>
  <c r="U391" i="12" s="1"/>
  <c r="U390" i="12" s="1"/>
  <c r="W389" i="12"/>
  <c r="W388" i="12" s="1"/>
  <c r="V389" i="12"/>
  <c r="V388" i="12" s="1"/>
  <c r="U389" i="12"/>
  <c r="U388" i="12" s="1"/>
  <c r="W387" i="12"/>
  <c r="W386" i="12" s="1"/>
  <c r="V387" i="12"/>
  <c r="V386" i="12" s="1"/>
  <c r="U387" i="12"/>
  <c r="U386" i="12" s="1"/>
  <c r="W385" i="12"/>
  <c r="W384" i="12" s="1"/>
  <c r="V385" i="12"/>
  <c r="V384" i="12" s="1"/>
  <c r="U385" i="12"/>
  <c r="U384" i="12" s="1"/>
  <c r="W382" i="12"/>
  <c r="W381" i="12" s="1"/>
  <c r="V382" i="12"/>
  <c r="V381" i="12" s="1"/>
  <c r="U382" i="12"/>
  <c r="U381" i="12" s="1"/>
  <c r="W371" i="12"/>
  <c r="V371" i="12"/>
  <c r="U371" i="12"/>
  <c r="W372" i="12"/>
  <c r="V372" i="12"/>
  <c r="U372" i="12"/>
  <c r="W368" i="12"/>
  <c r="V368" i="12"/>
  <c r="U368" i="12"/>
  <c r="W369" i="12"/>
  <c r="V369" i="12"/>
  <c r="U369" i="12"/>
  <c r="W361" i="12"/>
  <c r="W359" i="12" s="1"/>
  <c r="V361" i="12"/>
  <c r="V359" i="12" s="1"/>
  <c r="U361" i="12"/>
  <c r="W358" i="12"/>
  <c r="W357" i="12" s="1"/>
  <c r="V358" i="12"/>
  <c r="V357" i="12" s="1"/>
  <c r="U358" i="12"/>
  <c r="U357" i="12" s="1"/>
  <c r="W356" i="12"/>
  <c r="W354" i="12" s="1"/>
  <c r="V356" i="12"/>
  <c r="V354" i="12" s="1"/>
  <c r="U356" i="12"/>
  <c r="W352" i="12"/>
  <c r="W351" i="12" s="1"/>
  <c r="V352" i="12"/>
  <c r="V351" i="12" s="1"/>
  <c r="U352" i="12"/>
  <c r="U351" i="12" s="1"/>
  <c r="W347" i="12"/>
  <c r="W346" i="12" s="1"/>
  <c r="V347" i="12"/>
  <c r="V346" i="12" s="1"/>
  <c r="U347" i="12"/>
  <c r="U346" i="12" s="1"/>
  <c r="W345" i="12"/>
  <c r="W344" i="12" s="1"/>
  <c r="V345" i="12"/>
  <c r="V344" i="12" s="1"/>
  <c r="U345" i="12"/>
  <c r="U344" i="12" s="1"/>
  <c r="W339" i="12"/>
  <c r="W338" i="12" s="1"/>
  <c r="V339" i="12"/>
  <c r="V338" i="12" s="1"/>
  <c r="U339" i="12"/>
  <c r="U338" i="12" s="1"/>
  <c r="W336" i="12"/>
  <c r="W334" i="12" s="1"/>
  <c r="V336" i="12"/>
  <c r="V334" i="12" s="1"/>
  <c r="U336" i="12"/>
  <c r="W333" i="12"/>
  <c r="W332" i="12" s="1"/>
  <c r="V333" i="12"/>
  <c r="V332" i="12" s="1"/>
  <c r="U333" i="12"/>
  <c r="U332" i="12" s="1"/>
  <c r="W328" i="12"/>
  <c r="V328" i="12"/>
  <c r="U328" i="12"/>
  <c r="W329" i="12"/>
  <c r="V329" i="12"/>
  <c r="U329" i="12"/>
  <c r="W320" i="12"/>
  <c r="W319" i="12" s="1"/>
  <c r="V320" i="12"/>
  <c r="V319" i="12" s="1"/>
  <c r="U320" i="12"/>
  <c r="U319" i="12" s="1"/>
  <c r="W316" i="12"/>
  <c r="W315" i="12" s="1"/>
  <c r="V316" i="12"/>
  <c r="V315" i="12" s="1"/>
  <c r="U316" i="12"/>
  <c r="U315" i="12" s="1"/>
  <c r="W314" i="12"/>
  <c r="W313" i="12" s="1"/>
  <c r="V314" i="12"/>
  <c r="V313" i="12" s="1"/>
  <c r="U314" i="12"/>
  <c r="U313" i="12" s="1"/>
  <c r="W312" i="12"/>
  <c r="W311" i="12" s="1"/>
  <c r="V312" i="12"/>
  <c r="V311" i="12" s="1"/>
  <c r="U312" i="12"/>
  <c r="U311" i="12" s="1"/>
  <c r="W310" i="12"/>
  <c r="W309" i="12" s="1"/>
  <c r="V310" i="12"/>
  <c r="V309" i="12" s="1"/>
  <c r="U310" i="12"/>
  <c r="U309" i="12" s="1"/>
  <c r="W308" i="12"/>
  <c r="W307" i="12" s="1"/>
  <c r="V308" i="12"/>
  <c r="V307" i="12" s="1"/>
  <c r="U308" i="12"/>
  <c r="U307" i="12" s="1"/>
  <c r="W306" i="12"/>
  <c r="W305" i="12" s="1"/>
  <c r="V306" i="12"/>
  <c r="V305" i="12" s="1"/>
  <c r="U306" i="12"/>
  <c r="U305" i="12" s="1"/>
  <c r="W302" i="12"/>
  <c r="W301" i="12" s="1"/>
  <c r="V302" i="12"/>
  <c r="V301" i="12" s="1"/>
  <c r="U302" i="12"/>
  <c r="U301" i="12" s="1"/>
  <c r="W298" i="12"/>
  <c r="V298" i="12"/>
  <c r="U298" i="12"/>
  <c r="W299" i="12"/>
  <c r="V299" i="12"/>
  <c r="U299" i="12"/>
  <c r="W300" i="12"/>
  <c r="V300" i="12"/>
  <c r="U300" i="12"/>
  <c r="W291" i="12"/>
  <c r="U291" i="12"/>
  <c r="W292" i="12"/>
  <c r="W281" i="12"/>
  <c r="W279" i="12" s="1"/>
  <c r="V281" i="12"/>
  <c r="V279" i="12" s="1"/>
  <c r="U281" i="12"/>
  <c r="W278" i="12"/>
  <c r="W277" i="12" s="1"/>
  <c r="V278" i="12"/>
  <c r="V277" i="12" s="1"/>
  <c r="U278" i="12"/>
  <c r="U277" i="12" s="1"/>
  <c r="W274" i="12"/>
  <c r="W273" i="12" s="1"/>
  <c r="V274" i="12"/>
  <c r="V273" i="12" s="1"/>
  <c r="U274" i="12"/>
  <c r="U273" i="12" s="1"/>
  <c r="W272" i="12"/>
  <c r="W271" i="12" s="1"/>
  <c r="V272" i="12"/>
  <c r="V271" i="12" s="1"/>
  <c r="U272" i="12"/>
  <c r="U271" i="12" s="1"/>
  <c r="W270" i="12"/>
  <c r="W269" i="12" s="1"/>
  <c r="V270" i="12"/>
  <c r="V269" i="12" s="1"/>
  <c r="U270" i="12"/>
  <c r="U269" i="12" s="1"/>
  <c r="W268" i="12"/>
  <c r="W267" i="12" s="1"/>
  <c r="V268" i="12"/>
  <c r="V267" i="12" s="1"/>
  <c r="U268" i="12"/>
  <c r="U267" i="12" s="1"/>
  <c r="W246" i="12"/>
  <c r="W245" i="12" s="1"/>
  <c r="V246" i="12"/>
  <c r="V245" i="12" s="1"/>
  <c r="U246" i="12"/>
  <c r="U245" i="12" s="1"/>
  <c r="W242" i="12"/>
  <c r="W241" i="12" s="1"/>
  <c r="V242" i="12"/>
  <c r="V241" i="12" s="1"/>
  <c r="U242" i="12"/>
  <c r="U241" i="12" s="1"/>
  <c r="W262" i="12"/>
  <c r="W261" i="12" s="1"/>
  <c r="V262" i="12"/>
  <c r="V261" i="12" s="1"/>
  <c r="U262" i="12"/>
  <c r="U261" i="12" s="1"/>
  <c r="W260" i="12"/>
  <c r="W259" i="12" s="1"/>
  <c r="V260" i="12"/>
  <c r="V259" i="12" s="1"/>
  <c r="U260" i="12"/>
  <c r="U259" i="12" s="1"/>
  <c r="W256" i="12"/>
  <c r="W255" i="12" s="1"/>
  <c r="V256" i="12"/>
  <c r="V255" i="12" s="1"/>
  <c r="U256" i="12"/>
  <c r="U255" i="12" s="1"/>
  <c r="W254" i="12"/>
  <c r="W253" i="12" s="1"/>
  <c r="V254" i="12"/>
  <c r="V253" i="12" s="1"/>
  <c r="U254" i="12"/>
  <c r="U253" i="12" s="1"/>
  <c r="W252" i="12"/>
  <c r="W251" i="12" s="1"/>
  <c r="V252" i="12"/>
  <c r="V251" i="12" s="1"/>
  <c r="U252" i="12"/>
  <c r="U251" i="12" s="1"/>
  <c r="W250" i="12"/>
  <c r="W249" i="12" s="1"/>
  <c r="V250" i="12"/>
  <c r="V249" i="12" s="1"/>
  <c r="U250" i="12"/>
  <c r="U249" i="12" s="1"/>
  <c r="W248" i="12"/>
  <c r="W247" i="12" s="1"/>
  <c r="V248" i="12"/>
  <c r="V247" i="12" s="1"/>
  <c r="U248" i="12"/>
  <c r="U247" i="12" s="1"/>
  <c r="W244" i="12"/>
  <c r="W243" i="12" s="1"/>
  <c r="V244" i="12"/>
  <c r="V243" i="12" s="1"/>
  <c r="U244" i="12"/>
  <c r="U243" i="12" s="1"/>
  <c r="W240" i="12"/>
  <c r="W239" i="12" s="1"/>
  <c r="V240" i="12"/>
  <c r="V239" i="12" s="1"/>
  <c r="U240" i="12"/>
  <c r="U239" i="12" s="1"/>
  <c r="W238" i="12"/>
  <c r="W237" i="12" s="1"/>
  <c r="V238" i="12"/>
  <c r="V237" i="12" s="1"/>
  <c r="U238" i="12"/>
  <c r="U237" i="12" s="1"/>
  <c r="W234" i="12"/>
  <c r="W233" i="12" s="1"/>
  <c r="V234" i="12"/>
  <c r="V233" i="12" s="1"/>
  <c r="U234" i="12"/>
  <c r="U233" i="12" s="1"/>
  <c r="W231" i="12"/>
  <c r="W230" i="12" s="1"/>
  <c r="V231" i="12"/>
  <c r="V230" i="12" s="1"/>
  <c r="U231" i="12"/>
  <c r="U230" i="12" s="1"/>
  <c r="W229" i="12"/>
  <c r="W228" i="12" s="1"/>
  <c r="V229" i="12"/>
  <c r="V228" i="12" s="1"/>
  <c r="U229" i="12"/>
  <c r="U228" i="12" s="1"/>
  <c r="W227" i="12"/>
  <c r="W226" i="12" s="1"/>
  <c r="V227" i="12"/>
  <c r="V226" i="12" s="1"/>
  <c r="U227" i="12"/>
  <c r="U226" i="12" s="1"/>
  <c r="W225" i="12"/>
  <c r="W224" i="12" s="1"/>
  <c r="V225" i="12"/>
  <c r="V224" i="12" s="1"/>
  <c r="U225" i="12"/>
  <c r="U224" i="12" s="1"/>
  <c r="W221" i="12"/>
  <c r="W220" i="12" s="1"/>
  <c r="V221" i="12"/>
  <c r="V220" i="12" s="1"/>
  <c r="U221" i="12"/>
  <c r="U220" i="12" s="1"/>
  <c r="W217" i="12"/>
  <c r="W216" i="12" s="1"/>
  <c r="V217" i="12"/>
  <c r="V216" i="12" s="1"/>
  <c r="U217" i="12"/>
  <c r="U216" i="12" s="1"/>
  <c r="W213" i="12"/>
  <c r="W212" i="12" s="1"/>
  <c r="V213" i="12"/>
  <c r="V212" i="12" s="1"/>
  <c r="W211" i="12"/>
  <c r="W210" i="12" s="1"/>
  <c r="V211" i="12"/>
  <c r="V210" i="12" s="1"/>
  <c r="U211" i="12"/>
  <c r="U210" i="12" s="1"/>
  <c r="W209" i="12"/>
  <c r="W208" i="12" s="1"/>
  <c r="V209" i="12"/>
  <c r="V208" i="12" s="1"/>
  <c r="U209" i="12"/>
  <c r="U208" i="12" s="1"/>
  <c r="W207" i="12"/>
  <c r="W206" i="12" s="1"/>
  <c r="V207" i="12"/>
  <c r="V206" i="12" s="1"/>
  <c r="U207" i="12"/>
  <c r="U206" i="12" s="1"/>
  <c r="W203" i="12"/>
  <c r="W202" i="12" s="1"/>
  <c r="V203" i="12"/>
  <c r="V202" i="12" s="1"/>
  <c r="U203" i="12"/>
  <c r="U202" i="12" s="1"/>
  <c r="W201" i="12"/>
  <c r="W200" i="12" s="1"/>
  <c r="V201" i="12"/>
  <c r="V200" i="12" s="1"/>
  <c r="U201" i="12"/>
  <c r="U200" i="12" s="1"/>
  <c r="W197" i="12"/>
  <c r="W196" i="12" s="1"/>
  <c r="V197" i="12"/>
  <c r="V196" i="12" s="1"/>
  <c r="U197" i="12"/>
  <c r="U196" i="12" s="1"/>
  <c r="W194" i="12"/>
  <c r="W193" i="12" s="1"/>
  <c r="V194" i="12"/>
  <c r="V193" i="12" s="1"/>
  <c r="U194" i="12"/>
  <c r="U193" i="12" s="1"/>
  <c r="W181" i="12"/>
  <c r="W180" i="12" s="1"/>
  <c r="V181" i="12"/>
  <c r="V180" i="12" s="1"/>
  <c r="U181" i="12"/>
  <c r="U180" i="12" s="1"/>
  <c r="W185" i="12"/>
  <c r="W184" i="12" s="1"/>
  <c r="V185" i="12"/>
  <c r="V184" i="12" s="1"/>
  <c r="U185" i="12"/>
  <c r="U184" i="12" s="1"/>
  <c r="W179" i="12"/>
  <c r="W178" i="12" s="1"/>
  <c r="V179" i="12"/>
  <c r="V178" i="12" s="1"/>
  <c r="U179" i="12"/>
  <c r="U178" i="12" s="1"/>
  <c r="W171" i="12"/>
  <c r="W170" i="12" s="1"/>
  <c r="V171" i="12"/>
  <c r="V170" i="12" s="1"/>
  <c r="U171" i="12"/>
  <c r="U170" i="12" s="1"/>
  <c r="W169" i="12"/>
  <c r="W168" i="12" s="1"/>
  <c r="V169" i="12"/>
  <c r="V168" i="12" s="1"/>
  <c r="U169" i="12"/>
  <c r="U168" i="12" s="1"/>
  <c r="W167" i="12"/>
  <c r="W166" i="12" s="1"/>
  <c r="V167" i="12"/>
  <c r="V166" i="12" s="1"/>
  <c r="U167" i="12"/>
  <c r="U166" i="12" s="1"/>
  <c r="W158" i="12"/>
  <c r="W157" i="12" s="1"/>
  <c r="V158" i="12"/>
  <c r="V157" i="12" s="1"/>
  <c r="U158" i="12"/>
  <c r="U157" i="12" s="1"/>
  <c r="W156" i="12"/>
  <c r="W155" i="12" s="1"/>
  <c r="V156" i="12"/>
  <c r="V155" i="12" s="1"/>
  <c r="U156" i="12"/>
  <c r="U155" i="12" s="1"/>
  <c r="W151" i="12"/>
  <c r="W150" i="12" s="1"/>
  <c r="V151" i="12"/>
  <c r="V150" i="12" s="1"/>
  <c r="U151" i="12"/>
  <c r="U150" i="12" s="1"/>
  <c r="W149" i="12"/>
  <c r="W148" i="12" s="1"/>
  <c r="V149" i="12"/>
  <c r="V148" i="12" s="1"/>
  <c r="U149" i="12"/>
  <c r="U148" i="12" s="1"/>
  <c r="W145" i="12"/>
  <c r="W144" i="12" s="1"/>
  <c r="V145" i="12"/>
  <c r="V144" i="12" s="1"/>
  <c r="U145" i="12"/>
  <c r="U144" i="12" s="1"/>
  <c r="W143" i="12"/>
  <c r="W142" i="12" s="1"/>
  <c r="V143" i="12"/>
  <c r="V142" i="12" s="1"/>
  <c r="U143" i="12"/>
  <c r="U142" i="12" s="1"/>
  <c r="W141" i="12"/>
  <c r="W140" i="12" s="1"/>
  <c r="V141" i="12"/>
  <c r="V140" i="12" s="1"/>
  <c r="U141" i="12"/>
  <c r="U140" i="12" s="1"/>
  <c r="W139" i="12"/>
  <c r="W138" i="12" s="1"/>
  <c r="V139" i="12"/>
  <c r="V138" i="12" s="1"/>
  <c r="U139" i="12"/>
  <c r="U138" i="12" s="1"/>
  <c r="W135" i="12"/>
  <c r="W134" i="12" s="1"/>
  <c r="V135" i="12"/>
  <c r="V134" i="12" s="1"/>
  <c r="U135" i="12"/>
  <c r="U134" i="12" s="1"/>
  <c r="W133" i="12"/>
  <c r="W132" i="12" s="1"/>
  <c r="V133" i="12"/>
  <c r="V132" i="12" s="1"/>
  <c r="U133" i="12"/>
  <c r="U132" i="12" s="1"/>
  <c r="W126" i="12"/>
  <c r="W125" i="12" s="1"/>
  <c r="V126" i="12"/>
  <c r="V125" i="12" s="1"/>
  <c r="U126" i="12"/>
  <c r="U125" i="12" s="1"/>
  <c r="W119" i="12"/>
  <c r="W118" i="12" s="1"/>
  <c r="V119" i="12"/>
  <c r="V118" i="12" s="1"/>
  <c r="U119" i="12"/>
  <c r="U118" i="12" s="1"/>
  <c r="W115" i="12"/>
  <c r="W114" i="12" s="1"/>
  <c r="V115" i="12"/>
  <c r="V114" i="12" s="1"/>
  <c r="U115" i="12"/>
  <c r="U114" i="12" s="1"/>
  <c r="W113" i="12"/>
  <c r="W112" i="12" s="1"/>
  <c r="V113" i="12"/>
  <c r="V112" i="12" s="1"/>
  <c r="U113" i="12"/>
  <c r="U112" i="12" s="1"/>
  <c r="W107" i="12"/>
  <c r="W106" i="12" s="1"/>
  <c r="V107" i="12"/>
  <c r="V106" i="12" s="1"/>
  <c r="U107" i="12"/>
  <c r="U106" i="12" s="1"/>
  <c r="W105" i="12"/>
  <c r="W104" i="12" s="1"/>
  <c r="V105" i="12"/>
  <c r="V104" i="12" s="1"/>
  <c r="U105" i="12"/>
  <c r="U104" i="12" s="1"/>
  <c r="W103" i="12"/>
  <c r="W102" i="12" s="1"/>
  <c r="V103" i="12"/>
  <c r="V102" i="12" s="1"/>
  <c r="U103" i="12"/>
  <c r="U102" i="12" s="1"/>
  <c r="W101" i="12"/>
  <c r="W100" i="12" s="1"/>
  <c r="V101" i="12"/>
  <c r="V100" i="12" s="1"/>
  <c r="U101" i="12"/>
  <c r="U100" i="12" s="1"/>
  <c r="W86" i="12"/>
  <c r="W85" i="12" s="1"/>
  <c r="V86" i="12"/>
  <c r="V85" i="12" s="1"/>
  <c r="U86" i="12"/>
  <c r="U85" i="12" s="1"/>
  <c r="W88" i="12"/>
  <c r="W87" i="12" s="1"/>
  <c r="V88" i="12"/>
  <c r="V87" i="12" s="1"/>
  <c r="U88" i="12"/>
  <c r="U87" i="12" s="1"/>
  <c r="W76" i="12"/>
  <c r="V76" i="12"/>
  <c r="U76" i="12"/>
  <c r="W75" i="12"/>
  <c r="V75" i="12"/>
  <c r="U75" i="12"/>
  <c r="W80" i="12"/>
  <c r="W79" i="12" s="1"/>
  <c r="V80" i="12"/>
  <c r="V79" i="12" s="1"/>
  <c r="U80" i="12"/>
  <c r="U79" i="12" s="1"/>
  <c r="W67" i="12"/>
  <c r="W66" i="12" s="1"/>
  <c r="V67" i="12"/>
  <c r="V66" i="12" s="1"/>
  <c r="U67" i="12"/>
  <c r="U66" i="12" s="1"/>
  <c r="W54" i="12"/>
  <c r="W53" i="12" s="1"/>
  <c r="V54" i="12"/>
  <c r="V53" i="12" s="1"/>
  <c r="U54" i="12"/>
  <c r="U53" i="12" s="1"/>
  <c r="W51" i="12"/>
  <c r="W50" i="12" s="1"/>
  <c r="W49" i="12" s="1"/>
  <c r="V51" i="12"/>
  <c r="V50" i="12" s="1"/>
  <c r="V49" i="12" s="1"/>
  <c r="U51" i="12"/>
  <c r="U50" i="12" s="1"/>
  <c r="U49" i="12" s="1"/>
  <c r="W44" i="12"/>
  <c r="W43" i="12" s="1"/>
  <c r="V44" i="12"/>
  <c r="V43" i="12" s="1"/>
  <c r="U44" i="12"/>
  <c r="U43" i="12" s="1"/>
  <c r="W42" i="12"/>
  <c r="V42" i="12"/>
  <c r="W37" i="12"/>
  <c r="W36" i="12" s="1"/>
  <c r="W35" i="12" s="1"/>
  <c r="V37" i="12"/>
  <c r="V36" i="12" s="1"/>
  <c r="V35" i="12" s="1"/>
  <c r="U37" i="12"/>
  <c r="U36" i="12" s="1"/>
  <c r="U35" i="12" s="1"/>
  <c r="W33" i="12"/>
  <c r="V33" i="12"/>
  <c r="U33" i="12"/>
  <c r="W34" i="12"/>
  <c r="V34" i="12"/>
  <c r="U34" i="12"/>
  <c r="W25" i="12"/>
  <c r="W24" i="12" s="1"/>
  <c r="V25" i="12"/>
  <c r="V24" i="12" s="1"/>
  <c r="U25" i="12"/>
  <c r="U24" i="12" s="1"/>
  <c r="W22" i="12"/>
  <c r="V22" i="12"/>
  <c r="U22" i="12"/>
  <c r="V18" i="12"/>
  <c r="V17" i="12" s="1"/>
  <c r="U18" i="12"/>
  <c r="U17" i="12" s="1"/>
  <c r="V394" i="12"/>
  <c r="W394" i="12"/>
  <c r="J48" i="10"/>
  <c r="K40" i="10"/>
  <c r="J40" i="10"/>
  <c r="I40" i="10"/>
  <c r="U42" i="12"/>
  <c r="W41" i="12"/>
  <c r="V41" i="12"/>
  <c r="U41" i="12"/>
  <c r="W40" i="12"/>
  <c r="V40" i="12"/>
  <c r="U40" i="12"/>
  <c r="I14" i="10"/>
  <c r="I15" i="10" s="1"/>
  <c r="W21" i="12"/>
  <c r="V21" i="12"/>
  <c r="J24" i="10"/>
  <c r="K24" i="10"/>
  <c r="K48" i="10"/>
  <c r="I48" i="10"/>
  <c r="K37" i="10"/>
  <c r="J37" i="10"/>
  <c r="W64" i="12"/>
  <c r="V64" i="12"/>
  <c r="U64" i="12"/>
  <c r="I16" i="10"/>
  <c r="W62" i="12"/>
  <c r="V62" i="12"/>
  <c r="U62" i="12"/>
  <c r="W61" i="12"/>
  <c r="V61" i="12"/>
  <c r="U61" i="12"/>
  <c r="W60" i="12"/>
  <c r="V60" i="12"/>
  <c r="U60" i="12"/>
  <c r="K14" i="10"/>
  <c r="K15" i="10" s="1"/>
  <c r="J14" i="10"/>
  <c r="J15" i="10" s="1"/>
  <c r="K27" i="10"/>
  <c r="K28" i="10" s="1"/>
  <c r="J27" i="10"/>
  <c r="J28" i="10" s="1"/>
  <c r="I27" i="10"/>
  <c r="I28" i="10" s="1"/>
  <c r="W350" i="12"/>
  <c r="J33" i="10"/>
  <c r="J34" i="10" s="1"/>
  <c r="V380" i="12"/>
  <c r="V379" i="12" s="1"/>
  <c r="V65" i="12"/>
  <c r="K39" i="10"/>
  <c r="J52" i="10"/>
  <c r="J53" i="10" s="1"/>
  <c r="U324" i="12"/>
  <c r="U323" i="12" s="1"/>
  <c r="K33" i="10"/>
  <c r="K34" i="10" s="1"/>
  <c r="W380" i="12"/>
  <c r="W379" i="12" s="1"/>
  <c r="W65" i="12"/>
  <c r="J16" i="10"/>
  <c r="V324" i="12"/>
  <c r="V323" i="12" s="1"/>
  <c r="U350" i="12"/>
  <c r="I39" i="10"/>
  <c r="K16" i="10"/>
  <c r="W324" i="12"/>
  <c r="W323" i="12" s="1"/>
  <c r="V350" i="12"/>
  <c r="I33" i="10"/>
  <c r="I34" i="10" s="1"/>
  <c r="U380" i="12"/>
  <c r="U379" i="12" s="1"/>
  <c r="U65" i="12"/>
  <c r="J39" i="10"/>
  <c r="K36" i="10"/>
  <c r="J36" i="10"/>
  <c r="W188" i="12"/>
  <c r="W187" i="12" s="1"/>
  <c r="V188" i="12"/>
  <c r="V187" i="12" s="1"/>
  <c r="U188" i="12"/>
  <c r="U187" i="12" s="1"/>
  <c r="V190" i="12"/>
  <c r="V189" i="12" s="1"/>
  <c r="U190" i="12"/>
  <c r="U189" i="12" s="1"/>
  <c r="W190" i="12"/>
  <c r="W189" i="12" s="1"/>
  <c r="W46" i="12"/>
  <c r="W45" i="12" s="1"/>
  <c r="U46" i="12"/>
  <c r="U45" i="12" s="1"/>
  <c r="V46" i="12"/>
  <c r="V45" i="12" s="1"/>
  <c r="K31" i="10"/>
  <c r="K32" i="10" s="1"/>
  <c r="W97" i="12"/>
  <c r="W96" i="12" s="1"/>
  <c r="W95" i="12" s="1"/>
  <c r="V97" i="12"/>
  <c r="V96" i="12" s="1"/>
  <c r="V95" i="12" s="1"/>
  <c r="U97" i="12"/>
  <c r="U96" i="12" s="1"/>
  <c r="U95" i="12" s="1"/>
  <c r="V92" i="12"/>
  <c r="V91" i="12" s="1"/>
  <c r="W94" i="12"/>
  <c r="W93" i="12" s="1"/>
  <c r="U94" i="12"/>
  <c r="U93" i="12" s="1"/>
  <c r="W92" i="12"/>
  <c r="W91" i="12" s="1"/>
  <c r="U92" i="12"/>
  <c r="U91" i="12" s="1"/>
  <c r="V94" i="12"/>
  <c r="V93" i="12" s="1"/>
  <c r="W29" i="12"/>
  <c r="V29" i="12"/>
  <c r="U29" i="12"/>
  <c r="W28" i="12"/>
  <c r="V28" i="12"/>
  <c r="U28" i="12"/>
  <c r="W27" i="12"/>
  <c r="V27" i="12"/>
  <c r="U27" i="12"/>
  <c r="K18" i="10"/>
  <c r="J18" i="10"/>
  <c r="U21" i="12"/>
  <c r="U20" i="12"/>
  <c r="V15" i="12"/>
  <c r="V14" i="12" s="1"/>
  <c r="V13" i="12" s="1"/>
  <c r="W15" i="12"/>
  <c r="W14" i="12" s="1"/>
  <c r="W13" i="12" s="1"/>
  <c r="V20" i="12"/>
  <c r="W20" i="12"/>
  <c r="U15" i="12"/>
  <c r="U14" i="12" s="1"/>
  <c r="U13" i="12" s="1"/>
  <c r="W18" i="12"/>
  <c r="W17" i="12" s="1"/>
  <c r="E14" i="14"/>
  <c r="D14" i="14"/>
  <c r="F14" i="14"/>
  <c r="F13" i="14"/>
  <c r="D21" i="16"/>
  <c r="C21" i="16"/>
  <c r="B21" i="16"/>
  <c r="B19" i="16" s="1"/>
  <c r="D20" i="16"/>
  <c r="D19" i="16" s="1"/>
  <c r="C20" i="16"/>
  <c r="C19" i="16" s="1"/>
  <c r="D18" i="16"/>
  <c r="C18" i="16"/>
  <c r="B18" i="16"/>
  <c r="D17" i="16"/>
  <c r="D16" i="16" s="1"/>
  <c r="C17" i="16"/>
  <c r="C16" i="16" s="1"/>
  <c r="B17" i="16"/>
  <c r="B16" i="16" s="1"/>
  <c r="B11" i="16" s="1"/>
  <c r="D15" i="16"/>
  <c r="C15" i="16"/>
  <c r="B15" i="16"/>
  <c r="D14" i="16"/>
  <c r="D13" i="16"/>
  <c r="C14" i="16"/>
  <c r="C13" i="16"/>
  <c r="B14" i="16"/>
  <c r="B13" i="16"/>
  <c r="D64" i="14"/>
  <c r="F37" i="14"/>
  <c r="E37" i="14"/>
  <c r="D37" i="14"/>
  <c r="H53" i="10"/>
  <c r="G53" i="10"/>
  <c r="F53" i="10"/>
  <c r="K52" i="10"/>
  <c r="K53" i="10" s="1"/>
  <c r="H50" i="10"/>
  <c r="G50" i="10"/>
  <c r="F50" i="10"/>
  <c r="H46" i="10"/>
  <c r="G46" i="10"/>
  <c r="F46" i="10"/>
  <c r="H42" i="10"/>
  <c r="G42" i="10"/>
  <c r="F42" i="10"/>
  <c r="H38" i="10"/>
  <c r="G38" i="10"/>
  <c r="F38" i="10"/>
  <c r="H34" i="10"/>
  <c r="G34" i="10"/>
  <c r="F34" i="10"/>
  <c r="H32" i="10"/>
  <c r="G32" i="10"/>
  <c r="F32" i="10"/>
  <c r="H30" i="10"/>
  <c r="G30" i="10"/>
  <c r="F30" i="10"/>
  <c r="H28" i="10"/>
  <c r="G28" i="10"/>
  <c r="F28" i="10"/>
  <c r="H26" i="10"/>
  <c r="G26" i="10"/>
  <c r="F26" i="10"/>
  <c r="H22" i="10"/>
  <c r="G22" i="10"/>
  <c r="F22" i="10"/>
  <c r="H19" i="10"/>
  <c r="G19" i="10"/>
  <c r="F19" i="10"/>
  <c r="H15" i="10"/>
  <c r="G15" i="10"/>
  <c r="F15" i="10"/>
  <c r="H13" i="10"/>
  <c r="G13" i="10"/>
  <c r="F13" i="10"/>
  <c r="K13" i="10"/>
  <c r="J13" i="10"/>
  <c r="V292" i="12"/>
  <c r="V291" i="12"/>
  <c r="K49" i="10"/>
  <c r="J49" i="10"/>
  <c r="D13" i="14"/>
  <c r="E11" i="11"/>
  <c r="D11" i="11"/>
  <c r="E13" i="14"/>
  <c r="U292" i="12"/>
  <c r="H54" i="10"/>
  <c r="G54" i="10"/>
  <c r="F54" i="10"/>
  <c r="U304" i="12" l="1"/>
  <c r="U334" i="12"/>
  <c r="AA41" i="21"/>
  <c r="Z226" i="21"/>
  <c r="D53" i="14"/>
  <c r="D50" i="14" s="1"/>
  <c r="Z358" i="21"/>
  <c r="I36" i="10"/>
  <c r="I60" i="10" s="1"/>
  <c r="Z449" i="21"/>
  <c r="Z448" i="21" s="1"/>
  <c r="Z447" i="21" s="1"/>
  <c r="Z371" i="21"/>
  <c r="D41" i="14" s="1"/>
  <c r="D43" i="14"/>
  <c r="G89" i="25"/>
  <c r="G13" i="25"/>
  <c r="G114" i="25" s="1"/>
  <c r="AB480" i="21" s="1"/>
  <c r="E131" i="25"/>
  <c r="E130" i="25"/>
  <c r="F121" i="25"/>
  <c r="G123" i="25"/>
  <c r="G125" i="25" s="1"/>
  <c r="E25" i="25"/>
  <c r="E89" i="25" s="1"/>
  <c r="G91" i="25"/>
  <c r="G117" i="25"/>
  <c r="G122" i="25" s="1"/>
  <c r="E109" i="25"/>
  <c r="G113" i="25"/>
  <c r="F13" i="25"/>
  <c r="F89" i="25"/>
  <c r="Z307" i="21"/>
  <c r="Z300" i="21" s="1"/>
  <c r="U192" i="12"/>
  <c r="U191" i="12" s="1"/>
  <c r="D34" i="14"/>
  <c r="D32" i="14" s="1"/>
  <c r="Z150" i="21"/>
  <c r="I23" i="10"/>
  <c r="I26" i="10" s="1"/>
  <c r="Z288" i="21"/>
  <c r="D30" i="14" s="1"/>
  <c r="U160" i="12"/>
  <c r="U159" i="12" s="1"/>
  <c r="U154" i="12" s="1"/>
  <c r="I41" i="10"/>
  <c r="I42" i="10" s="1"/>
  <c r="I43" i="10"/>
  <c r="I59" i="10" s="1"/>
  <c r="I49" i="10"/>
  <c r="I18" i="10"/>
  <c r="I19" i="10" s="1"/>
  <c r="Z208" i="21"/>
  <c r="Z207" i="21" s="1"/>
  <c r="D46" i="14" s="1"/>
  <c r="D45" i="14" s="1"/>
  <c r="Z79" i="21"/>
  <c r="Z78" i="21" s="1"/>
  <c r="I12" i="10"/>
  <c r="I13" i="10" s="1"/>
  <c r="D40" i="14"/>
  <c r="C11" i="16"/>
  <c r="AA150" i="21"/>
  <c r="E33" i="14"/>
  <c r="E32" i="14" s="1"/>
  <c r="J26" i="10"/>
  <c r="K45" i="10"/>
  <c r="V378" i="12"/>
  <c r="Z187" i="21"/>
  <c r="Z186" i="21" s="1"/>
  <c r="J45" i="10"/>
  <c r="J46" i="10" s="1"/>
  <c r="F23" i="14"/>
  <c r="K50" i="10"/>
  <c r="E50" i="14"/>
  <c r="AB221" i="21"/>
  <c r="AB483" i="21" s="1"/>
  <c r="K46" i="10"/>
  <c r="AB482" i="21"/>
  <c r="V19" i="12"/>
  <c r="V16" i="12" s="1"/>
  <c r="J50" i="10"/>
  <c r="K19" i="10"/>
  <c r="J19" i="10"/>
  <c r="K26" i="10"/>
  <c r="AB41" i="21"/>
  <c r="V374" i="12"/>
  <c r="V373" i="12" s="1"/>
  <c r="E23" i="14"/>
  <c r="E20" i="14" s="1"/>
  <c r="AA65" i="21"/>
  <c r="F61" i="14"/>
  <c r="F60" i="14" s="1"/>
  <c r="AB278" i="21"/>
  <c r="D55" i="14"/>
  <c r="F32" i="14"/>
  <c r="J20" i="10"/>
  <c r="J22" i="10" s="1"/>
  <c r="J42" i="10"/>
  <c r="V348" i="12"/>
  <c r="V337" i="12" s="1"/>
  <c r="U348" i="12"/>
  <c r="U337" i="12" s="1"/>
  <c r="W374" i="12"/>
  <c r="W373" i="12" s="1"/>
  <c r="K20" i="10"/>
  <c r="K22" i="10" s="1"/>
  <c r="K35" i="10"/>
  <c r="K38" i="10" s="1"/>
  <c r="V327" i="12"/>
  <c r="U354" i="12"/>
  <c r="W370" i="12"/>
  <c r="F20" i="14"/>
  <c r="F55" i="14"/>
  <c r="Z65" i="21"/>
  <c r="D23" i="14"/>
  <c r="D20" i="14" s="1"/>
  <c r="AA186" i="21"/>
  <c r="E41" i="14"/>
  <c r="E39" i="14" s="1"/>
  <c r="W59" i="12"/>
  <c r="W297" i="12"/>
  <c r="W331" i="12"/>
  <c r="E61" i="14"/>
  <c r="E60" i="14" s="1"/>
  <c r="F41" i="14"/>
  <c r="F39" i="14" s="1"/>
  <c r="Z44" i="21"/>
  <c r="D18" i="14" s="1"/>
  <c r="I22" i="10"/>
  <c r="V290" i="12"/>
  <c r="W348" i="12"/>
  <c r="W337" i="12" s="1"/>
  <c r="U59" i="12"/>
  <c r="V59" i="12"/>
  <c r="U331" i="12"/>
  <c r="U359" i="12"/>
  <c r="E49" i="14"/>
  <c r="E47" i="14" s="1"/>
  <c r="E55" i="14"/>
  <c r="Z279" i="21"/>
  <c r="I37" i="10"/>
  <c r="Z488" i="21"/>
  <c r="Z491" i="21" s="1"/>
  <c r="Z493" i="21" s="1"/>
  <c r="U26" i="12"/>
  <c r="W26" i="12"/>
  <c r="V99" i="12"/>
  <c r="V154" i="12"/>
  <c r="V26" i="12"/>
  <c r="U63" i="12"/>
  <c r="V366" i="12"/>
  <c r="U366" i="12"/>
  <c r="W366" i="12"/>
  <c r="V370" i="12"/>
  <c r="U370" i="12"/>
  <c r="AA12" i="21"/>
  <c r="AA482" i="21"/>
  <c r="W19" i="12"/>
  <c r="W16" i="12" s="1"/>
  <c r="J35" i="10"/>
  <c r="J38" i="10" s="1"/>
  <c r="U19" i="12"/>
  <c r="U16" i="12" s="1"/>
  <c r="F16" i="14"/>
  <c r="U303" i="12"/>
  <c r="K42" i="10"/>
  <c r="V32" i="12"/>
  <c r="U99" i="12"/>
  <c r="W99" i="12"/>
  <c r="U131" i="12"/>
  <c r="W131" i="12"/>
  <c r="W195" i="12"/>
  <c r="U219" i="12"/>
  <c r="W219" i="12"/>
  <c r="V232" i="12"/>
  <c r="U279" i="12"/>
  <c r="V297" i="12"/>
  <c r="V383" i="12"/>
  <c r="W383" i="12"/>
  <c r="V293" i="12"/>
  <c r="W293" i="12"/>
  <c r="F50" i="14"/>
  <c r="V284" i="12"/>
  <c r="V266" i="12" s="1"/>
  <c r="U284" i="12"/>
  <c r="W284" i="12"/>
  <c r="W266" i="12" s="1"/>
  <c r="V131" i="12"/>
  <c r="W84" i="12"/>
  <c r="W83" i="12" s="1"/>
  <c r="W304" i="12"/>
  <c r="W303" i="12" s="1"/>
  <c r="V304" i="12"/>
  <c r="V303" i="12" s="1"/>
  <c r="W63" i="12"/>
  <c r="U39" i="12"/>
  <c r="U38" i="12" s="1"/>
  <c r="W39" i="12"/>
  <c r="W38" i="12" s="1"/>
  <c r="U32" i="12"/>
  <c r="W32" i="12"/>
  <c r="U74" i="12"/>
  <c r="W74" i="12"/>
  <c r="V74" i="12"/>
  <c r="W175" i="12"/>
  <c r="V219" i="12"/>
  <c r="U297" i="12"/>
  <c r="V331" i="12"/>
  <c r="U293" i="12"/>
  <c r="W154" i="12"/>
  <c r="U327" i="12"/>
  <c r="U326" i="12" s="1"/>
  <c r="U325" i="12" s="1"/>
  <c r="W327" i="12"/>
  <c r="U84" i="12"/>
  <c r="U83" i="12" s="1"/>
  <c r="V84" i="12"/>
  <c r="V83" i="12" s="1"/>
  <c r="V163" i="12"/>
  <c r="V175" i="12"/>
  <c r="U290" i="12"/>
  <c r="U186" i="12"/>
  <c r="U163" i="12"/>
  <c r="W163" i="12"/>
  <c r="U195" i="12"/>
  <c r="AB12" i="21"/>
  <c r="F12" i="14"/>
  <c r="E12" i="14"/>
  <c r="E11" i="14" s="1"/>
  <c r="V186" i="12"/>
  <c r="U378" i="12"/>
  <c r="W378" i="12"/>
  <c r="V39" i="12"/>
  <c r="V38" i="12" s="1"/>
  <c r="W290" i="12"/>
  <c r="U383" i="12"/>
  <c r="Z482" i="21"/>
  <c r="U374" i="12"/>
  <c r="U373" i="12" s="1"/>
  <c r="U175" i="12"/>
  <c r="W232" i="12"/>
  <c r="U232" i="12"/>
  <c r="AA78" i="21"/>
  <c r="E27" i="14"/>
  <c r="E25" i="14" s="1"/>
  <c r="J31" i="10"/>
  <c r="J32" i="10" s="1"/>
  <c r="F27" i="14"/>
  <c r="F25" i="14" s="1"/>
  <c r="AB78" i="21"/>
  <c r="D11" i="16"/>
  <c r="V124" i="12"/>
  <c r="W124" i="12"/>
  <c r="W186" i="12"/>
  <c r="V63" i="12"/>
  <c r="V195" i="12"/>
  <c r="V377" i="12" l="1"/>
  <c r="Z357" i="21"/>
  <c r="Z356" i="21" s="1"/>
  <c r="I38" i="10"/>
  <c r="D19" i="14"/>
  <c r="D11" i="14" s="1"/>
  <c r="D27" i="14"/>
  <c r="D25" i="14" s="1"/>
  <c r="D39" i="14"/>
  <c r="I46" i="10"/>
  <c r="G124" i="25"/>
  <c r="E13" i="25"/>
  <c r="F122" i="25"/>
  <c r="F124" i="25"/>
  <c r="F114" i="25"/>
  <c r="AA480" i="21" s="1"/>
  <c r="I47" i="10"/>
  <c r="I50" i="10" s="1"/>
  <c r="I54" i="10" s="1"/>
  <c r="Z484" i="21" s="1"/>
  <c r="Z287" i="21"/>
  <c r="Z266" i="21" s="1"/>
  <c r="W353" i="12"/>
  <c r="W330" i="12" s="1"/>
  <c r="D60" i="14"/>
  <c r="U266" i="12"/>
  <c r="K54" i="10"/>
  <c r="AB484" i="21" s="1"/>
  <c r="Z12" i="21"/>
  <c r="Z278" i="21"/>
  <c r="W23" i="12"/>
  <c r="W289" i="12"/>
  <c r="W218" i="12" s="1"/>
  <c r="U52" i="12"/>
  <c r="V23" i="12"/>
  <c r="J54" i="10"/>
  <c r="AA484" i="21" s="1"/>
  <c r="V52" i="12"/>
  <c r="U353" i="12"/>
  <c r="U330" i="12" s="1"/>
  <c r="W174" i="12"/>
  <c r="AA11" i="21"/>
  <c r="AA478" i="21" s="1"/>
  <c r="U289" i="12"/>
  <c r="F11" i="14"/>
  <c r="F65" i="14" s="1"/>
  <c r="W98" i="12"/>
  <c r="U23" i="12"/>
  <c r="V353" i="12"/>
  <c r="V330" i="12" s="1"/>
  <c r="V289" i="12"/>
  <c r="V218" i="12" s="1"/>
  <c r="W52" i="12"/>
  <c r="Z11" i="21"/>
  <c r="E65" i="14"/>
  <c r="U174" i="12"/>
  <c r="W377" i="12"/>
  <c r="V98" i="12"/>
  <c r="U98" i="12"/>
  <c r="V174" i="12"/>
  <c r="AB11" i="21"/>
  <c r="AB478" i="21" s="1"/>
  <c r="AB486" i="21" s="1"/>
  <c r="U377" i="12"/>
  <c r="I57" i="10"/>
  <c r="V12" i="12" l="1"/>
  <c r="D65" i="14"/>
  <c r="U12" i="12"/>
  <c r="AA486" i="21"/>
  <c r="Z478" i="21"/>
  <c r="I58" i="10"/>
  <c r="I61" i="10" s="1"/>
  <c r="U218" i="12"/>
  <c r="W12" i="12"/>
  <c r="W395" i="12" s="1"/>
  <c r="Z480" i="21"/>
  <c r="C27" i="11"/>
  <c r="V395" i="12"/>
  <c r="U395" i="12" l="1"/>
  <c r="C25" i="11"/>
  <c r="C28" i="11"/>
  <c r="Z486" i="21"/>
  <c r="L215" i="24"/>
  <c r="L217" i="24" s="1"/>
</calcChain>
</file>

<file path=xl/sharedStrings.xml><?xml version="1.0" encoding="utf-8"?>
<sst xmlns="http://schemas.openxmlformats.org/spreadsheetml/2006/main" count="6934" uniqueCount="1253">
  <si>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</si>
  <si>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</si>
  <si>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</si>
  <si>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</si>
  <si>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</si>
  <si>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</si>
  <si>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</si>
  <si>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</si>
  <si>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</si>
  <si>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</si>
  <si>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</si>
  <si>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</si>
  <si>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</si>
  <si>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</si>
  <si>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</si>
  <si>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</si>
  <si>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</si>
  <si>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</si>
  <si>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</si>
  <si>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</si>
  <si>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</si>
  <si>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</si>
  <si>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</si>
  <si>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</si>
  <si>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</si>
  <si>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</si>
  <si>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</si>
  <si>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</si>
  <si>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</si>
  <si>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</si>
  <si>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</si>
  <si>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</si>
  <si>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</si>
  <si>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</si>
  <si>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</si>
  <si>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</si>
  <si>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</si>
  <si>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</si>
  <si>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</si>
  <si>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</si>
  <si>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</si>
  <si>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</si>
  <si>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</si>
  <si>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</si>
  <si>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</si>
  <si>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</si>
  <si>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</si>
  <si>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</si>
  <si>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</si>
  <si>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</si>
  <si>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</si>
  <si>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</si>
  <si>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</si>
  <si>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</si>
  <si>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</si>
  <si>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</si>
  <si>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</si>
  <si>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</si>
  <si>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</si>
  <si>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</si>
  <si>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</si>
  <si>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</si>
  <si>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</si>
  <si>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</si>
  <si>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</si>
  <si>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</si>
  <si>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</si>
  <si>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</si>
  <si>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</si>
  <si>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</si>
  <si>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</si>
  <si>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</si>
  <si>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</si>
  <si>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</si>
  <si>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</si>
  <si>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</si>
  <si>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</si>
  <si>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</si>
  <si>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</si>
  <si>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</si>
  <si>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</si>
  <si>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</si>
  <si>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</si>
  <si>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</si>
  <si>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</si>
  <si>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</si>
  <si>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</si>
  <si>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</si>
  <si>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</si>
  <si>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</si>
  <si>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</si>
  <si>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</si>
  <si>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</si>
  <si>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</si>
  <si>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</si>
  <si>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</si>
  <si>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</si>
  <si>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</si>
  <si>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</si>
  <si>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</si>
  <si>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</si>
  <si>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</si>
  <si>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</si>
  <si>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</si>
  <si>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</si>
  <si>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</si>
  <si>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</si>
  <si>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</si>
  <si>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</si>
  <si>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</si>
  <si>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</si>
  <si>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</si>
  <si>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</si>
  <si>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</si>
  <si>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</si>
  <si>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</si>
  <si>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</si>
  <si>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</si>
  <si>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</si>
  <si>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</si>
  <si>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</si>
  <si>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</si>
  <si>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</si>
  <si>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</si>
  <si>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</si>
  <si>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</si>
  <si>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</si>
  <si>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</si>
  <si>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</si>
  <si>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</si>
  <si>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</si>
  <si>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</si>
  <si>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</si>
  <si>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</si>
  <si>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</si>
  <si>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</si>
  <si>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</si>
  <si>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</si>
  <si>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</si>
  <si>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</si>
  <si>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</si>
  <si>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</si>
  <si>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</si>
  <si>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</si>
  <si>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</si>
  <si>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</si>
  <si>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</si>
  <si>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</si>
  <si>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</si>
  <si>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</si>
  <si>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</si>
  <si>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</si>
  <si>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</si>
  <si>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</si>
  <si>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</si>
  <si>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</si>
  <si>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</si>
  <si>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</si>
  <si>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</si>
  <si>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</si>
  <si>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</si>
  <si>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</si>
  <si>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</si>
  <si>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</si>
  <si>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</si>
  <si>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</si>
  <si>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</si>
  <si>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</si>
  <si>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</si>
  <si>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</si>
  <si>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</si>
  <si>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</si>
  <si>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</si>
  <si>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 п/п</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</si>
  <si>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</si>
  <si>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</si>
  <si>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</si>
  <si>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</si>
  <si>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</si>
  <si>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</si>
  <si>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</si>
  <si>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</si>
  <si>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</si>
  <si>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</si>
  <si>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</si>
  <si>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</si>
  <si>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</si>
  <si>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</si>
  <si>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</si>
  <si>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</si>
  <si>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</si>
  <si>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</si>
  <si>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</si>
  <si>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</si>
  <si>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</si>
  <si>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</si>
  <si>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</si>
  <si>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</si>
  <si>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</si>
  <si>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</si>
  <si>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</si>
  <si>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</si>
  <si>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</si>
  <si>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</si>
  <si>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</si>
  <si>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</si>
  <si>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</si>
  <si>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</si>
  <si>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</si>
  <si>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</si>
  <si>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</si>
  <si>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</si>
  <si>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</si>
  <si>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</si>
  <si>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</si>
  <si>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</si>
  <si>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</si>
  <si>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</si>
  <si>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</si>
  <si>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</si>
  <si>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</si>
  <si>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</si>
  <si>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</si>
  <si>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</si>
  <si>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</si>
  <si>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</si>
  <si>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</si>
  <si>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</si>
  <si>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</si>
  <si>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</si>
  <si>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</si>
  <si>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</si>
  <si>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</si>
  <si>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</si>
  <si>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</si>
  <si>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</si>
  <si>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</si>
  <si>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</si>
  <si>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</si>
  <si>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</si>
  <si>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</si>
  <si>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</si>
  <si>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</si>
  <si>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</si>
  <si>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</si>
  <si>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</si>
  <si>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</si>
  <si>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</si>
  <si>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</si>
  <si>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</si>
  <si>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</si>
  <si>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</si>
  <si>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</si>
  <si>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</si>
  <si>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</si>
  <si>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</si>
  <si>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</si>
  <si>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</si>
  <si>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</si>
  <si>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</si>
  <si>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</si>
  <si>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</si>
  <si>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Развитие образования Сковородинского района на 2015-2020 годы</t>
  </si>
  <si>
    <t>Реабилитация и обеспечение жизнедеятельности инвалидов в Сковородинском районе на 2015-2020 годы</t>
  </si>
  <si>
    <t>Благоустройство Сковородинского района на 2015-2020 годы</t>
  </si>
  <si>
    <t>Развитие физической культуры и спорта  на территории Сковородинского района  на 2015-2020 годы</t>
  </si>
  <si>
    <t>Развитие сельского хозяйства  в Сковородинском  районе на 2015-2020 годы</t>
  </si>
  <si>
    <t>Модернизация жилищно-коммунального комлекса, энергосбережение и повышение энергитической эффективности в Сковородинском районе в 2015-2020 годы</t>
  </si>
  <si>
    <t>Охрана окружающей среды в Сковородинском районе в 2015-2020 годы</t>
  </si>
  <si>
    <t xml:space="preserve">Развитие и сохранение сферы культуры и искусства Сковородинского района на 2015-2020 годы </t>
  </si>
  <si>
    <t>Продиводействие злоупотреблению наркотическими средствами и их незаконному обороту в Сковородинском районе на 2015-2020 годы</t>
  </si>
  <si>
    <t>Экономическое развитие Сковородинского района в 2015-2020 годы</t>
  </si>
  <si>
    <t>Обеспечение доступным и качественным жильем населения Сковородинского района на 2015-2020 годы</t>
  </si>
  <si>
    <t>Повышение эффективности деятельности органов местного самоуправления Сковородинского района в 2015-2020 годы</t>
  </si>
  <si>
    <t>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</si>
  <si>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Развитие транспортной системы Сковородинского района на 2015-2020 годы</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</si>
  <si>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</si>
  <si>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</si>
  <si>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</si>
  <si>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</si>
  <si>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</si>
  <si>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</si>
  <si>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</si>
  <si>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</si>
  <si>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</si>
  <si>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</si>
  <si>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</si>
  <si>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</si>
  <si>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</si>
  <si>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</si>
  <si>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</si>
  <si>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</si>
  <si>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</si>
  <si>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</si>
  <si>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</si>
  <si>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</si>
  <si>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</si>
  <si>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</si>
  <si>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</si>
  <si>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</si>
  <si>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</si>
  <si>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</si>
  <si>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</si>
  <si>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</si>
  <si>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</si>
  <si>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</si>
  <si>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</si>
  <si>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</si>
  <si>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</si>
  <si>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</si>
  <si>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</si>
  <si>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</si>
  <si>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</si>
  <si>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</si>
  <si>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</si>
  <si>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</si>
  <si>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</si>
  <si>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</si>
  <si>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</si>
  <si>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</si>
  <si>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</si>
  <si>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</si>
  <si>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</si>
  <si>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</si>
  <si>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</si>
  <si>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</si>
  <si>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</si>
  <si>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</si>
  <si>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</si>
  <si>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</si>
  <si>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</si>
  <si>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</si>
  <si>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</si>
  <si>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</si>
  <si>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</si>
  <si>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</si>
  <si>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</si>
  <si>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</si>
  <si>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</si>
  <si>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</si>
  <si>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</si>
  <si>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</si>
  <si>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</si>
  <si>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</si>
  <si>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</si>
  <si>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</si>
  <si>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</si>
  <si>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</si>
  <si>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</si>
  <si>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</si>
  <si>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</si>
  <si>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</si>
  <si>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</si>
  <si>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</si>
  <si>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</si>
  <si>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Осуществление муниципальными образованиями района дорожной деятельности в отношении автомобильных дорог местного значения и сооружений на них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</si>
  <si>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</si>
  <si>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</si>
  <si>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</si>
  <si>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</si>
  <si>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</si>
  <si>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</si>
  <si>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</si>
  <si>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</si>
  <si>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</si>
  <si>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</si>
  <si>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</si>
  <si>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</si>
  <si>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</si>
  <si>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</si>
  <si>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</si>
  <si>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</si>
  <si>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</si>
  <si>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</si>
  <si>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</si>
  <si>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</si>
  <si>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</si>
  <si>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</si>
  <si>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</si>
  <si>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</si>
  <si>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</si>
  <si>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</si>
  <si>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</si>
  <si>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</si>
  <si>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</si>
  <si>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</si>
  <si>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</si>
  <si>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</si>
  <si>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</si>
  <si>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</si>
  <si>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</si>
  <si>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</si>
  <si>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</si>
  <si>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</si>
  <si>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</si>
  <si>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</si>
  <si>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</si>
  <si>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</si>
  <si>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</si>
  <si>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</si>
  <si>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</si>
  <si>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</si>
  <si>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</si>
  <si>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</si>
  <si>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</si>
  <si>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</si>
  <si>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</si>
  <si>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</si>
  <si>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</si>
  <si>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</si>
  <si>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</si>
  <si>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</si>
  <si>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</si>
  <si>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</si>
  <si>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</si>
  <si>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</si>
  <si>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</si>
  <si>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</si>
  <si>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</si>
  <si>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</si>
  <si>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</si>
  <si>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</si>
  <si>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</si>
  <si>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</si>
  <si>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</si>
  <si>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</si>
  <si>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</si>
  <si>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</si>
  <si>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</si>
  <si>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</si>
  <si>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</si>
  <si>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</si>
  <si>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</si>
  <si>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</si>
  <si>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</si>
  <si>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</si>
  <si>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</si>
  <si>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</si>
  <si>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</si>
  <si>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</si>
  <si>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</si>
  <si>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</si>
  <si>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</si>
  <si>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</si>
  <si>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</si>
  <si>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</si>
  <si>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</si>
  <si>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</si>
  <si>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</si>
  <si>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</si>
  <si>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</si>
  <si>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</si>
  <si>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</si>
  <si>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</si>
  <si>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</si>
  <si>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</si>
  <si>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</si>
  <si>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</si>
  <si>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</si>
  <si>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</si>
  <si>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</si>
  <si>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</si>
  <si>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</si>
  <si>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</si>
  <si>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</si>
  <si>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</si>
  <si>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</si>
  <si>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</si>
  <si>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</si>
  <si>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</si>
  <si>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</si>
  <si>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</si>
  <si>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</si>
  <si>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</si>
  <si>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</si>
  <si>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</si>
  <si>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</si>
  <si>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</si>
  <si>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</si>
  <si>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</si>
  <si>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</si>
  <si>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</si>
  <si>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</si>
  <si>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</si>
  <si>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</si>
  <si>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</si>
  <si>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</si>
  <si>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</si>
  <si>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</si>
  <si>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</si>
  <si>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</si>
  <si>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</si>
  <si>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</si>
  <si>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</si>
  <si>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</si>
  <si>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</si>
  <si>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</si>
  <si>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</si>
  <si>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</si>
  <si>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</si>
  <si>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</si>
  <si>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</si>
  <si>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</si>
  <si>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</si>
  <si>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</si>
  <si>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</si>
  <si>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</si>
  <si>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</si>
  <si>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</si>
  <si>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</si>
  <si>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</si>
  <si>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</si>
  <si>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</si>
  <si>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</si>
  <si>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</si>
  <si>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</si>
  <si>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</si>
  <si>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</si>
  <si>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Условно утвержленные расходы</t>
  </si>
  <si>
    <t>000</t>
  </si>
  <si>
    <t xml:space="preserve">Дорожное хозяйство </t>
  </si>
  <si>
    <t>Комитет по управлению муниципальныи имуществом</t>
  </si>
  <si>
    <t>непрогр</t>
  </si>
  <si>
    <t>обл.</t>
  </si>
  <si>
    <t>ДОХОДЫ</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</si>
  <si>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</si>
  <si>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</si>
  <si>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</si>
  <si>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</si>
  <si>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</si>
  <si>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</si>
  <si>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</si>
  <si>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</si>
  <si>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</si>
  <si>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</si>
  <si>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</si>
  <si>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</si>
  <si>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</si>
  <si>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</si>
  <si>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</si>
  <si>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</si>
  <si>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</si>
  <si>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</si>
  <si>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</si>
  <si>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Начальник Финансового управления</t>
  </si>
  <si>
    <t>М.Ф. Макарова</t>
  </si>
  <si>
    <t>С.В.Сидельникова</t>
  </si>
  <si>
    <t>22 2 40</t>
  </si>
  <si>
    <t>программы районные</t>
  </si>
  <si>
    <t>Муниципальные программы на 2017 год и плановый период 2018 и 2019 годов</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</si>
  <si>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</si>
  <si>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</si>
  <si>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</si>
  <si>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</si>
  <si>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</si>
  <si>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</si>
  <si>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</si>
  <si>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</si>
  <si>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</si>
  <si>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</si>
  <si>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</si>
  <si>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</si>
  <si>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</si>
  <si>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</si>
  <si>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</si>
  <si>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</si>
  <si>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</si>
  <si>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</si>
  <si>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</si>
  <si>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</si>
  <si>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03 2 02 03010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</si>
  <si>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</si>
  <si>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</si>
  <si>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</si>
  <si>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</si>
  <si>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</si>
  <si>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</si>
  <si>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</si>
  <si>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</si>
  <si>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</si>
  <si>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</si>
  <si>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</si>
  <si>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</si>
  <si>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</si>
  <si>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</si>
  <si>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</si>
  <si>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</si>
  <si>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</si>
  <si>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</si>
  <si>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</si>
  <si>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</si>
  <si>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</si>
  <si>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</si>
  <si>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</si>
  <si>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</si>
  <si>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</si>
  <si>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</si>
  <si>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</si>
  <si>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</si>
  <si>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</si>
  <si>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</si>
  <si>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</si>
  <si>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</si>
  <si>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</si>
  <si>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</si>
  <si>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07 2 02 07020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</si>
  <si>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</si>
  <si>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</si>
  <si>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муниципальной программы "Обеспечение доступным и качественным жильем населения Сковородинского района на 2015-2020 годы"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мероприятия по софинансированию расходов местного бюджета</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</si>
  <si>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</si>
  <si>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</si>
  <si>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</si>
  <si>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</si>
  <si>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</si>
  <si>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</si>
  <si>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(Закупка товаров, работ и услуг для государственных (муниципальных) нужд)</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</si>
  <si>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</si>
  <si>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</si>
  <si>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</si>
  <si>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</si>
  <si>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</si>
  <si>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</si>
  <si>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</si>
  <si>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</si>
  <si>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</si>
  <si>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Приобретение и установка фонарей в рамках  муниципальной программы "Благоустройство Сковородинского района на 2015-2020 годы"</t>
  </si>
  <si>
    <t>Приобретение и установка детских, спортивных площадок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</si>
  <si>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</si>
  <si>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</si>
  <si>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 на 2015-2020 годы"</t>
  </si>
  <si>
    <t>06 1 01 06010</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</si>
  <si>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</si>
  <si>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11 2 02 11020</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</si>
  <si>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</si>
  <si>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11 2 02 11030</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</si>
  <si>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</si>
  <si>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11 2 02 11070</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</si>
  <si>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 на 2015-2020 годы"</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</si>
  <si>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</si>
  <si>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</si>
  <si>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</si>
  <si>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 на 2015-2020 годы"</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</si>
  <si>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</si>
  <si>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</si>
  <si>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</si>
  <si>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</si>
  <si>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</si>
  <si>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</si>
  <si>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</si>
  <si>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</si>
  <si>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 в 2015-2020 годы"</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</si>
  <si>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</si>
  <si>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</si>
  <si>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</si>
  <si>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нна 2015-2020 годы"</t>
  </si>
  <si>
    <t>Расходы на обеспечение деятельности (оказание услуг) муниципальных учреждений в рамках подпроограммы "Архивное дело" муниципальной программы "Развитие и сохранение культуры и искусства Сковородинского района на 2015-2020годы"</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</si>
  <si>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</si>
  <si>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районна в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</si>
  <si>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</si>
  <si>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</si>
  <si>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2015-20520 годы"</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</si>
  <si>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</si>
  <si>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</si>
  <si>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</si>
  <si>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</si>
  <si>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</si>
  <si>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</si>
  <si>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</si>
  <si>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</si>
  <si>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</si>
  <si>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</si>
  <si>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</si>
  <si>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</si>
  <si>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</si>
  <si>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</si>
  <si>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</si>
  <si>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</si>
  <si>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</si>
  <si>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06 7 03 87360</t>
  </si>
  <si>
    <t>99 3 03 01620</t>
  </si>
  <si>
    <t>99 3 03 01630</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</si>
  <si>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 на 2015-2020 годы"</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</si>
  <si>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</si>
  <si>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</si>
  <si>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07 1 01 07010</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</si>
  <si>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</si>
  <si>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</si>
  <si>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</si>
  <si>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</si>
  <si>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</si>
  <si>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</si>
  <si>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</si>
  <si>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09 1 01 09020</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</si>
  <si>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</si>
  <si>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09 1 01 09040</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</si>
  <si>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</si>
  <si>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09 1 01 09010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</si>
  <si>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</si>
  <si>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09 1 01 09030</t>
  </si>
  <si>
    <t>Реконструкция стадиона в квартале 9/23 г.Сковородино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</si>
  <si>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09 1 01 09050</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</si>
  <si>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</si>
  <si>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</si>
  <si>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</si>
  <si>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</si>
  <si>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районного бюджета по предоставлению бюджетам поселений района дотаций на выравнивание бюджетной обеспеченности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</si>
  <si>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10 1 01 01510</t>
  </si>
  <si>
    <t>Расходы районного бюджета по предоставлению бюджетам поселений района дотаций на выравнивание бюджетной обеспеченности (Межбюджетные трансферты)</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</si>
  <si>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</si>
  <si>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</si>
  <si>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</si>
  <si>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12 1 01 12010</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</si>
  <si>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</si>
  <si>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</si>
  <si>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</si>
  <si>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</si>
  <si>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</si>
  <si>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</si>
  <si>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</si>
  <si>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12 1 01 12030</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</si>
  <si>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</si>
  <si>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12 1 01 12040</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</si>
  <si>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</si>
  <si>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13 2 02 13070</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</si>
  <si>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</si>
  <si>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13 2 02 13080</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</si>
  <si>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</si>
  <si>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</si>
  <si>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</si>
  <si>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</si>
  <si>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</si>
  <si>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</si>
  <si>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</si>
  <si>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</si>
  <si>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</si>
  <si>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</si>
  <si>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</si>
  <si>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02 2 01 11020</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</si>
  <si>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</si>
  <si>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02 2 01 70000</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</si>
  <si>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</si>
  <si>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02 2 01 87700</t>
  </si>
  <si>
    <t>12 2 01 87250</t>
  </si>
  <si>
    <t>02 2 01 87300</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</si>
  <si>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</si>
  <si>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10 2 02 01180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</si>
  <si>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</si>
  <si>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</si>
  <si>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</si>
  <si>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</si>
  <si>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</si>
  <si>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</si>
  <si>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</si>
  <si>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 на 2015-2020 годы"</t>
  </si>
  <si>
    <t>03 1 01 01310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</si>
  <si>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 на 2015-2020 годы"</t>
  </si>
  <si>
    <t>03 3 03 01330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</si>
  <si>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</si>
  <si>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03 5 05 01320</t>
  </si>
  <si>
    <t>10 6 01 51200</t>
  </si>
  <si>
    <t>Оосуществление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</si>
  <si>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01 5 01 69700</t>
  </si>
  <si>
    <t xml:space="preserve">Расходы на приобретение объектов недвижимого имущества в муниципальную собственность </t>
  </si>
  <si>
    <t>99 9 09 21010</t>
  </si>
  <si>
    <t>(Капитальные вложения в объекты недвижимого имущества (государственной) муниципальной собственности</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</si>
  <si>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</si>
  <si>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</si>
  <si>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</si>
  <si>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</si>
  <si>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</si>
  <si>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</si>
  <si>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</si>
  <si>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</si>
  <si>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</si>
  <si>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</si>
  <si>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</si>
  <si>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</si>
  <si>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</si>
  <si>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</si>
  <si>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</si>
  <si>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</si>
  <si>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</si>
  <si>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</si>
  <si>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</si>
  <si>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</si>
  <si>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</si>
  <si>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</si>
  <si>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</si>
  <si>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</si>
  <si>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</si>
  <si>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</si>
  <si>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</si>
  <si>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</si>
  <si>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</si>
  <si>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</si>
  <si>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</si>
  <si>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</si>
  <si>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</si>
  <si>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</si>
  <si>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</si>
  <si>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</si>
  <si>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</si>
  <si>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</si>
  <si>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</si>
  <si>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</si>
  <si>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</si>
  <si>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</si>
  <si>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</si>
  <si>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</si>
  <si>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</si>
  <si>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</si>
  <si>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</si>
  <si>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</si>
  <si>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</si>
  <si>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</si>
  <si>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</si>
  <si>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</si>
  <si>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</si>
  <si>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</si>
  <si>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</si>
  <si>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</si>
  <si>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</si>
  <si>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</si>
  <si>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</si>
  <si>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</si>
  <si>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</si>
  <si>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</si>
  <si>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</si>
  <si>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</si>
  <si>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</si>
  <si>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</si>
  <si>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</si>
  <si>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</si>
  <si>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</si>
  <si>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</si>
  <si>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</si>
  <si>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</si>
  <si>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</si>
  <si>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Расходы на проведение мероприятий в области социальной политики по прочим непрограммным расходам (Закупка товаров, работ и услуг для государственных (муниципальных) нужд)</t>
  </si>
  <si>
    <t>Ведомственная структура расходов районного бюджета на 2017 год и плановый период 2018 и 2019 годов</t>
  </si>
  <si>
    <t>Распределение бюджетных ассигнований по разделам и подразделам функциональной классификации расходов районного бюджета на 2017 год и плановый период 2018 и 2019 годов</t>
  </si>
  <si>
    <t>Молодежная политика</t>
  </si>
  <si>
    <t>99 9 09 99990</t>
  </si>
  <si>
    <t>99 9 09 9990</t>
  </si>
  <si>
    <t>Иные бюджетные ассигноввания</t>
  </si>
  <si>
    <t>05 1 01 87120</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</si>
  <si>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2014-2020 годы"</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</si>
  <si>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эпизотического и ветеренарно-санитарного благополучия на территории области государственной программы "Развитие сельского хозяйства и регулирование рынков селькохозяйственной продукции, сырья и продовольствия Амурской области на 20014-2020 годы"</t>
  </si>
  <si>
    <t>Финансовое обнспечение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(Иные бюджетные ассигнования)</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</si>
  <si>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</si>
  <si>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</si>
  <si>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вслндствие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</si>
  <si>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</si>
  <si>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государственной программы "Обеспечение доступным и качественным жильем населения Амурской области на 2014-2020 годы"</t>
  </si>
  <si>
    <t>Капитапльные вложения в объекты государственной (муниципальной) собственности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</si>
  <si>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</si>
  <si>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</si>
  <si>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</si>
  <si>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Социальное обеспечение и иные выплаты населению</t>
  </si>
  <si>
    <t>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</si>
  <si>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"Социальная поддержка семьи и детей в Амурской области" государственой программы "Развитие системы социальной защиты населения Амурской области на 2014-2020 г.г."</t>
  </si>
  <si>
    <t>Расходы на обеспечение деятельности (оказание услуг) муниципальных учреждений в рамках подпрограммы "Архивное дело" муниципальной программы "Развитие и сохранение культуры и искусства Сковородинского района на 2015-2020годы"</t>
  </si>
  <si>
    <t>Возмещение части затрат по наращиванию или сохранению поголовья лошадей (Иные бюджетные ассигнования)</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</si>
  <si>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</si>
  <si>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</si>
  <si>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</si>
  <si>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</si>
  <si>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Расходы направленные на модернизацию коммунальной инфраструктуры (Закупка товаров, работ и услуг для государственных (муниципальных) нужд)</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</si>
  <si>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</si>
  <si>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</si>
  <si>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</si>
  <si>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Формирование правосознания несовершеннолетних и молодежи с целью противодействию распространения идеологии терроризма и экстремизма  (Закупка товаров, работ и услуг для государственных (муниципальных) нужд)</t>
  </si>
  <si>
    <t>Расходы на обеспечение деятельности добровольнных формирований населения по охране общественнного порядка(Закупка товаров, работ и услуг для государственных (муниципальных) нужд)</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</si>
  <si>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расходам(Социальное обеспечение и иные выплаты населению)</t>
  </si>
  <si>
    <t>Реконструкция стадиона в квартале 9/23 г.Сковородино (Капитальные вложения в объекты недвижимого имущества государственной (муниципальной) собственности)</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</si>
  <si>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 (Предоставление субсидий бюджетным, автономным учреждениям и иным некоммерческим организациям)</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</si>
  <si>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</si>
  <si>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</si>
  <si>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</si>
  <si>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</si>
  <si>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</si>
  <si>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</si>
  <si>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</si>
  <si>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</si>
  <si>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</si>
  <si>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</si>
  <si>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</si>
  <si>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</si>
  <si>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</si>
  <si>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</si>
  <si>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2014-2020 годы"</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</si>
  <si>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</si>
  <si>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</si>
  <si>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</si>
  <si>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</si>
  <si>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</si>
  <si>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</si>
  <si>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дох</t>
  </si>
  <si>
    <t>собст</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</si>
  <si>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</si>
  <si>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</si>
  <si>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</si>
  <si>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</si>
  <si>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и остатки 2016 года)</t>
  </si>
  <si>
    <t>07 5 01 09502</t>
  </si>
  <si>
    <t>Капитальные вложения в объекты недвижимого имущества государственной (муниципальной) собственности</t>
  </si>
  <si>
    <t>Приложение № 5</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</si>
  <si>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</si>
  <si>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</si>
  <si>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</si>
  <si>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</si>
  <si>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</si>
  <si>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</si>
  <si>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</si>
  <si>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</si>
  <si>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</si>
  <si>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Источники внутреннего финансирования дефицита районного бюджета на 2017 году и плановый период 2018 и 2019 годов</t>
  </si>
  <si>
    <t>на 2017 год и плановый период 2018 и 2019 годов</t>
  </si>
  <si>
    <t>Иные межбюдетные трансферты</t>
  </si>
  <si>
    <t>п.г.т.Ерофей Павлович</t>
  </si>
  <si>
    <t>ДОПОЛНИТЕЛЬНАЯ  ИНФОРМАЦИЯ</t>
  </si>
  <si>
    <t>,</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</si>
  <si>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</si>
  <si>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</si>
  <si>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</si>
  <si>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</si>
  <si>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дефицит</t>
  </si>
  <si>
    <t>расх</t>
  </si>
  <si>
    <t>О внесении изменений и дополнений в проект решения о бюджете на 2017 и плановый период 2018 и 2019 годов</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</si>
  <si>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государственной программы "Обеспечение доступным и качественным жильем населения Амурской области на 2014-2020 годы"</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</si>
  <si>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а 2015-2020 годы"</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</si>
  <si>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</si>
  <si>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</si>
  <si>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</si>
  <si>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</si>
  <si>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</si>
  <si>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Закупка товаров, работ и услуг для государственных (муниципальных) нужд</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</si>
  <si>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</si>
  <si>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</si>
  <si>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</si>
  <si>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</si>
  <si>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</si>
  <si>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Расходы на мероприятия по предупреждению и ликвидации последствий чрезвычайных ситуаций и стихийных бедствий(Закупка товаров, работ и услуг для государственных (муниципальных) нужд)</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</si>
  <si>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</si>
  <si>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</si>
  <si>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</si>
  <si>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</si>
  <si>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</si>
  <si>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</si>
  <si>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</si>
  <si>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</si>
  <si>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</si>
  <si>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</si>
  <si>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</si>
  <si>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Расходы на обеспечение функций исполнительных органов местного самоуправления в области образования (Иные бюджетные ассигнования)</t>
  </si>
  <si>
    <t>S9602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</si>
  <si>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</si>
  <si>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</si>
  <si>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</si>
  <si>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</si>
  <si>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</si>
  <si>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</si>
  <si>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</si>
  <si>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</si>
  <si>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</si>
  <si>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</si>
  <si>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</si>
  <si>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</si>
  <si>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</si>
  <si>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</si>
  <si>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и установка автобусных остановок (Закупка товаров, работ и услуг для государственных (муниципальных) нужд)</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</si>
  <si>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</si>
  <si>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</si>
  <si>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</si>
  <si>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</si>
  <si>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</si>
  <si>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</si>
  <si>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</si>
  <si>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</si>
  <si>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</si>
  <si>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</si>
  <si>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</si>
  <si>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</si>
  <si>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</si>
  <si>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</si>
  <si>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</si>
  <si>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</si>
  <si>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</si>
  <si>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</si>
  <si>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</si>
  <si>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</si>
  <si>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</si>
  <si>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</si>
  <si>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</si>
  <si>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</si>
  <si>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</si>
  <si>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</si>
  <si>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</si>
  <si>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</si>
  <si>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</si>
  <si>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</si>
  <si>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</si>
  <si>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</si>
  <si>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</si>
  <si>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</si>
  <si>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</si>
  <si>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</si>
  <si>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</si>
  <si>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</si>
  <si>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</si>
  <si>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</si>
  <si>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</si>
  <si>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</si>
  <si>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</si>
  <si>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</si>
  <si>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</si>
  <si>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</si>
  <si>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</si>
  <si>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1 13 00000 00 0000 130</t>
  </si>
  <si>
    <t>ДОХОДЫ ОТ ОКАЗАНИЯ ПЛАТНЫХ УСЛУГ (РАБОТ) И КОМПЕНСАЦИИ ЗАТРАТ</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</si>
  <si>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</si>
  <si>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</si>
  <si>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</si>
  <si>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</si>
  <si>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</si>
  <si>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</si>
  <si>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</si>
  <si>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</si>
  <si>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</si>
  <si>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</si>
  <si>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</si>
  <si>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</si>
  <si>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</si>
  <si>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1 16 28000 01 6000 140</t>
  </si>
  <si>
    <t>1 16 30030 01 6000 140</t>
  </si>
  <si>
    <t>Денежные взыскания (штрафы) за нарушение земельного законодательства</t>
  </si>
  <si>
    <t>321</t>
  </si>
  <si>
    <t>1 16 25050 01 6000 140</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</si>
  <si>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</si>
  <si>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</si>
  <si>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</si>
  <si>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</si>
  <si>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</si>
  <si>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</si>
  <si>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</si>
  <si>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</si>
  <si>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</si>
  <si>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сельскохозяйственных животных и птиц  (Закупка товаров, работ и услуг для государственных (муниципальных) нужд)</t>
  </si>
  <si>
    <t>01.1.01.01081</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</si>
  <si>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</si>
  <si>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</si>
  <si>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</si>
  <si>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</si>
  <si>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</si>
  <si>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</si>
  <si>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</si>
  <si>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</si>
  <si>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</si>
  <si>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</si>
  <si>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</si>
  <si>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</si>
  <si>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</si>
  <si>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</si>
  <si>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</si>
  <si>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</si>
  <si>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</si>
  <si>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</si>
  <si>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</si>
  <si>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</si>
  <si>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</si>
  <si>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</si>
  <si>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№1</t>
  </si>
  <si>
    <t>Приложение№3</t>
  </si>
  <si>
    <t>Приложение № 4</t>
  </si>
  <si>
    <t>1 08 07150 01 1000 110</t>
  </si>
  <si>
    <t>Государственная пошлина за выдачу разреешения на установку рекламной конструкции</t>
  </si>
  <si>
    <t>007</t>
  </si>
  <si>
    <t>Доходы от продажи земельных участков, государственная собсьтвенность на которые не разграничена и которые расположены в границах городских поселений</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</si>
  <si>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</si>
  <si>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</si>
  <si>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</si>
  <si>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</si>
  <si>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 xml:space="preserve">                                                     Приложение № 6</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</si>
  <si>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</si>
  <si>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</si>
  <si>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</si>
  <si>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</si>
  <si>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</si>
  <si>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</si>
  <si>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04 1 01 04090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</si>
  <si>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</si>
  <si>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перед.от посел.</t>
  </si>
  <si>
    <t xml:space="preserve">к решению районного  Совета </t>
  </si>
  <si>
    <r>
      <t xml:space="preserve">                                                                                                     </t>
    </r>
    <r>
      <rPr>
        <sz val="12"/>
        <rFont val="Arial Narrow"/>
        <family val="2"/>
        <charset val="204"/>
      </rPr>
      <t xml:space="preserve">                            </t>
    </r>
  </si>
  <si>
    <t xml:space="preserve">Главные администраторы (администраторы) доходов районного бюджета, закрепляемые за ними виды (подвиды) доходов </t>
  </si>
  <si>
    <t>Код ГАД (АД)</t>
  </si>
  <si>
    <t>Код вида (подвида) доходов</t>
  </si>
  <si>
    <t>Главные администраторы - органы государственной власти Российской Федерации</t>
  </si>
  <si>
    <t xml:space="preserve">Федеральная налоговая служба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</si>
  <si>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</si>
  <si>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</si>
  <si>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</si>
  <si>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</si>
  <si>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</si>
  <si>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</si>
  <si>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</si>
  <si>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</si>
  <si>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</si>
  <si>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</si>
  <si>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</si>
  <si>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</si>
  <si>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</si>
  <si>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</si>
  <si>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</si>
  <si>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</si>
  <si>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Федеральная служба по надзору в сфере природопользования</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</si>
  <si>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</si>
  <si>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</si>
  <si>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</si>
  <si>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Плата за размещение отходов производства и  потребления</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</si>
  <si>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</si>
  <si>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</si>
  <si>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</si>
  <si>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</si>
  <si>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</si>
  <si>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</si>
  <si>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Федеральная миграционная служба</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</si>
  <si>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</si>
  <si>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Федеральная служба государственной регистрации, кадастра и картографии</t>
  </si>
  <si>
    <t>1 16 25060 01 6000 140</t>
  </si>
  <si>
    <t>Министерство внутренних дел Российской Федерации</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</si>
  <si>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</si>
  <si>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</si>
  <si>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Федеральная служба по надзору в сфере защиты прав потребителей и благополучия человека</t>
  </si>
  <si>
    <t>Денежные взыскания (штрафы) за нарушение  законодательства в области охраны окружающей среды</t>
  </si>
  <si>
    <t>Федеральное казначейство</t>
  </si>
  <si>
    <t>1 17 01010 01 6000 180</t>
  </si>
  <si>
    <t>Невыясненные поступления, зачисляемые в федеральный бюджет</t>
  </si>
  <si>
    <t>Федеральная антимонопольная служба</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</si>
  <si>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</si>
  <si>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</si>
  <si>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Главные администраторы - органы государственной власти субъекта Российской Федерации</t>
  </si>
  <si>
    <t>Министерство финансов Амурской области</t>
  </si>
  <si>
    <t>1 16 3305005 0000 140</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</si>
  <si>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</si>
  <si>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ветеренарному и фитосанитарному надзору по Забайкальскому краю и Амурской области, по РПБС</t>
  </si>
  <si>
    <t>Управление ветеринарии Амурской области</t>
  </si>
  <si>
    <t>Инспекция государственного строительного надзора Амурской области</t>
  </si>
  <si>
    <t>Управление по охране, контролю и регулированию использования объектов животного мира и среды их обитания Амурской области</t>
  </si>
  <si>
    <t>Государственная жилищная инспекция Амурской области</t>
  </si>
  <si>
    <t>Министерство здравоохранения Амурской области</t>
  </si>
  <si>
    <t xml:space="preserve">Управление государственного автодорожного надзора по Ам. области Федеральной службы по надзору в сфере транспорта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</si>
  <si>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</si>
  <si>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Главные администраторы - органы местного самоуправления</t>
  </si>
  <si>
    <t xml:space="preserve">1 11 09035 05 0000 120 </t>
  </si>
  <si>
    <t>Доходы от эксплуатации и использования имущества автомобильных дорог, находящихся в собственности муниципальных районов</t>
  </si>
  <si>
    <t>1 17 01050 05 0000 180</t>
  </si>
  <si>
    <t>Невыясненные поступления, зачисляемые в бюджеты муниципальных районов</t>
  </si>
  <si>
    <t xml:space="preserve">1 17 05050 05 0000 180 </t>
  </si>
  <si>
    <t>Возврат остатков субсидий, субвенций и иных межбюджетных трансфертов, имеющих целевое назнвчение, прошлых лет из бюджетов муниципальных районов</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</si>
  <si>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</si>
  <si>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</si>
  <si>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</si>
  <si>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</si>
  <si>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</si>
  <si>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</si>
  <si>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</si>
  <si>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</si>
  <si>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Государственна пошлина за выдачу разрешения на установку рекламной конструкции (сумма платежа (перерасчеты, недоика и задолженность по соответствующему платежу, в том числе по отмененному))</t>
  </si>
  <si>
    <t>1 08 07150 01 4000 110</t>
  </si>
  <si>
    <t>Государственна пошлина за выдачу разрешения на установку рекламной конструкции (прочие поступления)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</si>
  <si>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</si>
  <si>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 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</si>
  <si>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</si>
  <si>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</si>
  <si>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</si>
  <si>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 xml:space="preserve">1 11 09035 05 0000 120  </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</si>
  <si>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 </t>
  </si>
  <si>
    <t>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</si>
  <si>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</si>
  <si>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</si>
  <si>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</si>
  <si>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</si>
  <si>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</si>
  <si>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городских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</si>
  <si>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</si>
  <si>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</si>
  <si>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</si>
  <si>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</si>
  <si>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</si>
  <si>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</si>
  <si>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</si>
  <si>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</si>
  <si>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</si>
  <si>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 Администрирование поступлений по всем подстатьям и программам соответствующей статьи осуществляется администратором, указанным в группировочном коде бюджетной  классификации</t>
  </si>
  <si>
    <t>Приложение  № 8</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</si>
  <si>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</si>
  <si>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</si>
  <si>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Программа предоставления бюджетных кредитов из районного бюджета муниципальным образованиям Сковородинского района в 2017 году и плановом периоде 2018 и 2019 годов</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</si>
  <si>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</si>
  <si>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</si>
  <si>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</si>
  <si>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</si>
  <si>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</si>
  <si>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</si>
  <si>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</si>
  <si>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</si>
  <si>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</si>
  <si>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</si>
  <si>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</si>
  <si>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</si>
  <si>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</si>
  <si>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</si>
  <si>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</si>
  <si>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¼ ключевой ставки Центрального Банка Российской Федерации, действующей в период пользования бюджетным кредитом</t>
  </si>
  <si>
    <t>Приложение № 9</t>
  </si>
  <si>
    <t>от 25.08.2018 № 577</t>
  </si>
  <si>
    <t>Распределение бюджетных ассигнований по целевым статьям (муниципальным програмамм и непрограммным направлениям деятельности), группам видов расходов классификации расходов районного бюджета                                                                                                            на 2017 год и плановый период 2018 и  2019 годов</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</si>
  <si>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</si>
  <si>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</si>
  <si>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</si>
  <si>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 на 2015-2020 годы"</t>
  </si>
  <si>
    <t>мп 001</t>
  </si>
  <si>
    <t>мп 002</t>
  </si>
  <si>
    <t>мп 003</t>
  </si>
  <si>
    <t>мп 014</t>
  </si>
  <si>
    <t>итого мп</t>
  </si>
  <si>
    <t>10.1.01.10021</t>
  </si>
  <si>
    <t>Развитие социальных сетей в рамках проекта "Открытый муниципалитет-Сковородинский район"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</si>
  <si>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10 1 01 10021</t>
  </si>
  <si>
    <t>10.1.01.01530</t>
  </si>
  <si>
    <t>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t>
  </si>
  <si>
    <t>Иные межбюджетные трансферты</t>
  </si>
  <si>
    <t>10 1 01 01530</t>
  </si>
  <si>
    <t>с/с Солнечный</t>
  </si>
  <si>
    <t>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</si>
  <si>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</si>
  <si>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03 7 07 03060</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</si>
  <si>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</si>
  <si>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Управление Федеральной службы судебных приставов по Амурской области</t>
  </si>
  <si>
    <t>1 11 09035 05 0000 120</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</si>
  <si>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</si>
  <si>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</si>
  <si>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</si>
  <si>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</si>
  <si>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</si>
  <si>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Мероприятия на проведение исследований атмосферного воздуха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</si>
  <si>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04 1 01 04091</t>
  </si>
  <si>
    <t>1 16 90050 10 0000 140</t>
  </si>
  <si>
    <t>1 16 90050 13 0000 140</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</si>
  <si>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</si>
  <si>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</si>
  <si>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от 13.10.2017 №22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</si>
</sst>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
    <numFmt numFmtId="165" formatCode="#,##0.0"/>
  </numFmts>
  <fonts count="64"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sz val="12"/>
      <color rgb="FFFF0000"/>
      <name val="Arial Narrow"/>
      <family val="2"/>
      <charset val="204"/>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2"/>
      <color indexed="36"/>
      <name val="Arial Narrow"/>
      <family val="2"/>
      <charset val="204"/>
    </font>
    <font>
      <sz val="11"/>
      <color indexed="36"/>
      <name val="Arial Narrow"/>
      <family val="2"/>
      <charset val="204"/>
    </font>
    <font>
      <sz val="12"/>
      <color indexed="46"/>
      <name val="Arial Narrow"/>
      <family val="2"/>
      <charset val="204"/>
    </font>
    <font>
      <b/>
      <sz val="12"/>
      <color indexed="36"/>
      <name val="Arial Narrow"/>
      <family val="2"/>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i/>
      <sz val="14"/>
      <name val="Times New Roman"/>
      <family val="1"/>
      <charset val="204"/>
    </font>
    <font>
      <i/>
      <sz val="12"/>
      <color rgb="FF7030A0"/>
      <name val="Times New Roman"/>
      <family val="1"/>
      <charset val="204"/>
    </font>
    <font>
      <i/>
      <sz val="14"/>
      <color rgb="FF7030A0"/>
      <name val="Times New Roman"/>
      <family val="1"/>
      <charset val="204"/>
    </font>
    <font>
      <sz val="12"/>
      <color rgb="FF7030A0"/>
      <name val="Times New Roman"/>
      <family val="1"/>
      <charset val="204"/>
    </font>
    <font>
      <sz val="12"/>
      <color rgb="FF7030A0"/>
      <name val="Arial Narrow"/>
      <family val="2"/>
      <charset val="204"/>
    </font>
    <font>
      <sz val="12"/>
      <color rgb="FF000000"/>
      <name val="Times New Roman"/>
      <family val="1"/>
      <charset val="204"/>
    </font>
    <font>
      <i/>
      <sz val="10"/>
      <color indexed="36"/>
      <name val="Arial Narrow"/>
      <family val="2"/>
      <charset val="204"/>
    </font>
    <font>
      <i/>
      <sz val="12"/>
      <color indexed="36"/>
      <name val="Arial Narrow"/>
      <family val="2"/>
      <charset val="204"/>
    </font>
    <font>
      <i/>
      <sz val="12"/>
      <color rgb="FFFF0000"/>
      <name val="Times New Roman"/>
      <family val="1"/>
      <charset val="204"/>
    </font>
    <font>
      <sz val="11"/>
      <color indexed="8"/>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1"/>
      <color theme="1"/>
      <name val="Calibri"/>
      <family val="2"/>
      <scheme val="minor"/>
    </font>
    <font>
      <sz val="11"/>
      <name val="Calibri"/>
      <family val="2"/>
      <scheme val="minor"/>
    </font>
    <font>
      <sz val="14"/>
      <name val="Calibri"/>
      <family val="2"/>
      <scheme val="minor"/>
    </font>
    <font>
      <b/>
      <i/>
      <sz val="12"/>
      <name val="Times New Roman"/>
      <family val="1"/>
      <charset val="204"/>
    </font>
    <font>
      <sz val="8"/>
      <name val="Calibri"/>
      <family val="2"/>
      <scheme val="minor"/>
    </font>
    <font>
      <sz val="12"/>
      <color rgb="FF7030A0"/>
      <name val="Arial Narrow"/>
      <family val="2"/>
    </font>
    <font>
      <b/>
      <sz val="12"/>
      <color rgb="FF7030A0"/>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left/>
      <right style="thin">
        <color indexed="64"/>
      </right>
      <top/>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diagonalUp="1" diagonalDown="1">
      <left style="thin">
        <color indexed="8"/>
      </left>
      <right style="thin">
        <color indexed="8"/>
      </right>
      <top/>
      <bottom/>
      <diagonal/>
    </border>
  </borders>
  <cellStyleXfs count="4">
    <xf numFmtId="0" fontId="0" fillId="0" borderId="0"/>
    <xf numFmtId="0" fontId="4" fillId="0" borderId="0"/>
    <xf numFmtId="0" fontId="6" fillId="0" borderId="0"/>
    <xf numFmtId="43" fontId="57" fillId="0" borderId="0" applyFont="0" applyFill="0" applyBorder="0" applyAlignment="0" applyProtection="0"/>
  </cellStyleXfs>
  <cellXfs count="695">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9"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18" xfId="0" applyFont="1" applyFill="1" applyBorder="1" applyAlignment="1">
      <alignment horizontal="lef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3" fontId="1" fillId="0" borderId="18" xfId="0" applyNumberFormat="1" applyFont="1" applyFill="1" applyBorder="1" applyAlignment="1">
      <alignment wrapText="1"/>
    </xf>
    <xf numFmtId="3" fontId="1" fillId="0" borderId="19" xfId="0" applyNumberFormat="1" applyFont="1" applyFill="1" applyBorder="1" applyAlignment="1">
      <alignment wrapText="1"/>
    </xf>
    <xf numFmtId="1" fontId="1" fillId="0" borderId="8" xfId="0" applyNumberFormat="1" applyFont="1" applyFill="1" applyBorder="1" applyAlignment="1">
      <alignment wrapText="1"/>
    </xf>
    <xf numFmtId="4" fontId="2" fillId="0" borderId="19"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9" xfId="0" applyFont="1" applyBorder="1" applyAlignment="1">
      <alignment horizontal="left"/>
    </xf>
    <xf numFmtId="0" fontId="1" fillId="0" borderId="19"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1" fillId="0" borderId="0" xfId="0" applyFont="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3" fillId="0" borderId="21" xfId="0" applyFont="1" applyBorder="1" applyAlignment="1" applyProtection="1">
      <alignment vertical="center"/>
    </xf>
    <xf numFmtId="49" fontId="23" fillId="0" borderId="21" xfId="0" applyNumberFormat="1" applyFont="1" applyBorder="1" applyAlignment="1" applyProtection="1">
      <alignment horizontal="right" vertical="center"/>
    </xf>
    <xf numFmtId="0" fontId="23" fillId="0" borderId="8" xfId="0" applyFont="1" applyBorder="1" applyAlignment="1" applyProtection="1">
      <alignment vertical="center"/>
    </xf>
    <xf numFmtId="49" fontId="22" fillId="0" borderId="21" xfId="0" applyNumberFormat="1" applyFont="1" applyBorder="1" applyAlignment="1" applyProtection="1">
      <alignment horizontal="justify" vertical="center" wrapText="1"/>
    </xf>
    <xf numFmtId="4" fontId="22" fillId="0" borderId="21" xfId="0" applyNumberFormat="1" applyFont="1" applyBorder="1" applyAlignment="1" applyProtection="1">
      <alignment horizontal="right"/>
    </xf>
    <xf numFmtId="49" fontId="24" fillId="0" borderId="21" xfId="0" applyNumberFormat="1" applyFont="1" applyBorder="1" applyAlignment="1" applyProtection="1">
      <alignment horizontal="justify" vertical="center" wrapText="1"/>
    </xf>
    <xf numFmtId="49" fontId="24" fillId="0" borderId="21" xfId="0" applyNumberFormat="1" applyFont="1" applyBorder="1" applyAlignment="1" applyProtection="1">
      <alignment horizontal="center" vertical="center" wrapText="1"/>
    </xf>
    <xf numFmtId="4" fontId="24" fillId="0" borderId="21" xfId="0" applyNumberFormat="1" applyFont="1" applyBorder="1" applyAlignment="1" applyProtection="1">
      <alignment horizontal="right"/>
    </xf>
    <xf numFmtId="49" fontId="25" fillId="0" borderId="21" xfId="0" applyNumberFormat="1" applyFont="1" applyBorder="1" applyAlignment="1" applyProtection="1">
      <alignment horizontal="center" vertical="center" wrapText="1"/>
    </xf>
    <xf numFmtId="49" fontId="25" fillId="0" borderId="21" xfId="0" applyNumberFormat="1" applyFont="1" applyBorder="1" applyAlignment="1" applyProtection="1">
      <alignment horizontal="justify" vertical="center" wrapText="1"/>
    </xf>
    <xf numFmtId="164" fontId="24" fillId="0" borderId="21" xfId="0" applyNumberFormat="1" applyFont="1" applyBorder="1" applyAlignment="1" applyProtection="1">
      <alignment horizontal="justify" vertical="center" wrapText="1"/>
    </xf>
    <xf numFmtId="164" fontId="20" fillId="0" borderId="0" xfId="0" applyNumberFormat="1" applyFont="1" applyBorder="1" applyAlignment="1" applyProtection="1">
      <alignment horizontal="center" vertical="center" wrapText="1"/>
    </xf>
    <xf numFmtId="49" fontId="22" fillId="0" borderId="21" xfId="0" applyNumberFormat="1" applyFont="1" applyBorder="1" applyAlignment="1" applyProtection="1">
      <alignment horizontal="center" vertical="center" wrapText="1"/>
    </xf>
    <xf numFmtId="4" fontId="0" fillId="0" borderId="0" xfId="0" applyNumberFormat="1"/>
    <xf numFmtId="49" fontId="22" fillId="0" borderId="21"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0" xfId="0" applyNumberFormat="1" applyFont="1"/>
    <xf numFmtId="49" fontId="26" fillId="0" borderId="8" xfId="0" applyNumberFormat="1" applyFont="1" applyFill="1" applyBorder="1"/>
    <xf numFmtId="0" fontId="26" fillId="0" borderId="8" xfId="0" applyFont="1" applyFill="1" applyBorder="1" applyAlignment="1">
      <alignment wrapText="1"/>
    </xf>
    <xf numFmtId="49" fontId="26" fillId="0" borderId="8" xfId="0" applyNumberFormat="1" applyFont="1" applyBorder="1"/>
    <xf numFmtId="4" fontId="26" fillId="0" borderId="8" xfId="0" applyNumberFormat="1" applyFont="1" applyFill="1" applyBorder="1"/>
    <xf numFmtId="0" fontId="3" fillId="0" borderId="8" xfId="0" applyFont="1" applyBorder="1" applyAlignment="1">
      <alignment horizontal="center" vertical="center"/>
    </xf>
    <xf numFmtId="4" fontId="26" fillId="0" borderId="8" xfId="0" applyNumberFormat="1" applyFont="1" applyFill="1" applyBorder="1" applyAlignment="1">
      <alignment horizontal="right"/>
    </xf>
    <xf numFmtId="0" fontId="26" fillId="0" borderId="8" xfId="0" applyFont="1" applyBorder="1" applyAlignment="1">
      <alignment wrapText="1"/>
    </xf>
    <xf numFmtId="4" fontId="26" fillId="0" borderId="8" xfId="0" applyNumberFormat="1" applyFont="1" applyBorder="1"/>
    <xf numFmtId="0" fontId="26" fillId="0" borderId="5" xfId="0" applyFont="1" applyFill="1" applyBorder="1" applyAlignment="1">
      <alignment wrapText="1"/>
    </xf>
    <xf numFmtId="49" fontId="26" fillId="0" borderId="8" xfId="0" applyNumberFormat="1" applyFont="1" applyBorder="1" applyAlignment="1"/>
    <xf numFmtId="49" fontId="26" fillId="0" borderId="8" xfId="0" applyNumberFormat="1" applyFont="1" applyBorder="1" applyAlignment="1">
      <alignment horizontal="left" vertical="center"/>
    </xf>
    <xf numFmtId="49" fontId="26" fillId="0" borderId="8" xfId="0" applyNumberFormat="1" applyFont="1" applyBorder="1" applyAlignment="1">
      <alignment horizontal="left" vertical="center" wrapText="1"/>
    </xf>
    <xf numFmtId="49" fontId="26" fillId="0" borderId="3" xfId="0" applyNumberFormat="1" applyFont="1" applyBorder="1" applyAlignment="1"/>
    <xf numFmtId="49" fontId="26" fillId="0" borderId="4" xfId="0" applyNumberFormat="1" applyFont="1" applyBorder="1" applyAlignment="1"/>
    <xf numFmtId="49" fontId="26" fillId="0" borderId="5" xfId="0" applyNumberFormat="1" applyFont="1" applyBorder="1" applyAlignment="1"/>
    <xf numFmtId="0" fontId="26" fillId="0" borderId="2" xfId="0" applyFont="1" applyBorder="1" applyAlignment="1">
      <alignment vertical="top" wrapText="1"/>
    </xf>
    <xf numFmtId="0" fontId="3" fillId="0" borderId="2" xfId="0" applyFont="1" applyBorder="1"/>
    <xf numFmtId="4" fontId="2" fillId="0" borderId="2" xfId="0" applyNumberFormat="1" applyFont="1" applyFill="1" applyBorder="1"/>
    <xf numFmtId="49" fontId="26" fillId="0" borderId="8" xfId="0" applyNumberFormat="1" applyFont="1" applyFill="1" applyBorder="1" applyAlignment="1">
      <alignment horizontal="right"/>
    </xf>
    <xf numFmtId="0" fontId="26" fillId="0" borderId="8" xfId="0" applyFont="1" applyFill="1" applyBorder="1"/>
    <xf numFmtId="0" fontId="1" fillId="0" borderId="8" xfId="0" applyFont="1" applyBorder="1" applyAlignment="1">
      <alignment horizontal="center" vertical="center"/>
    </xf>
    <xf numFmtId="49" fontId="27" fillId="0" borderId="8" xfId="0" applyNumberFormat="1" applyFont="1" applyFill="1" applyBorder="1"/>
    <xf numFmtId="0" fontId="1" fillId="0" borderId="8" xfId="0" applyFont="1" applyBorder="1" applyAlignment="1">
      <alignment vertical="center"/>
    </xf>
    <xf numFmtId="0" fontId="27" fillId="0" borderId="8" xfId="0" applyFont="1" applyFill="1" applyBorder="1"/>
    <xf numFmtId="49" fontId="27" fillId="0" borderId="14" xfId="0" applyNumberFormat="1" applyFont="1" applyFill="1" applyBorder="1"/>
    <xf numFmtId="49" fontId="27" fillId="0" borderId="20" xfId="0" applyNumberFormat="1" applyFont="1" applyFill="1" applyBorder="1"/>
    <xf numFmtId="0" fontId="27" fillId="0" borderId="22" xfId="0" applyFont="1" applyFill="1" applyBorder="1" applyAlignment="1">
      <alignment horizontal="left" wrapText="1"/>
    </xf>
    <xf numFmtId="4" fontId="1" fillId="0" borderId="2" xfId="0" applyNumberFormat="1" applyFont="1" applyFill="1" applyBorder="1"/>
    <xf numFmtId="4" fontId="1" fillId="0" borderId="2" xfId="0" applyNumberFormat="1" applyFont="1" applyBorder="1"/>
    <xf numFmtId="49" fontId="28" fillId="0" borderId="8" xfId="0" applyNumberFormat="1" applyFont="1" applyFill="1" applyBorder="1"/>
    <xf numFmtId="0" fontId="28" fillId="0" borderId="8" xfId="0" applyFont="1" applyFill="1" applyBorder="1" applyAlignment="1">
      <alignment wrapText="1"/>
    </xf>
    <xf numFmtId="4" fontId="28" fillId="0" borderId="8" xfId="0" applyNumberFormat="1" applyFont="1" applyFill="1" applyBorder="1"/>
    <xf numFmtId="4" fontId="3" fillId="0" borderId="8" xfId="0" applyNumberFormat="1" applyFont="1" applyFill="1" applyBorder="1"/>
    <xf numFmtId="0" fontId="3" fillId="0" borderId="0" xfId="0" applyFont="1" applyFill="1"/>
    <xf numFmtId="0" fontId="26" fillId="0" borderId="8" xfId="0" applyFont="1" applyFill="1" applyBorder="1" applyAlignment="1">
      <alignment horizontal="left"/>
    </xf>
    <xf numFmtId="0" fontId="1" fillId="0" borderId="5" xfId="0" applyFont="1" applyBorder="1"/>
    <xf numFmtId="0" fontId="29" fillId="0" borderId="8" xfId="0" applyFont="1" applyFill="1" applyBorder="1" applyAlignment="1">
      <alignment wrapText="1"/>
    </xf>
    <xf numFmtId="49" fontId="26" fillId="0" borderId="8" xfId="0" applyNumberFormat="1" applyFont="1" applyFill="1" applyBorder="1" applyAlignment="1">
      <alignment horizontal="left"/>
    </xf>
    <xf numFmtId="49" fontId="26" fillId="0" borderId="8" xfId="0" applyNumberFormat="1" applyFont="1" applyBorder="1" applyAlignment="1">
      <alignment horizontal="center"/>
    </xf>
    <xf numFmtId="49" fontId="26" fillId="0" borderId="8" xfId="0" applyNumberFormat="1" applyFont="1" applyFill="1" applyBorder="1" applyAlignment="1">
      <alignment horizontal="center"/>
    </xf>
    <xf numFmtId="49" fontId="1" fillId="0" borderId="8" xfId="0" applyNumberFormat="1" applyFont="1" applyFill="1" applyBorder="1" applyAlignment="1">
      <alignment horizontal="center"/>
    </xf>
    <xf numFmtId="4" fontId="1" fillId="0" borderId="0" xfId="0" applyNumberFormat="1" applyFont="1"/>
    <xf numFmtId="0" fontId="26" fillId="0" borderId="2" xfId="0" applyFont="1" applyFill="1" applyBorder="1" applyAlignment="1">
      <alignment wrapText="1"/>
    </xf>
    <xf numFmtId="0" fontId="3" fillId="2" borderId="8" xfId="0" applyFont="1" applyFill="1" applyBorder="1" applyAlignment="1">
      <alignment horizontal="center"/>
    </xf>
    <xf numFmtId="49" fontId="26" fillId="2" borderId="8" xfId="0" applyNumberFormat="1" applyFont="1" applyFill="1" applyBorder="1"/>
    <xf numFmtId="0" fontId="26" fillId="2" borderId="8" xfId="0" applyFont="1" applyFill="1" applyBorder="1" applyAlignment="1">
      <alignment wrapText="1"/>
    </xf>
    <xf numFmtId="4" fontId="1" fillId="2" borderId="8" xfId="0" applyNumberFormat="1" applyFont="1" applyFill="1" applyBorder="1"/>
    <xf numFmtId="4" fontId="3" fillId="2"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0" fontId="1" fillId="0" borderId="19" xfId="0" applyFont="1" applyFill="1" applyBorder="1" applyAlignment="1">
      <alignment horizontal="left" wrapText="1"/>
    </xf>
    <xf numFmtId="49" fontId="30" fillId="0" borderId="21" xfId="0" applyNumberFormat="1" applyFont="1" applyBorder="1" applyAlignment="1" applyProtection="1">
      <alignment horizontal="center" vertical="center" wrapText="1"/>
    </xf>
    <xf numFmtId="49" fontId="31" fillId="0" borderId="21" xfId="0" applyNumberFormat="1" applyFont="1" applyBorder="1" applyAlignment="1" applyProtection="1">
      <alignment horizontal="justify" vertical="center" wrapText="1"/>
    </xf>
    <xf numFmtId="49" fontId="31" fillId="0" borderId="21" xfId="0" applyNumberFormat="1" applyFont="1" applyBorder="1" applyAlignment="1" applyProtection="1">
      <alignment horizontal="center" vertical="center" wrapText="1"/>
    </xf>
    <xf numFmtId="49" fontId="31" fillId="0" borderId="21" xfId="0" applyNumberFormat="1" applyFont="1" applyBorder="1" applyAlignment="1" applyProtection="1">
      <alignment horizontal="right" vertical="center" wrapText="1"/>
    </xf>
    <xf numFmtId="49" fontId="11" fillId="0" borderId="21" xfId="0" applyNumberFormat="1" applyFont="1" applyBorder="1" applyAlignment="1" applyProtection="1">
      <alignment horizontal="center" vertical="center" wrapText="1"/>
    </xf>
    <xf numFmtId="49" fontId="33" fillId="0" borderId="21" xfId="0" applyNumberFormat="1" applyFont="1" applyBorder="1" applyAlignment="1" applyProtection="1">
      <alignment horizontal="center" vertical="center" wrapText="1"/>
    </xf>
    <xf numFmtId="49" fontId="33" fillId="0" borderId="21" xfId="0" applyNumberFormat="1" applyFont="1" applyBorder="1" applyAlignment="1" applyProtection="1">
      <alignment horizontal="right" vertical="center" wrapText="1"/>
    </xf>
    <xf numFmtId="164" fontId="33" fillId="0" borderId="21" xfId="0" applyNumberFormat="1" applyFont="1" applyBorder="1" applyAlignment="1" applyProtection="1">
      <alignment horizontal="justify" vertical="center" wrapText="1"/>
    </xf>
    <xf numFmtId="4" fontId="33" fillId="0" borderId="23" xfId="0" applyNumberFormat="1" applyFont="1" applyBorder="1" applyAlignment="1" applyProtection="1">
      <alignment horizontal="right"/>
    </xf>
    <xf numFmtId="4" fontId="33" fillId="0" borderId="24" xfId="0" applyNumberFormat="1" applyFont="1" applyBorder="1" applyAlignment="1" applyProtection="1">
      <alignment horizontal="right"/>
    </xf>
    <xf numFmtId="49" fontId="33" fillId="0" borderId="5" xfId="0" applyNumberFormat="1" applyFont="1" applyBorder="1" applyAlignment="1" applyProtection="1">
      <alignment horizontal="center" vertical="center" wrapText="1"/>
    </xf>
    <xf numFmtId="49" fontId="33" fillId="0" borderId="8" xfId="0" applyNumberFormat="1" applyFont="1" applyBorder="1" applyAlignment="1" applyProtection="1">
      <alignment horizontal="center" vertical="center" wrapText="1"/>
    </xf>
    <xf numFmtId="49" fontId="30" fillId="0" borderId="8" xfId="0" applyNumberFormat="1" applyFont="1" applyBorder="1" applyAlignment="1" applyProtection="1">
      <alignment horizontal="center" vertical="center" wrapText="1"/>
    </xf>
    <xf numFmtId="49" fontId="30" fillId="0" borderId="26" xfId="0" applyNumberFormat="1" applyFont="1" applyBorder="1" applyAlignment="1" applyProtection="1">
      <alignment horizontal="center" vertical="center" wrapText="1"/>
    </xf>
    <xf numFmtId="49" fontId="33" fillId="0" borderId="24" xfId="0" applyNumberFormat="1" applyFont="1" applyBorder="1" applyAlignment="1" applyProtection="1">
      <alignment horizontal="center" vertical="center" wrapText="1"/>
    </xf>
    <xf numFmtId="49" fontId="33" fillId="0" borderId="27" xfId="0" applyNumberFormat="1" applyFont="1" applyBorder="1" applyAlignment="1" applyProtection="1">
      <alignment horizontal="center" vertical="center" wrapText="1"/>
    </xf>
    <xf numFmtId="49" fontId="33" fillId="0" borderId="28" xfId="0" applyNumberFormat="1" applyFont="1" applyBorder="1" applyAlignment="1" applyProtection="1">
      <alignment horizontal="center" vertical="center" wrapText="1"/>
    </xf>
    <xf numFmtId="49" fontId="30" fillId="0" borderId="29" xfId="0" applyNumberFormat="1" applyFont="1" applyBorder="1" applyAlignment="1" applyProtection="1">
      <alignment horizontal="center" vertical="center" wrapText="1"/>
    </xf>
    <xf numFmtId="49" fontId="33" fillId="0" borderId="29" xfId="0" applyNumberFormat="1" applyFont="1" applyBorder="1" applyAlignment="1" applyProtection="1">
      <alignment horizontal="center" vertical="center" wrapText="1"/>
    </xf>
    <xf numFmtId="49" fontId="33" fillId="0" borderId="25"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justify" vertical="center" wrapText="1"/>
    </xf>
    <xf numFmtId="164" fontId="31" fillId="0" borderId="21" xfId="0" applyNumberFormat="1" applyFont="1" applyBorder="1" applyAlignment="1" applyProtection="1">
      <alignment horizontal="justify" vertical="center" wrapText="1"/>
    </xf>
    <xf numFmtId="164" fontId="8" fillId="0" borderId="21" xfId="0" applyNumberFormat="1" applyFont="1" applyBorder="1" applyAlignment="1" applyProtection="1">
      <alignment horizontal="justify" vertical="center" wrapText="1"/>
    </xf>
    <xf numFmtId="49" fontId="9" fillId="0" borderId="21" xfId="0" applyNumberFormat="1" applyFont="1" applyBorder="1" applyAlignment="1" applyProtection="1">
      <alignment horizontal="justify" vertical="center" wrapText="1"/>
    </xf>
    <xf numFmtId="49" fontId="9"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31" fillId="0" borderId="26" xfId="0" applyNumberFormat="1" applyFont="1" applyBorder="1" applyAlignment="1" applyProtection="1">
      <alignment horizontal="center" vertical="center" wrapText="1"/>
    </xf>
    <xf numFmtId="49" fontId="8" fillId="0" borderId="29" xfId="0" applyNumberFormat="1" applyFont="1" applyBorder="1" applyAlignment="1" applyProtection="1">
      <alignment horizontal="center" vertical="center" wrapText="1"/>
    </xf>
    <xf numFmtId="49" fontId="31" fillId="0" borderId="21" xfId="0" applyNumberFormat="1" applyFont="1" applyBorder="1" applyAlignment="1" applyProtection="1">
      <alignment horizontal="center" vertical="center"/>
    </xf>
    <xf numFmtId="49" fontId="34" fillId="0" borderId="21" xfId="0" applyNumberFormat="1" applyFont="1" applyBorder="1" applyAlignment="1" applyProtection="1">
      <alignment horizontal="center" vertical="center" wrapText="1"/>
    </xf>
    <xf numFmtId="49" fontId="36" fillId="0" borderId="21" xfId="0" applyNumberFormat="1" applyFont="1" applyBorder="1" applyAlignment="1" applyProtection="1">
      <alignment horizontal="center" vertical="center" wrapText="1"/>
    </xf>
    <xf numFmtId="4" fontId="11" fillId="0" borderId="23" xfId="0" applyNumberFormat="1" applyFont="1" applyBorder="1" applyAlignment="1" applyProtection="1">
      <alignment horizontal="right"/>
    </xf>
    <xf numFmtId="4" fontId="11" fillId="0" borderId="24" xfId="0" applyNumberFormat="1" applyFont="1" applyBorder="1" applyAlignment="1" applyProtection="1">
      <alignment horizontal="right"/>
    </xf>
    <xf numFmtId="4" fontId="35" fillId="0" borderId="21"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5" fillId="0" borderId="21" xfId="0" applyNumberFormat="1" applyFont="1" applyBorder="1" applyAlignment="1" applyProtection="1">
      <alignment horizontal="center" vertical="center" wrapText="1"/>
    </xf>
    <xf numFmtId="49" fontId="37" fillId="0" borderId="21" xfId="0" applyNumberFormat="1" applyFont="1" applyBorder="1" applyAlignment="1" applyProtection="1">
      <alignment horizontal="center" vertical="center" wrapText="1"/>
    </xf>
    <xf numFmtId="49" fontId="35" fillId="0" borderId="21" xfId="0" applyNumberFormat="1" applyFont="1" applyBorder="1" applyAlignment="1" applyProtection="1">
      <alignment horizontal="center" vertical="center" wrapText="1"/>
    </xf>
    <xf numFmtId="49" fontId="24" fillId="0" borderId="23" xfId="0" applyNumberFormat="1" applyFont="1" applyBorder="1" applyAlignment="1" applyProtection="1">
      <alignment horizontal="justify" vertical="center" wrapText="1"/>
    </xf>
    <xf numFmtId="4" fontId="24" fillId="0" borderId="25" xfId="0" applyNumberFormat="1" applyFont="1" applyBorder="1" applyAlignment="1" applyProtection="1">
      <alignment horizontal="right"/>
    </xf>
    <xf numFmtId="49" fontId="24" fillId="0" borderId="29" xfId="0" applyNumberFormat="1" applyFont="1" applyBorder="1" applyAlignment="1" applyProtection="1">
      <alignment horizontal="center" vertical="center" wrapText="1"/>
    </xf>
    <xf numFmtId="49" fontId="24" fillId="0" borderId="29" xfId="0" applyNumberFormat="1" applyFont="1" applyBorder="1" applyAlignment="1" applyProtection="1">
      <alignment horizontal="justify" vertical="center" wrapText="1"/>
    </xf>
    <xf numFmtId="0" fontId="1" fillId="0" borderId="0" xfId="0" applyFont="1" applyAlignment="1">
      <alignment horizontal="right"/>
    </xf>
    <xf numFmtId="0" fontId="38" fillId="0" borderId="13" xfId="0" applyFont="1" applyBorder="1"/>
    <xf numFmtId="0" fontId="39" fillId="0" borderId="13" xfId="0" applyFont="1" applyBorder="1"/>
    <xf numFmtId="0" fontId="10" fillId="0" borderId="0" xfId="0" applyFont="1" applyBorder="1"/>
    <xf numFmtId="0" fontId="40" fillId="0" borderId="0" xfId="0" applyFont="1" applyBorder="1"/>
    <xf numFmtId="0" fontId="40" fillId="0" borderId="0" xfId="0" applyFont="1"/>
    <xf numFmtId="22" fontId="40" fillId="0" borderId="0" xfId="0" applyNumberFormat="1" applyFont="1"/>
    <xf numFmtId="0" fontId="40" fillId="0" borderId="0" xfId="0" applyFont="1" applyAlignment="1">
      <alignment horizontal="left" vertical="top"/>
    </xf>
    <xf numFmtId="0" fontId="40" fillId="0" borderId="0" xfId="0" applyFont="1" applyAlignment="1">
      <alignment vertical="top" wrapText="1"/>
    </xf>
    <xf numFmtId="49" fontId="41" fillId="0" borderId="8" xfId="0" applyNumberFormat="1" applyFont="1" applyBorder="1" applyAlignment="1">
      <alignment horizontal="center" vertical="center" wrapText="1"/>
    </xf>
    <xf numFmtId="49" fontId="41"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42" fillId="0" borderId="8" xfId="0" applyNumberFormat="1" applyFont="1" applyBorder="1"/>
    <xf numFmtId="49" fontId="8" fillId="0" borderId="8" xfId="0" applyNumberFormat="1" applyFont="1" applyBorder="1" applyAlignment="1">
      <alignment horizontal="left" wrapText="1"/>
    </xf>
    <xf numFmtId="0" fontId="42" fillId="0" borderId="8" xfId="0" applyFont="1" applyBorder="1" applyAlignment="1">
      <alignment wrapText="1"/>
    </xf>
    <xf numFmtId="4" fontId="42" fillId="3" borderId="8" xfId="0" applyNumberFormat="1" applyFont="1" applyFill="1" applyBorder="1"/>
    <xf numFmtId="49" fontId="9" fillId="0" borderId="32"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21"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4" fontId="33" fillId="0" borderId="21" xfId="0" applyNumberFormat="1" applyFont="1" applyBorder="1" applyAlignment="1" applyProtection="1">
      <alignment horizontal="right"/>
    </xf>
    <xf numFmtId="49" fontId="9" fillId="0" borderId="21" xfId="0" applyNumberFormat="1" applyFont="1" applyBorder="1" applyAlignment="1" applyProtection="1">
      <alignment horizontal="right" vertical="center" wrapText="1"/>
    </xf>
    <xf numFmtId="4" fontId="11" fillId="0" borderId="21" xfId="0" applyNumberFormat="1" applyFont="1" applyBorder="1" applyAlignment="1" applyProtection="1">
      <alignment horizontal="right"/>
    </xf>
    <xf numFmtId="4" fontId="43" fillId="0" borderId="21" xfId="0" applyNumberFormat="1" applyFont="1" applyBorder="1" applyAlignment="1" applyProtection="1">
      <alignment horizontal="right"/>
    </xf>
    <xf numFmtId="49" fontId="35" fillId="0" borderId="21" xfId="0" applyNumberFormat="1" applyFont="1" applyBorder="1" applyAlignment="1" applyProtection="1">
      <alignment horizontal="center" vertical="center" wrapText="1"/>
    </xf>
    <xf numFmtId="4" fontId="8" fillId="0" borderId="21" xfId="0" applyNumberFormat="1" applyFont="1" applyBorder="1" applyAlignment="1" applyProtection="1">
      <alignment horizontal="right"/>
    </xf>
    <xf numFmtId="49" fontId="8" fillId="3" borderId="21" xfId="0" applyNumberFormat="1" applyFont="1" applyFill="1" applyBorder="1" applyAlignment="1" applyProtection="1">
      <alignment horizontal="justify" vertical="center" wrapText="1"/>
    </xf>
    <xf numFmtId="49" fontId="8" fillId="3" borderId="21" xfId="0" applyNumberFormat="1" applyFont="1" applyFill="1" applyBorder="1" applyAlignment="1" applyProtection="1">
      <alignment horizontal="center" vertical="center" wrapText="1"/>
    </xf>
    <xf numFmtId="49" fontId="8" fillId="3" borderId="21" xfId="0" applyNumberFormat="1" applyFont="1" applyFill="1" applyBorder="1" applyAlignment="1" applyProtection="1">
      <alignment horizontal="right" vertical="center" wrapText="1"/>
    </xf>
    <xf numFmtId="49" fontId="44" fillId="0" borderId="21" xfId="0" applyNumberFormat="1" applyFont="1" applyBorder="1" applyAlignment="1" applyProtection="1">
      <alignment horizontal="center" vertical="center" wrapText="1"/>
    </xf>
    <xf numFmtId="49" fontId="44" fillId="0" borderId="21" xfId="0" applyNumberFormat="1" applyFont="1" applyBorder="1" applyAlignment="1" applyProtection="1">
      <alignment horizontal="right" vertical="center" wrapText="1"/>
    </xf>
    <xf numFmtId="4" fontId="45" fillId="0" borderId="21" xfId="0" applyNumberFormat="1" applyFont="1" applyBorder="1" applyAlignment="1" applyProtection="1">
      <alignment horizontal="right"/>
    </xf>
    <xf numFmtId="49" fontId="46" fillId="0" borderId="21" xfId="0" applyNumberFormat="1" applyFont="1" applyBorder="1" applyAlignment="1" applyProtection="1">
      <alignment horizontal="justify" vertical="center" wrapText="1"/>
    </xf>
    <xf numFmtId="4" fontId="47" fillId="0" borderId="8" xfId="0" applyNumberFormat="1" applyFont="1" applyFill="1" applyBorder="1"/>
    <xf numFmtId="49" fontId="47" fillId="0" borderId="8" xfId="0" applyNumberFormat="1" applyFont="1" applyFill="1" applyBorder="1"/>
    <xf numFmtId="49" fontId="46" fillId="0" borderId="21" xfId="0" applyNumberFormat="1" applyFont="1" applyBorder="1" applyAlignment="1" applyProtection="1">
      <alignment horizontal="center" vertical="center" wrapText="1"/>
    </xf>
    <xf numFmtId="0" fontId="46" fillId="0" borderId="8" xfId="0" applyFont="1" applyBorder="1" applyAlignment="1">
      <alignment wrapText="1"/>
    </xf>
    <xf numFmtId="49" fontId="46" fillId="0" borderId="8" xfId="0" applyNumberFormat="1" applyFont="1" applyBorder="1" applyAlignment="1">
      <alignment horizontal="center" wrapText="1"/>
    </xf>
    <xf numFmtId="4" fontId="46" fillId="0" borderId="3" xfId="0" applyNumberFormat="1" applyFont="1" applyBorder="1" applyAlignment="1">
      <alignment horizontal="right" wrapText="1"/>
    </xf>
    <xf numFmtId="49" fontId="46" fillId="0" borderId="8" xfId="0" applyNumberFormat="1" applyFont="1" applyBorder="1" applyAlignment="1">
      <alignment horizontal="left" wrapText="1"/>
    </xf>
    <xf numFmtId="164" fontId="46" fillId="0" borderId="21" xfId="0" applyNumberFormat="1" applyFont="1" applyBorder="1" applyAlignment="1" applyProtection="1">
      <alignment horizontal="justify" vertical="center" wrapText="1"/>
    </xf>
    <xf numFmtId="4" fontId="46" fillId="0" borderId="21" xfId="0" applyNumberFormat="1" applyFont="1" applyBorder="1" applyAlignment="1" applyProtection="1">
      <alignment horizontal="right"/>
    </xf>
    <xf numFmtId="4" fontId="3" fillId="0" borderId="0" xfId="0" applyNumberFormat="1" applyFont="1"/>
    <xf numFmtId="49" fontId="21" fillId="0" borderId="21" xfId="0" applyNumberFormat="1" applyFont="1" applyBorder="1" applyAlignment="1" applyProtection="1">
      <alignment horizontal="center" vertical="center" wrapText="1"/>
    </xf>
    <xf numFmtId="0" fontId="0" fillId="0" borderId="0" xfId="0" applyAlignment="1">
      <alignment horizontal="right"/>
    </xf>
    <xf numFmtId="49" fontId="21" fillId="0" borderId="24" xfId="0" applyNumberFormat="1" applyFont="1" applyBorder="1" applyAlignment="1" applyProtection="1">
      <alignment horizontal="center" vertical="center" wrapText="1"/>
    </xf>
    <xf numFmtId="49" fontId="33" fillId="0" borderId="39" xfId="0" applyNumberFormat="1" applyFont="1" applyBorder="1" applyAlignment="1" applyProtection="1">
      <alignment horizontal="center" vertical="center" wrapText="1"/>
    </xf>
    <xf numFmtId="4" fontId="21" fillId="0" borderId="21" xfId="0" applyNumberFormat="1" applyFont="1" applyBorder="1" applyAlignment="1" applyProtection="1">
      <alignment horizontal="right"/>
    </xf>
    <xf numFmtId="0" fontId="42" fillId="0" borderId="0" xfId="0" applyFont="1" applyAlignment="1">
      <alignment vertical="top" wrapText="1"/>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0" fontId="3" fillId="0" borderId="8" xfId="0" applyFont="1" applyBorder="1" applyAlignment="1">
      <alignment vertical="center"/>
    </xf>
    <xf numFmtId="49" fontId="49" fillId="0" borderId="8" xfId="0" applyNumberFormat="1" applyFont="1" applyFill="1" applyBorder="1"/>
    <xf numFmtId="164" fontId="24" fillId="0" borderId="29" xfId="0" applyNumberFormat="1" applyFont="1" applyBorder="1" applyAlignment="1" applyProtection="1">
      <alignment horizontal="justify" vertical="center" wrapText="1"/>
    </xf>
    <xf numFmtId="0" fontId="3" fillId="0" borderId="2" xfId="0" applyFont="1" applyBorder="1" applyAlignment="1">
      <alignment vertical="center"/>
    </xf>
    <xf numFmtId="0" fontId="3" fillId="0" borderId="19" xfId="0" applyFont="1" applyBorder="1" applyAlignment="1">
      <alignment vertical="center"/>
    </xf>
    <xf numFmtId="2" fontId="26" fillId="0" borderId="5" xfId="0" applyNumberFormat="1" applyFont="1" applyBorder="1" applyAlignment="1">
      <alignment wrapText="1"/>
    </xf>
    <xf numFmtId="0" fontId="26" fillId="0" borderId="8" xfId="0" applyFont="1" applyBorder="1" applyAlignment="1">
      <alignment vertical="top" wrapText="1"/>
    </xf>
    <xf numFmtId="0" fontId="50" fillId="0" borderId="8" xfId="0" applyFont="1" applyBorder="1" applyAlignment="1">
      <alignment vertical="top" wrapText="1"/>
    </xf>
    <xf numFmtId="49" fontId="19" fillId="0" borderId="8" xfId="0" applyNumberFormat="1" applyFont="1" applyFill="1" applyBorder="1"/>
    <xf numFmtId="49" fontId="19" fillId="0" borderId="8" xfId="0" applyNumberFormat="1" applyFont="1" applyFill="1" applyBorder="1" applyAlignment="1">
      <alignment horizontal="right"/>
    </xf>
    <xf numFmtId="49" fontId="51" fillId="0" borderId="21" xfId="0" applyNumberFormat="1" applyFont="1" applyBorder="1" applyAlignment="1" applyProtection="1">
      <alignment horizontal="justify" vertical="center" wrapText="1"/>
    </xf>
    <xf numFmtId="0" fontId="3" fillId="0" borderId="8" xfId="0" applyFont="1" applyBorder="1" applyAlignment="1"/>
    <xf numFmtId="0" fontId="1" fillId="0" borderId="2" xfId="0" applyFont="1" applyBorder="1"/>
    <xf numFmtId="49" fontId="2" fillId="0" borderId="8" xfId="0" applyNumberFormat="1" applyFont="1" applyFill="1" applyBorder="1" applyAlignment="1">
      <alignment horizontal="center"/>
    </xf>
    <xf numFmtId="49" fontId="27" fillId="0" borderId="19" xfId="0" applyNumberFormat="1" applyFont="1" applyFill="1" applyBorder="1"/>
    <xf numFmtId="49" fontId="26" fillId="0" borderId="19" xfId="0" applyNumberFormat="1" applyFont="1" applyFill="1" applyBorder="1"/>
    <xf numFmtId="4" fontId="1" fillId="0" borderId="19" xfId="0" applyNumberFormat="1" applyFont="1" applyFill="1" applyBorder="1"/>
    <xf numFmtId="4" fontId="1" fillId="0" borderId="19" xfId="0" applyNumberFormat="1" applyFont="1" applyBorder="1"/>
    <xf numFmtId="49" fontId="24" fillId="0" borderId="26" xfId="0" applyNumberFormat="1" applyFont="1" applyBorder="1" applyAlignment="1" applyProtection="1">
      <alignment horizontal="justify" vertical="center" wrapText="1"/>
    </xf>
    <xf numFmtId="0" fontId="27" fillId="0" borderId="8" xfId="0" applyFont="1" applyFill="1" applyBorder="1" applyAlignment="1">
      <alignment wrapText="1"/>
    </xf>
    <xf numFmtId="0" fontId="1" fillId="0" borderId="19" xfId="0" applyFont="1" applyBorder="1" applyAlignment="1">
      <alignment horizontal="center" vertical="center"/>
    </xf>
    <xf numFmtId="49" fontId="15" fillId="0" borderId="8" xfId="0" applyNumberFormat="1" applyFont="1" applyFill="1" applyBorder="1"/>
    <xf numFmtId="0" fontId="1" fillId="0" borderId="18" xfId="0" applyFont="1" applyBorder="1" applyAlignment="1">
      <alignment horizontal="center" vertical="center"/>
    </xf>
    <xf numFmtId="0" fontId="3" fillId="0" borderId="8" xfId="0" applyFont="1" applyFill="1" applyBorder="1" applyAlignment="1">
      <alignment horizontal="center" vertical="center"/>
    </xf>
    <xf numFmtId="4" fontId="52" fillId="0" borderId="21" xfId="0" applyNumberFormat="1" applyFont="1" applyBorder="1" applyAlignment="1" applyProtection="1">
      <alignment horizontal="right"/>
    </xf>
    <xf numFmtId="0" fontId="3" fillId="0" borderId="8" xfId="0" applyFont="1" applyFill="1" applyBorder="1"/>
    <xf numFmtId="0" fontId="42" fillId="0" borderId="30" xfId="0" applyFont="1" applyBorder="1" applyAlignment="1">
      <alignment horizontal="justify" vertical="center" wrapText="1"/>
    </xf>
    <xf numFmtId="0" fontId="3" fillId="0" borderId="8" xfId="0" applyFont="1" applyBorder="1" applyAlignment="1">
      <alignment horizontal="center" vertical="center" wrapText="1"/>
    </xf>
    <xf numFmtId="49" fontId="26" fillId="0" borderId="19" xfId="0" applyNumberFormat="1" applyFont="1" applyFill="1" applyBorder="1" applyAlignment="1">
      <alignment horizontal="right"/>
    </xf>
    <xf numFmtId="0" fontId="1" fillId="0" borderId="2" xfId="0" applyFont="1" applyBorder="1" applyAlignment="1">
      <alignment horizontal="center" vertical="center"/>
    </xf>
    <xf numFmtId="4" fontId="47" fillId="0" borderId="2" xfId="0" applyNumberFormat="1" applyFont="1" applyFill="1" applyBorder="1"/>
    <xf numFmtId="0" fontId="1" fillId="0" borderId="0" xfId="0" applyFont="1" applyAlignment="1">
      <alignment horizontal="right"/>
    </xf>
    <xf numFmtId="0" fontId="1" fillId="0" borderId="8" xfId="0" applyFont="1" applyFill="1" applyBorder="1" applyAlignment="1">
      <alignment horizontal="center"/>
    </xf>
    <xf numFmtId="49" fontId="47" fillId="0" borderId="8" xfId="0" applyNumberFormat="1" applyFont="1" applyBorder="1" applyAlignment="1">
      <alignment horizontal="center"/>
    </xf>
    <xf numFmtId="49" fontId="1" fillId="0" borderId="5" xfId="0" applyNumberFormat="1" applyFont="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49" fontId="26" fillId="0" borderId="5" xfId="0" applyNumberFormat="1" applyFont="1" applyBorder="1" applyAlignment="1">
      <alignment horizontal="center"/>
    </xf>
    <xf numFmtId="49" fontId="1" fillId="0" borderId="5" xfId="0" applyNumberFormat="1" applyFont="1" applyFill="1" applyBorder="1" applyAlignment="1">
      <alignment horizontal="center"/>
    </xf>
    <xf numFmtId="49" fontId="1" fillId="0" borderId="21" xfId="0" applyNumberFormat="1" applyFont="1" applyBorder="1" applyAlignment="1" applyProtection="1">
      <alignment horizontal="justify" vertical="center" wrapText="1"/>
    </xf>
    <xf numFmtId="0" fontId="42" fillId="0" borderId="0" xfId="0" applyFont="1" applyAlignment="1">
      <alignment horizontal="justify" vertical="top" wrapText="1"/>
    </xf>
    <xf numFmtId="4" fontId="13" fillId="0" borderId="0" xfId="0" applyNumberFormat="1" applyFont="1" applyFill="1"/>
    <xf numFmtId="165" fontId="13" fillId="0" borderId="0" xfId="0" applyNumberFormat="1" applyFont="1" applyFill="1"/>
    <xf numFmtId="49" fontId="21" fillId="0" borderId="8"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center" vertical="center" wrapText="1"/>
    </xf>
    <xf numFmtId="49" fontId="31" fillId="0" borderId="25" xfId="0" applyNumberFormat="1" applyFont="1" applyBorder="1" applyAlignment="1" applyProtection="1">
      <alignment horizontal="center" vertical="center" wrapText="1"/>
    </xf>
    <xf numFmtId="49" fontId="54" fillId="0" borderId="8" xfId="0" applyNumberFormat="1" applyFont="1" applyBorder="1" applyAlignment="1">
      <alignment horizontal="center" wrapText="1"/>
    </xf>
    <xf numFmtId="49" fontId="53" fillId="0" borderId="8" xfId="0" applyNumberFormat="1" applyFont="1" applyBorder="1" applyAlignment="1">
      <alignment horizontal="left" wrapText="1"/>
    </xf>
    <xf numFmtId="49" fontId="1" fillId="0" borderId="8" xfId="1" applyNumberFormat="1" applyFont="1" applyBorder="1" applyAlignment="1"/>
    <xf numFmtId="0" fontId="1" fillId="0" borderId="2" xfId="0" applyFont="1" applyFill="1" applyBorder="1" applyAlignment="1">
      <alignment horizontal="center" wrapText="1"/>
    </xf>
    <xf numFmtId="0" fontId="47" fillId="0" borderId="8" xfId="0" applyFont="1" applyFill="1" applyBorder="1" applyAlignment="1">
      <alignment horizontal="left"/>
    </xf>
    <xf numFmtId="49" fontId="25" fillId="0" borderId="23" xfId="0" applyNumberFormat="1" applyFont="1" applyBorder="1" applyAlignment="1" applyProtection="1">
      <alignment horizontal="center" vertical="center" wrapText="1"/>
    </xf>
    <xf numFmtId="49" fontId="33" fillId="0" borderId="40" xfId="0" applyNumberFormat="1" applyFont="1" applyBorder="1" applyAlignment="1" applyProtection="1">
      <alignment horizontal="center" vertical="center" wrapText="1"/>
    </xf>
    <xf numFmtId="49" fontId="33" fillId="0" borderId="41" xfId="0" applyNumberFormat="1" applyFont="1" applyBorder="1" applyAlignment="1" applyProtection="1">
      <alignment horizontal="center" vertical="center" wrapText="1"/>
    </xf>
    <xf numFmtId="49" fontId="25" fillId="0" borderId="25" xfId="0" applyNumberFormat="1" applyFont="1" applyBorder="1" applyAlignment="1" applyProtection="1">
      <alignment horizontal="center" vertical="center" wrapText="1"/>
    </xf>
    <xf numFmtId="49" fontId="33" fillId="0" borderId="42" xfId="0" applyNumberFormat="1" applyFont="1" applyBorder="1" applyAlignment="1" applyProtection="1">
      <alignment horizontal="center" vertical="center" wrapText="1"/>
    </xf>
    <xf numFmtId="0" fontId="8" fillId="0" borderId="8" xfId="0" applyFont="1" applyBorder="1" applyAlignment="1">
      <alignment horizontal="justify" wrapText="1"/>
    </xf>
    <xf numFmtId="4" fontId="21" fillId="3" borderId="21" xfId="0" applyNumberFormat="1" applyFont="1" applyFill="1" applyBorder="1" applyAlignment="1" applyProtection="1">
      <alignment horizontal="right"/>
    </xf>
    <xf numFmtId="49" fontId="31" fillId="3" borderId="26" xfId="0" applyNumberFormat="1" applyFont="1" applyFill="1" applyBorder="1" applyAlignment="1" applyProtection="1">
      <alignment horizontal="center" vertical="center" wrapText="1"/>
    </xf>
    <xf numFmtId="49" fontId="31" fillId="3" borderId="21" xfId="0" applyNumberFormat="1" applyFont="1" applyFill="1" applyBorder="1" applyAlignment="1" applyProtection="1">
      <alignment horizontal="center" vertical="center" wrapText="1"/>
    </xf>
    <xf numFmtId="49" fontId="31" fillId="3" borderId="21" xfId="0" applyNumberFormat="1" applyFont="1" applyFill="1" applyBorder="1" applyAlignment="1" applyProtection="1">
      <alignment horizontal="right" vertical="center" wrapText="1"/>
    </xf>
    <xf numFmtId="49" fontId="31" fillId="3" borderId="21" xfId="0" applyNumberFormat="1" applyFont="1" applyFill="1" applyBorder="1" applyAlignment="1" applyProtection="1">
      <alignment horizontal="justify" vertical="center" wrapText="1"/>
    </xf>
    <xf numFmtId="4" fontId="33" fillId="3" borderId="21" xfId="0" applyNumberFormat="1" applyFont="1" applyFill="1" applyBorder="1" applyAlignment="1" applyProtection="1">
      <alignment horizontal="right"/>
    </xf>
    <xf numFmtId="49" fontId="21" fillId="0" borderId="21" xfId="0" applyNumberFormat="1" applyFont="1" applyBorder="1" applyAlignment="1" applyProtection="1">
      <alignment horizontal="justify" vertical="center" wrapText="1"/>
    </xf>
    <xf numFmtId="0" fontId="46" fillId="0" borderId="8" xfId="0" applyFont="1" applyBorder="1" applyAlignment="1">
      <alignment horizontal="justify" vertical="center" wrapText="1"/>
    </xf>
    <xf numFmtId="4" fontId="46" fillId="0" borderId="8" xfId="0" applyNumberFormat="1" applyFont="1" applyBorder="1"/>
    <xf numFmtId="49" fontId="9" fillId="0" borderId="8" xfId="0" applyNumberFormat="1" applyFont="1" applyBorder="1" applyAlignment="1">
      <alignment horizontal="left" wrapText="1"/>
    </xf>
    <xf numFmtId="4" fontId="8" fillId="0" borderId="8" xfId="0" applyNumberFormat="1" applyFont="1" applyBorder="1" applyAlignment="1">
      <alignment horizontal="right" wrapText="1"/>
    </xf>
    <xf numFmtId="4" fontId="9" fillId="0" borderId="3" xfId="0" applyNumberFormat="1" applyFont="1" applyBorder="1" applyAlignment="1">
      <alignment horizontal="right" wrapText="1"/>
    </xf>
    <xf numFmtId="4" fontId="9" fillId="0" borderId="3" xfId="0" applyNumberFormat="1" applyFont="1" applyBorder="1" applyAlignment="1">
      <alignment horizontal="center" vertical="center" wrapText="1"/>
    </xf>
    <xf numFmtId="4" fontId="9" fillId="0" borderId="8" xfId="0" applyNumberFormat="1" applyFont="1" applyBorder="1" applyAlignment="1">
      <alignment horizontal="center" vertical="center" wrapText="1"/>
    </xf>
    <xf numFmtId="49" fontId="46" fillId="0" borderId="8" xfId="0" applyNumberFormat="1" applyFont="1" applyBorder="1" applyAlignment="1">
      <alignment horizontal="justify" wrapText="1"/>
    </xf>
    <xf numFmtId="164" fontId="8" fillId="0" borderId="8" xfId="0" applyNumberFormat="1" applyFont="1" applyBorder="1" applyAlignment="1">
      <alignment horizontal="justify" wrapText="1"/>
    </xf>
    <xf numFmtId="49" fontId="8" fillId="0" borderId="8" xfId="0" applyNumberFormat="1" applyFont="1" applyBorder="1" applyAlignment="1">
      <alignment horizontal="justify" wrapText="1"/>
    </xf>
    <xf numFmtId="49" fontId="53" fillId="0" borderId="8" xfId="0" applyNumberFormat="1" applyFont="1" applyBorder="1" applyAlignment="1">
      <alignment horizontal="justify" wrapText="1"/>
    </xf>
    <xf numFmtId="49" fontId="9" fillId="0" borderId="8" xfId="0" applyNumberFormat="1" applyFont="1" applyBorder="1" applyAlignment="1">
      <alignment horizontal="center" wrapText="1"/>
    </xf>
    <xf numFmtId="49" fontId="9" fillId="0" borderId="8" xfId="0" applyNumberFormat="1" applyFont="1" applyBorder="1" applyAlignment="1">
      <alignment horizontal="center" vertical="center" wrapText="1"/>
    </xf>
    <xf numFmtId="4" fontId="31" fillId="0" borderId="3" xfId="0" applyNumberFormat="1" applyFont="1" applyBorder="1" applyAlignment="1">
      <alignment horizontal="right" wrapText="1"/>
    </xf>
    <xf numFmtId="4" fontId="31" fillId="0" borderId="8" xfId="0" applyNumberFormat="1" applyFont="1" applyBorder="1" applyAlignment="1">
      <alignment horizontal="right" wrapText="1"/>
    </xf>
    <xf numFmtId="49" fontId="9" fillId="0" borderId="8" xfId="0" applyNumberFormat="1" applyFont="1" applyBorder="1" applyAlignment="1">
      <alignment horizontal="justify" wrapText="1"/>
    </xf>
    <xf numFmtId="0" fontId="38" fillId="0" borderId="0" xfId="0" applyFont="1" applyBorder="1"/>
    <xf numFmtId="0" fontId="39" fillId="0" borderId="0" xfId="0" applyFont="1" applyBorder="1"/>
    <xf numFmtId="4" fontId="8" fillId="0" borderId="8" xfId="0" applyNumberFormat="1" applyFont="1" applyBorder="1"/>
    <xf numFmtId="49" fontId="21" fillId="0" borderId="25" xfId="0" applyNumberFormat="1" applyFont="1" applyBorder="1" applyAlignment="1" applyProtection="1">
      <alignment horizontal="center" vertical="center" wrapText="1"/>
    </xf>
    <xf numFmtId="49" fontId="9" fillId="3" borderId="8" xfId="0" applyNumberFormat="1" applyFont="1" applyFill="1" applyBorder="1" applyAlignment="1">
      <alignment horizontal="center" wrapText="1"/>
    </xf>
    <xf numFmtId="49" fontId="9" fillId="3" borderId="8" xfId="0" applyNumberFormat="1" applyFont="1" applyFill="1" applyBorder="1" applyAlignment="1">
      <alignment horizontal="justify" wrapText="1"/>
    </xf>
    <xf numFmtId="4" fontId="9" fillId="3" borderId="3" xfId="0" applyNumberFormat="1" applyFont="1" applyFill="1" applyBorder="1" applyAlignment="1">
      <alignment horizontal="right" wrapText="1"/>
    </xf>
    <xf numFmtId="164" fontId="9" fillId="3" borderId="8" xfId="0" applyNumberFormat="1" applyFont="1" applyFill="1" applyBorder="1" applyAlignment="1">
      <alignment horizontal="justify" wrapText="1"/>
    </xf>
    <xf numFmtId="0" fontId="56" fillId="0" borderId="0" xfId="0" applyFont="1"/>
    <xf numFmtId="0" fontId="1" fillId="0" borderId="8" xfId="0" applyFont="1" applyFill="1" applyBorder="1" applyAlignment="1">
      <alignment horizontal="center" wrapText="1"/>
    </xf>
    <xf numFmtId="4" fontId="21" fillId="0" borderId="24" xfId="0" applyNumberFormat="1" applyFont="1" applyBorder="1" applyAlignment="1" applyProtection="1">
      <alignment horizontal="right"/>
    </xf>
    <xf numFmtId="49" fontId="21" fillId="0" borderId="21" xfId="0" applyNumberFormat="1" applyFont="1" applyBorder="1" applyAlignment="1" applyProtection="1">
      <alignment horizontal="right" vertical="center" wrapText="1"/>
    </xf>
    <xf numFmtId="4" fontId="21" fillId="0" borderId="23" xfId="0" applyNumberFormat="1" applyFont="1" applyBorder="1" applyAlignment="1" applyProtection="1">
      <alignment horizontal="right"/>
    </xf>
    <xf numFmtId="49" fontId="8" fillId="3" borderId="8" xfId="0" applyNumberFormat="1" applyFont="1" applyFill="1" applyBorder="1" applyAlignment="1">
      <alignment horizontal="justify" wrapText="1"/>
    </xf>
    <xf numFmtId="164" fontId="8" fillId="3" borderId="8" xfId="0" applyNumberFormat="1" applyFont="1" applyFill="1" applyBorder="1" applyAlignment="1">
      <alignment horizontal="justify" wrapText="1"/>
    </xf>
    <xf numFmtId="4" fontId="8" fillId="3" borderId="3" xfId="0" applyNumberFormat="1" applyFont="1" applyFill="1" applyBorder="1" applyAlignment="1">
      <alignment horizontal="right" wrapText="1"/>
    </xf>
    <xf numFmtId="0" fontId="8" fillId="3" borderId="8" xfId="0" applyFont="1" applyFill="1" applyBorder="1" applyAlignment="1">
      <alignment horizontal="justify" wrapText="1"/>
    </xf>
    <xf numFmtId="0" fontId="8" fillId="3" borderId="0" xfId="0" applyFont="1" applyFill="1" applyAlignment="1">
      <alignment wrapText="1"/>
    </xf>
    <xf numFmtId="0" fontId="8" fillId="3" borderId="8" xfId="0" applyFont="1" applyFill="1" applyBorder="1" applyAlignment="1">
      <alignment wrapText="1"/>
    </xf>
    <xf numFmtId="0" fontId="9" fillId="3" borderId="8" xfId="0" applyFont="1" applyFill="1" applyBorder="1" applyAlignment="1">
      <alignment horizontal="justify" wrapText="1"/>
    </xf>
    <xf numFmtId="0" fontId="1" fillId="0" borderId="2" xfId="0" applyFont="1" applyFill="1" applyBorder="1" applyAlignment="1">
      <alignment horizontal="center" wrapText="1"/>
    </xf>
    <xf numFmtId="0" fontId="1" fillId="0" borderId="19" xfId="0" applyFont="1" applyFill="1" applyBorder="1" applyAlignment="1">
      <alignment horizontal="center"/>
    </xf>
    <xf numFmtId="4" fontId="1" fillId="0" borderId="8" xfId="0" applyNumberFormat="1" applyFont="1" applyFill="1" applyBorder="1" applyAlignment="1"/>
    <xf numFmtId="0" fontId="8" fillId="3" borderId="0" xfId="0" applyFont="1" applyFill="1" applyAlignment="1">
      <alignment horizontal="justify" wrapText="1"/>
    </xf>
    <xf numFmtId="49" fontId="8" fillId="3" borderId="8" xfId="0" applyNumberFormat="1" applyFont="1" applyFill="1" applyBorder="1" applyAlignment="1">
      <alignment horizontal="center" wrapText="1"/>
    </xf>
    <xf numFmtId="0" fontId="0" fillId="0" borderId="0" xfId="0" applyAlignment="1">
      <alignment vertical="top"/>
    </xf>
    <xf numFmtId="0" fontId="21" fillId="0" borderId="0" xfId="0" applyFont="1" applyBorder="1" applyAlignment="1" applyProtection="1">
      <alignment horizontal="center" vertical="top"/>
    </xf>
    <xf numFmtId="0" fontId="23" fillId="0" borderId="21" xfId="0" applyFont="1" applyBorder="1" applyAlignment="1" applyProtection="1">
      <alignment vertical="top"/>
    </xf>
    <xf numFmtId="49" fontId="22" fillId="0" borderId="21" xfId="0" applyNumberFormat="1" applyFont="1" applyBorder="1" applyAlignment="1" applyProtection="1">
      <alignment horizontal="justify" vertical="top" wrapText="1"/>
    </xf>
    <xf numFmtId="49" fontId="35" fillId="0" borderId="21" xfId="0" applyNumberFormat="1" applyFont="1" applyBorder="1" applyAlignment="1" applyProtection="1">
      <alignment horizontal="justify" vertical="top" wrapText="1"/>
    </xf>
    <xf numFmtId="49" fontId="24" fillId="0" borderId="21" xfId="0" applyNumberFormat="1" applyFont="1" applyBorder="1" applyAlignment="1" applyProtection="1">
      <alignment horizontal="justify" vertical="top" wrapText="1"/>
    </xf>
    <xf numFmtId="164" fontId="24" fillId="0" borderId="21" xfId="0" applyNumberFormat="1" applyFont="1" applyBorder="1" applyAlignment="1" applyProtection="1">
      <alignment horizontal="justify" vertical="top" wrapText="1"/>
    </xf>
    <xf numFmtId="164" fontId="25" fillId="0" borderId="21" xfId="0" applyNumberFormat="1" applyFont="1" applyBorder="1" applyAlignment="1" applyProtection="1">
      <alignment horizontal="justify" vertical="top" wrapText="1"/>
    </xf>
    <xf numFmtId="49" fontId="31" fillId="0" borderId="21" xfId="0" applyNumberFormat="1" applyFont="1" applyBorder="1" applyAlignment="1" applyProtection="1">
      <alignment horizontal="justify" vertical="top" wrapText="1"/>
    </xf>
    <xf numFmtId="49" fontId="25" fillId="0" borderId="21" xfId="0" applyNumberFormat="1" applyFont="1" applyBorder="1" applyAlignment="1" applyProtection="1">
      <alignment horizontal="justify" vertical="top" wrapText="1"/>
    </xf>
    <xf numFmtId="49" fontId="8" fillId="0" borderId="21" xfId="0" applyNumberFormat="1" applyFont="1" applyBorder="1" applyAlignment="1" applyProtection="1">
      <alignment horizontal="justify" vertical="top" wrapText="1"/>
    </xf>
    <xf numFmtId="164" fontId="31" fillId="0" borderId="21" xfId="0" applyNumberFormat="1" applyFont="1" applyBorder="1" applyAlignment="1" applyProtection="1">
      <alignment horizontal="justify" vertical="top" wrapText="1"/>
    </xf>
    <xf numFmtId="164" fontId="34" fillId="0" borderId="21" xfId="0" applyNumberFormat="1" applyFont="1" applyBorder="1" applyAlignment="1" applyProtection="1">
      <alignment horizontal="justify" vertical="top" wrapText="1"/>
    </xf>
    <xf numFmtId="164" fontId="8" fillId="0" borderId="21" xfId="0" applyNumberFormat="1" applyFont="1" applyBorder="1" applyAlignment="1" applyProtection="1">
      <alignment horizontal="justify" vertical="top" wrapText="1"/>
    </xf>
    <xf numFmtId="164" fontId="30" fillId="0" borderId="21" xfId="0" applyNumberFormat="1" applyFont="1" applyBorder="1" applyAlignment="1" applyProtection="1">
      <alignment horizontal="justify" vertical="top" wrapText="1"/>
    </xf>
    <xf numFmtId="164" fontId="21" fillId="0" borderId="21" xfId="0" applyNumberFormat="1" applyFont="1" applyBorder="1" applyAlignment="1" applyProtection="1">
      <alignment horizontal="justify" vertical="top" wrapText="1"/>
    </xf>
    <xf numFmtId="164" fontId="11" fillId="0" borderId="21" xfId="0" applyNumberFormat="1" applyFont="1" applyBorder="1" applyAlignment="1" applyProtection="1">
      <alignment horizontal="justify" vertical="top" wrapText="1"/>
    </xf>
    <xf numFmtId="0" fontId="8" fillId="0" borderId="8" xfId="0" applyFont="1" applyBorder="1" applyAlignment="1">
      <alignment vertical="top" wrapText="1"/>
    </xf>
    <xf numFmtId="49" fontId="31" fillId="0" borderId="8" xfId="0" applyNumberFormat="1" applyFont="1" applyBorder="1" applyAlignment="1">
      <alignment vertical="top" wrapText="1"/>
    </xf>
    <xf numFmtId="0" fontId="31" fillId="0" borderId="8" xfId="0" applyFont="1" applyBorder="1" applyAlignment="1">
      <alignment vertical="top" wrapText="1"/>
    </xf>
    <xf numFmtId="0" fontId="31" fillId="0" borderId="8" xfId="0" applyFont="1" applyBorder="1" applyAlignment="1">
      <alignment horizontal="left" vertical="top" wrapText="1"/>
    </xf>
    <xf numFmtId="49" fontId="24" fillId="0" borderId="29" xfId="0" applyNumberFormat="1" applyFont="1" applyBorder="1" applyAlignment="1" applyProtection="1">
      <alignment horizontal="justify" vertical="top" wrapText="1"/>
    </xf>
    <xf numFmtId="49" fontId="8" fillId="0" borderId="29" xfId="0" applyNumberFormat="1" applyFont="1" applyBorder="1" applyAlignment="1" applyProtection="1">
      <alignment horizontal="justify" vertical="top" wrapText="1"/>
    </xf>
    <xf numFmtId="49" fontId="9" fillId="0" borderId="21" xfId="0" applyNumberFormat="1" applyFont="1" applyBorder="1" applyAlignment="1" applyProtection="1">
      <alignment horizontal="justify" vertical="top" wrapText="1"/>
    </xf>
    <xf numFmtId="0" fontId="42" fillId="0" borderId="8" xfId="0" applyFont="1" applyBorder="1" applyAlignment="1">
      <alignment horizontal="justify" vertical="top" wrapText="1"/>
    </xf>
    <xf numFmtId="0" fontId="31" fillId="0" borderId="8" xfId="0" applyFont="1" applyBorder="1" applyAlignment="1">
      <alignment horizontal="justify" vertical="top" wrapText="1"/>
    </xf>
    <xf numFmtId="49" fontId="31" fillId="0" borderId="26" xfId="0" applyNumberFormat="1" applyFont="1" applyBorder="1" applyAlignment="1" applyProtection="1">
      <alignment horizontal="justify" vertical="top" wrapText="1"/>
    </xf>
    <xf numFmtId="49" fontId="8" fillId="0" borderId="8" xfId="0" applyNumberFormat="1" applyFont="1" applyBorder="1" applyAlignment="1" applyProtection="1">
      <alignment horizontal="justify" vertical="top" wrapText="1"/>
    </xf>
    <xf numFmtId="49" fontId="31" fillId="0" borderId="8" xfId="0" applyNumberFormat="1" applyFont="1" applyBorder="1" applyAlignment="1" applyProtection="1">
      <alignment horizontal="justify" vertical="top" wrapText="1"/>
    </xf>
    <xf numFmtId="49" fontId="8" fillId="0" borderId="26" xfId="0" applyNumberFormat="1" applyFont="1" applyBorder="1" applyAlignment="1" applyProtection="1">
      <alignment horizontal="justify" vertical="top" wrapText="1"/>
    </xf>
    <xf numFmtId="49" fontId="31" fillId="0" borderId="24" xfId="0" applyNumberFormat="1" applyFont="1" applyBorder="1" applyAlignment="1" applyProtection="1">
      <alignment horizontal="justify" vertical="top" wrapText="1"/>
    </xf>
    <xf numFmtId="0" fontId="1" fillId="0" borderId="8" xfId="0" applyFont="1" applyFill="1" applyBorder="1" applyAlignment="1">
      <alignment vertical="top" wrapText="1"/>
    </xf>
    <xf numFmtId="0" fontId="8" fillId="0" borderId="0" xfId="0" applyFont="1" applyAlignment="1">
      <alignment horizontal="justify" vertical="top"/>
    </xf>
    <xf numFmtId="49" fontId="34" fillId="0" borderId="21" xfId="0" applyNumberFormat="1" applyFont="1" applyBorder="1" applyAlignment="1" applyProtection="1">
      <alignment horizontal="justify" vertical="top" wrapText="1"/>
    </xf>
    <xf numFmtId="49" fontId="8" fillId="0" borderId="21" xfId="0" applyNumberFormat="1" applyFont="1" applyBorder="1" applyAlignment="1" applyProtection="1">
      <alignment horizontal="left" vertical="top" wrapText="1"/>
    </xf>
    <xf numFmtId="164" fontId="8" fillId="0" borderId="29" xfId="0" applyNumberFormat="1" applyFont="1" applyBorder="1" applyAlignment="1" applyProtection="1">
      <alignment horizontal="justify" vertical="top" wrapText="1"/>
    </xf>
    <xf numFmtId="0" fontId="8" fillId="0" borderId="30" xfId="0" applyFont="1" applyBorder="1" applyAlignment="1">
      <alignment horizontal="justify" vertical="top" wrapText="1"/>
    </xf>
    <xf numFmtId="0" fontId="31" fillId="0" borderId="31" xfId="0" applyFont="1" applyBorder="1" applyAlignment="1">
      <alignment horizontal="justify" vertical="top" wrapText="1"/>
    </xf>
    <xf numFmtId="49" fontId="36" fillId="0" borderId="21" xfId="0" applyNumberFormat="1" applyFont="1" applyBorder="1" applyAlignment="1" applyProtection="1">
      <alignment horizontal="justify" vertical="top" wrapText="1"/>
    </xf>
    <xf numFmtId="49" fontId="8" fillId="3" borderId="21" xfId="0" applyNumberFormat="1" applyFont="1" applyFill="1" applyBorder="1" applyAlignment="1" applyProtection="1">
      <alignment horizontal="justify" vertical="top" wrapText="1"/>
    </xf>
    <xf numFmtId="49" fontId="31" fillId="3" borderId="26" xfId="0" applyNumberFormat="1" applyFont="1" applyFill="1" applyBorder="1" applyAlignment="1" applyProtection="1">
      <alignment horizontal="justify" vertical="top" wrapText="1"/>
    </xf>
    <xf numFmtId="0" fontId="8" fillId="0" borderId="8" xfId="0" applyFont="1" applyBorder="1" applyAlignment="1">
      <alignment horizontal="justify" vertical="top" wrapText="1"/>
    </xf>
    <xf numFmtId="0" fontId="31" fillId="0" borderId="8" xfId="0" applyFont="1" applyFill="1" applyBorder="1" applyAlignment="1">
      <alignment vertical="top" wrapText="1"/>
    </xf>
    <xf numFmtId="164" fontId="9" fillId="0" borderId="21" xfId="0" applyNumberFormat="1" applyFont="1" applyBorder="1" applyAlignment="1" applyProtection="1">
      <alignment horizontal="justify" vertical="top" wrapText="1"/>
    </xf>
    <xf numFmtId="49" fontId="8" fillId="0" borderId="8" xfId="0" applyNumberFormat="1" applyFont="1" applyBorder="1" applyAlignment="1">
      <alignment horizontal="justify" vertical="top" wrapText="1"/>
    </xf>
    <xf numFmtId="49" fontId="9" fillId="0" borderId="29" xfId="0" applyNumberFormat="1" applyFont="1" applyBorder="1" applyAlignment="1" applyProtection="1">
      <alignment horizontal="justify" vertical="top" wrapText="1"/>
    </xf>
    <xf numFmtId="0" fontId="31" fillId="0" borderId="8" xfId="0" applyFont="1" applyFill="1" applyBorder="1" applyAlignment="1">
      <alignment horizontal="justify" vertical="top" wrapText="1"/>
    </xf>
    <xf numFmtId="49" fontId="21" fillId="0" borderId="21" xfId="0" applyNumberFormat="1" applyFont="1" applyBorder="1" applyAlignment="1" applyProtection="1">
      <alignment horizontal="justify" vertical="top" wrapText="1"/>
    </xf>
    <xf numFmtId="49" fontId="11" fillId="0" borderId="29" xfId="0" applyNumberFormat="1" applyFont="1" applyBorder="1" applyAlignment="1" applyProtection="1">
      <alignment horizontal="justify" vertical="top" wrapText="1"/>
    </xf>
    <xf numFmtId="49" fontId="11" fillId="0" borderId="21" xfId="0" applyNumberFormat="1" applyFont="1" applyBorder="1" applyAlignment="1" applyProtection="1">
      <alignment horizontal="justify" vertical="top" wrapText="1"/>
    </xf>
    <xf numFmtId="0" fontId="1" fillId="0" borderId="2" xfId="0" applyFont="1" applyFill="1" applyBorder="1" applyAlignment="1">
      <alignment horizontal="left" wrapText="1"/>
    </xf>
    <xf numFmtId="0" fontId="1" fillId="0" borderId="19" xfId="0" applyFont="1" applyFill="1" applyBorder="1" applyAlignment="1">
      <alignment horizontal="left" wrapText="1"/>
    </xf>
    <xf numFmtId="0" fontId="1" fillId="0" borderId="8" xfId="0" applyFont="1" applyBorder="1" applyAlignment="1">
      <alignment horizontal="center"/>
    </xf>
    <xf numFmtId="0" fontId="1" fillId="0" borderId="0" xfId="0" applyFont="1" applyFill="1" applyAlignment="1">
      <alignment horizontal="left" wrapText="1"/>
    </xf>
    <xf numFmtId="0" fontId="2" fillId="0" borderId="8" xfId="0" applyFont="1" applyFill="1" applyBorder="1" applyAlignment="1">
      <alignment horizontal="left" wrapText="1"/>
    </xf>
    <xf numFmtId="0" fontId="1" fillId="0" borderId="8" xfId="0" applyFont="1" applyFill="1" applyBorder="1" applyAlignment="1">
      <alignment horizontal="left" wrapText="1"/>
    </xf>
    <xf numFmtId="0" fontId="1" fillId="0" borderId="0" xfId="0" applyFont="1" applyFill="1" applyBorder="1" applyAlignment="1">
      <alignment horizontal="left" wrapText="1"/>
    </xf>
    <xf numFmtId="0" fontId="2" fillId="0" borderId="0" xfId="0" applyFont="1" applyAlignment="1">
      <alignment vertical="center"/>
    </xf>
    <xf numFmtId="0" fontId="1" fillId="0" borderId="0" xfId="0" applyFont="1" applyAlignment="1">
      <alignment horizontal="center" vertical="center" wrapText="1"/>
    </xf>
    <xf numFmtId="0" fontId="9" fillId="0" borderId="8" xfId="0"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0" fontId="8" fillId="0" borderId="8" xfId="0" applyFont="1" applyBorder="1" applyAlignment="1">
      <alignment horizontal="left" vertical="center" wrapText="1"/>
    </xf>
    <xf numFmtId="0" fontId="8" fillId="0" borderId="8" xfId="0" applyFont="1" applyBorder="1" applyAlignment="1">
      <alignment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0" fontId="8" fillId="0" borderId="0" xfId="0" applyFont="1"/>
    <xf numFmtId="49" fontId="8" fillId="0" borderId="8" xfId="0" applyNumberFormat="1" applyFont="1" applyBorder="1" applyAlignment="1">
      <alignment horizontal="center"/>
    </xf>
    <xf numFmtId="0" fontId="42" fillId="0" borderId="8" xfId="0" applyFont="1" applyBorder="1" applyAlignment="1">
      <alignment horizontal="justify" vertical="center"/>
    </xf>
    <xf numFmtId="0" fontId="8" fillId="0" borderId="2" xfId="0" applyFont="1" applyBorder="1" applyAlignment="1">
      <alignment vertical="top" wrapText="1"/>
    </xf>
    <xf numFmtId="0" fontId="9" fillId="0" borderId="8" xfId="0" applyFont="1" applyBorder="1" applyAlignment="1">
      <alignment wrapText="1"/>
    </xf>
    <xf numFmtId="49" fontId="9" fillId="0" borderId="8" xfId="0" applyNumberFormat="1" applyFont="1" applyBorder="1" applyAlignment="1">
      <alignment horizontal="center" vertical="center"/>
    </xf>
    <xf numFmtId="0" fontId="8" fillId="0" borderId="8" xfId="0" applyFont="1" applyBorder="1" applyAlignment="1">
      <alignment horizontal="left"/>
    </xf>
    <xf numFmtId="0" fontId="9" fillId="0" borderId="8" xfId="0" applyFont="1" applyBorder="1" applyAlignment="1">
      <alignment horizontal="left"/>
    </xf>
    <xf numFmtId="49" fontId="8" fillId="0" borderId="8" xfId="0" applyNumberFormat="1" applyFont="1" applyBorder="1" applyAlignment="1">
      <alignment horizontal="center" vertical="center"/>
    </xf>
    <xf numFmtId="0" fontId="8" fillId="0" borderId="8" xfId="0" applyFont="1" applyBorder="1" applyAlignment="1">
      <alignment horizontal="left" wrapText="1"/>
    </xf>
    <xf numFmtId="49" fontId="8" fillId="0" borderId="8" xfId="0" applyNumberFormat="1" applyFont="1" applyFill="1" applyBorder="1" applyAlignment="1">
      <alignment horizontal="center" vertical="center" wrapText="1"/>
    </xf>
    <xf numFmtId="0" fontId="8" fillId="0" borderId="8" xfId="0" applyFont="1" applyFill="1" applyBorder="1" applyAlignment="1">
      <alignment vertical="center" wrapText="1"/>
    </xf>
    <xf numFmtId="0" fontId="0" fillId="0" borderId="0" xfId="0" applyFill="1"/>
    <xf numFmtId="0" fontId="46" fillId="0" borderId="8" xfId="0" applyFont="1" applyBorder="1" applyAlignment="1">
      <alignment vertical="center" wrapText="1"/>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164" fontId="44" fillId="0" borderId="21" xfId="0" applyNumberFormat="1" applyFont="1" applyBorder="1" applyAlignment="1" applyProtection="1">
      <alignment horizontal="justify" vertical="center" wrapText="1"/>
    </xf>
    <xf numFmtId="0" fontId="47" fillId="0" borderId="8" xfId="0" applyFont="1" applyBorder="1" applyAlignment="1">
      <alignment horizontal="justify" wrapText="1"/>
    </xf>
    <xf numFmtId="4" fontId="47" fillId="0" borderId="8" xfId="0" applyNumberFormat="1" applyFont="1" applyBorder="1" applyAlignment="1">
      <alignment horizontal="center" wrapText="1"/>
    </xf>
    <xf numFmtId="43" fontId="1" fillId="0" borderId="8" xfId="3" applyFont="1" applyBorder="1" applyAlignment="1">
      <alignment horizontal="center"/>
    </xf>
    <xf numFmtId="49" fontId="31" fillId="0" borderId="23" xfId="0" applyNumberFormat="1" applyFont="1" applyBorder="1" applyAlignment="1" applyProtection="1">
      <alignment horizontal="center" vertical="center" wrapText="1"/>
    </xf>
    <xf numFmtId="164" fontId="8" fillId="0" borderId="43" xfId="0" applyNumberFormat="1" applyFont="1" applyBorder="1" applyAlignment="1" applyProtection="1">
      <alignment horizontal="justify" vertical="top" wrapText="1"/>
    </xf>
    <xf numFmtId="164" fontId="31" fillId="0" borderId="24" xfId="0" applyNumberFormat="1" applyFont="1" applyBorder="1" applyAlignment="1" applyProtection="1">
      <alignment horizontal="justify" vertical="top" wrapText="1"/>
    </xf>
    <xf numFmtId="49" fontId="41" fillId="0" borderId="3" xfId="0" applyNumberFormat="1" applyFont="1" applyBorder="1" applyAlignment="1">
      <alignment horizontal="center" vertical="center" wrapText="1"/>
    </xf>
    <xf numFmtId="0" fontId="1" fillId="0" borderId="0" xfId="0" applyFont="1" applyAlignment="1">
      <alignment horizontal="right"/>
    </xf>
    <xf numFmtId="0" fontId="1" fillId="0" borderId="8" xfId="0" applyFont="1" applyFill="1" applyBorder="1" applyAlignment="1">
      <alignment horizontal="center"/>
    </xf>
    <xf numFmtId="0" fontId="1" fillId="0" borderId="8" xfId="0" applyFont="1" applyBorder="1" applyAlignment="1">
      <alignment horizontal="center" wrapText="1"/>
    </xf>
    <xf numFmtId="0" fontId="1" fillId="0" borderId="8" xfId="0" applyFont="1" applyBorder="1" applyAlignment="1">
      <alignment horizontal="center"/>
    </xf>
    <xf numFmtId="0" fontId="58" fillId="0" borderId="0" xfId="0" applyFont="1"/>
    <xf numFmtId="0" fontId="58" fillId="0" borderId="0" xfId="0" applyFont="1" applyAlignment="1">
      <alignment horizontal="right"/>
    </xf>
    <xf numFmtId="4" fontId="15" fillId="0" borderId="8" xfId="0" applyNumberFormat="1" applyFont="1" applyBorder="1"/>
    <xf numFmtId="4" fontId="9" fillId="0" borderId="8" xfId="0" applyNumberFormat="1" applyFont="1" applyBorder="1"/>
    <xf numFmtId="4" fontId="8" fillId="3" borderId="8" xfId="0" applyNumberFormat="1" applyFont="1" applyFill="1" applyBorder="1"/>
    <xf numFmtId="4" fontId="9" fillId="3" borderId="8" xfId="0" applyNumberFormat="1" applyFont="1" applyFill="1" applyBorder="1"/>
    <xf numFmtId="4" fontId="8" fillId="0" borderId="3" xfId="0" applyNumberFormat="1" applyFont="1" applyBorder="1"/>
    <xf numFmtId="4" fontId="31" fillId="0" borderId="8" xfId="0" applyNumberFormat="1" applyFont="1" applyBorder="1"/>
    <xf numFmtId="4" fontId="58" fillId="0" borderId="0" xfId="0" applyNumberFormat="1" applyFont="1"/>
    <xf numFmtId="49" fontId="58" fillId="0" borderId="0" xfId="0" applyNumberFormat="1" applyFont="1"/>
    <xf numFmtId="0" fontId="58" fillId="0" borderId="0" xfId="0" applyFont="1" applyAlignment="1">
      <alignment vertical="top"/>
    </xf>
    <xf numFmtId="49" fontId="11" fillId="0" borderId="21" xfId="0" applyNumberFormat="1" applyFont="1" applyBorder="1" applyAlignment="1" applyProtection="1">
      <alignment horizontal="justify" vertical="center" wrapText="1"/>
    </xf>
    <xf numFmtId="0" fontId="59" fillId="0" borderId="0" xfId="0" applyFont="1"/>
    <xf numFmtId="49" fontId="33" fillId="0" borderId="21" xfId="0" applyNumberFormat="1" applyFont="1" applyBorder="1" applyAlignment="1" applyProtection="1">
      <alignment horizontal="justify" vertical="center" wrapText="1"/>
    </xf>
    <xf numFmtId="49" fontId="60" fillId="0" borderId="21" xfId="0" applyNumberFormat="1" applyFont="1" applyBorder="1" applyAlignment="1" applyProtection="1">
      <alignment horizontal="center" vertical="center" wrapText="1"/>
    </xf>
    <xf numFmtId="49" fontId="60" fillId="0" borderId="21" xfId="0" applyNumberFormat="1" applyFont="1" applyBorder="1" applyAlignment="1" applyProtection="1">
      <alignment horizontal="right" vertical="center" wrapText="1"/>
    </xf>
    <xf numFmtId="164" fontId="60" fillId="0" borderId="21" xfId="0" applyNumberFormat="1" applyFont="1" applyBorder="1" applyAlignment="1" applyProtection="1">
      <alignment horizontal="justify" vertical="center" wrapText="1"/>
    </xf>
    <xf numFmtId="0" fontId="8" fillId="0" borderId="0" xfId="0" applyFont="1" applyAlignment="1">
      <alignment horizontal="justify" vertical="top" wrapText="1"/>
    </xf>
    <xf numFmtId="164" fontId="21" fillId="0" borderId="21" xfId="0" applyNumberFormat="1" applyFont="1" applyBorder="1" applyAlignment="1" applyProtection="1">
      <alignment horizontal="justify" vertical="center" wrapText="1"/>
    </xf>
    <xf numFmtId="4" fontId="21" fillId="0" borderId="38" xfId="0" applyNumberFormat="1" applyFont="1" applyFill="1" applyBorder="1" applyAlignment="1" applyProtection="1">
      <alignment horizontal="right"/>
    </xf>
    <xf numFmtId="9" fontId="59" fillId="0" borderId="0" xfId="0" applyNumberFormat="1" applyFont="1"/>
    <xf numFmtId="4" fontId="31" fillId="0" borderId="0" xfId="0" applyNumberFormat="1" applyFont="1" applyFill="1" applyBorder="1" applyAlignment="1" applyProtection="1">
      <alignment horizontal="right"/>
    </xf>
    <xf numFmtId="0" fontId="1" fillId="0" borderId="8" xfId="0" applyFont="1" applyFill="1" applyBorder="1" applyAlignment="1">
      <alignment horizontal="justify" vertical="top" wrapText="1"/>
    </xf>
    <xf numFmtId="4" fontId="31" fillId="0" borderId="37" xfId="0" applyNumberFormat="1" applyFont="1" applyFill="1" applyBorder="1" applyAlignment="1" applyProtection="1">
      <alignment horizontal="right"/>
    </xf>
    <xf numFmtId="49" fontId="33" fillId="0" borderId="23" xfId="0" applyNumberFormat="1" applyFont="1" applyBorder="1" applyAlignment="1" applyProtection="1">
      <alignment horizontal="justify" vertical="center" wrapText="1"/>
    </xf>
    <xf numFmtId="4" fontId="33" fillId="0" borderId="0" xfId="0" applyNumberFormat="1" applyFont="1" applyFill="1" applyBorder="1" applyAlignment="1" applyProtection="1">
      <alignment horizontal="right"/>
    </xf>
    <xf numFmtId="164" fontId="9" fillId="0" borderId="21" xfId="0" applyNumberFormat="1" applyFont="1" applyBorder="1" applyAlignment="1" applyProtection="1">
      <alignment horizontal="justify" vertical="center" wrapText="1"/>
    </xf>
    <xf numFmtId="164" fontId="11" fillId="0" borderId="21" xfId="0" applyNumberFormat="1" applyFont="1" applyBorder="1" applyAlignment="1" applyProtection="1">
      <alignment horizontal="justify" vertical="center" wrapText="1"/>
    </xf>
    <xf numFmtId="4" fontId="59" fillId="0" borderId="0" xfId="0" applyNumberFormat="1" applyFont="1"/>
    <xf numFmtId="4" fontId="59" fillId="3" borderId="0" xfId="0" applyNumberFormat="1" applyFont="1" applyFill="1"/>
    <xf numFmtId="49" fontId="46" fillId="0" borderId="21" xfId="0" applyNumberFormat="1" applyFont="1" applyBorder="1" applyAlignment="1" applyProtection="1">
      <alignment horizontal="justify" vertical="top" wrapText="1"/>
    </xf>
    <xf numFmtId="49" fontId="44" fillId="0" borderId="21" xfId="0" applyNumberFormat="1" applyFont="1" applyBorder="1" applyAlignment="1" applyProtection="1">
      <alignment horizontal="justify" vertical="center" wrapText="1"/>
    </xf>
    <xf numFmtId="49" fontId="44" fillId="0" borderId="21" xfId="0" applyNumberFormat="1" applyFont="1" applyBorder="1" applyAlignment="1" applyProtection="1">
      <alignment horizontal="justify" vertical="top" wrapText="1"/>
    </xf>
    <xf numFmtId="0" fontId="61" fillId="0" borderId="0" xfId="0" applyFont="1"/>
    <xf numFmtId="4" fontId="32" fillId="0" borderId="21" xfId="0" applyNumberFormat="1" applyFont="1" applyBorder="1" applyAlignment="1" applyProtection="1">
      <alignment horizontal="right"/>
    </xf>
    <xf numFmtId="49" fontId="46" fillId="0" borderId="21" xfId="0" applyNumberFormat="1" applyFont="1" applyBorder="1" applyAlignment="1" applyProtection="1">
      <alignment horizontal="right" vertical="center" wrapText="1"/>
    </xf>
    <xf numFmtId="0" fontId="9" fillId="3" borderId="8" xfId="0" applyFont="1" applyFill="1" applyBorder="1" applyAlignment="1">
      <alignment horizontal="center" vertical="center" wrapText="1"/>
    </xf>
    <xf numFmtId="0" fontId="8" fillId="3" borderId="8" xfId="0" applyFont="1" applyFill="1" applyBorder="1" applyAlignment="1">
      <alignment vertical="center" wrapText="1"/>
    </xf>
    <xf numFmtId="0" fontId="9" fillId="3" borderId="8" xfId="0" applyFont="1" applyFill="1" applyBorder="1" applyAlignment="1">
      <alignment horizontal="justify" vertical="center" wrapText="1"/>
    </xf>
    <xf numFmtId="0" fontId="8" fillId="3" borderId="8" xfId="0" applyFont="1" applyFill="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xf>
    <xf numFmtId="49" fontId="31" fillId="0" borderId="8" xfId="0" applyNumberFormat="1" applyFont="1" applyBorder="1" applyAlignment="1">
      <alignment horizontal="justify" vertical="top" wrapText="1"/>
    </xf>
    <xf numFmtId="164" fontId="33" fillId="0" borderId="21" xfId="0" applyNumberFormat="1" applyFont="1" applyBorder="1" applyAlignment="1" applyProtection="1">
      <alignment horizontal="justify" vertical="top" wrapText="1"/>
    </xf>
    <xf numFmtId="0" fontId="44" fillId="0" borderId="31" xfId="0" applyFont="1" applyBorder="1" applyAlignment="1">
      <alignment horizontal="justify" vertical="top" wrapText="1"/>
    </xf>
    <xf numFmtId="49" fontId="8" fillId="0" borderId="8" xfId="0" applyNumberFormat="1" applyFont="1" applyBorder="1" applyAlignment="1">
      <alignment horizontal="justify" vertical="center" wrapText="1"/>
    </xf>
    <xf numFmtId="0" fontId="1" fillId="0" borderId="19" xfId="0" applyFont="1" applyFill="1" applyBorder="1" applyAlignment="1">
      <alignment horizontal="left" wrapText="1"/>
    </xf>
    <xf numFmtId="49" fontId="32" fillId="0" borderId="21" xfId="0" applyNumberFormat="1" applyFont="1" applyBorder="1" applyAlignment="1" applyProtection="1">
      <alignment horizontal="center" vertical="center" wrapText="1"/>
    </xf>
    <xf numFmtId="164" fontId="44" fillId="0" borderId="21" xfId="0" applyNumberFormat="1" applyFont="1" applyBorder="1" applyAlignment="1" applyProtection="1">
      <alignment horizontal="justify" vertical="top" wrapText="1"/>
    </xf>
    <xf numFmtId="49" fontId="63" fillId="0" borderId="21" xfId="0" applyNumberFormat="1" applyFont="1" applyBorder="1" applyAlignment="1" applyProtection="1">
      <alignment horizontal="center" vertical="center" wrapText="1"/>
    </xf>
    <xf numFmtId="49" fontId="63" fillId="0" borderId="21" xfId="0" applyNumberFormat="1" applyFont="1" applyBorder="1" applyAlignment="1" applyProtection="1">
      <alignment horizontal="right" vertical="center" wrapText="1"/>
    </xf>
    <xf numFmtId="49" fontId="63" fillId="0" borderId="21" xfId="0" applyNumberFormat="1" applyFont="1" applyBorder="1" applyAlignment="1" applyProtection="1">
      <alignment horizontal="justify" vertic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wrapText="1"/>
    </xf>
    <xf numFmtId="0" fontId="1" fillId="0" borderId="19"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41" fillId="0" borderId="3" xfId="0" applyNumberFormat="1" applyFont="1" applyBorder="1" applyAlignment="1">
      <alignment horizontal="center" vertical="center" wrapText="1"/>
    </xf>
    <xf numFmtId="49" fontId="41"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6" fillId="0" borderId="3" xfId="0" applyNumberFormat="1" applyFont="1" applyBorder="1" applyAlignment="1">
      <alignment horizontal="center" wrapText="1"/>
    </xf>
    <xf numFmtId="49" fontId="46"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54" fillId="0" borderId="3" xfId="0" applyNumberFormat="1" applyFont="1" applyBorder="1" applyAlignment="1">
      <alignment horizontal="center" wrapText="1"/>
    </xf>
    <xf numFmtId="49" fontId="54" fillId="0" borderId="5" xfId="0" applyNumberFormat="1" applyFont="1" applyBorder="1" applyAlignment="1">
      <alignment horizontal="center" wrapText="1"/>
    </xf>
    <xf numFmtId="49" fontId="55" fillId="0" borderId="3" xfId="0" applyNumberFormat="1" applyFont="1" applyBorder="1" applyAlignment="1">
      <alignment horizontal="center" wrapText="1"/>
    </xf>
    <xf numFmtId="49" fontId="55" fillId="0" borderId="5" xfId="0" applyNumberFormat="1" applyFont="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49" fontId="9" fillId="0" borderId="3"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8" fillId="3" borderId="3" xfId="0" applyNumberFormat="1" applyFont="1" applyFill="1" applyBorder="1" applyAlignment="1">
      <alignment horizontal="center" wrapText="1"/>
    </xf>
    <xf numFmtId="49" fontId="8" fillId="3" borderId="5" xfId="0" applyNumberFormat="1" applyFont="1" applyFill="1" applyBorder="1" applyAlignment="1">
      <alignment horizontal="center" wrapText="1"/>
    </xf>
    <xf numFmtId="49" fontId="9" fillId="3" borderId="3" xfId="0" applyNumberFormat="1" applyFont="1" applyFill="1" applyBorder="1" applyAlignment="1">
      <alignment horizontal="center" wrapText="1"/>
    </xf>
    <xf numFmtId="49" fontId="9" fillId="3" borderId="5" xfId="0" applyNumberFormat="1" applyFont="1" applyFill="1" applyBorder="1" applyAlignment="1">
      <alignment horizontal="center" wrapText="1"/>
    </xf>
    <xf numFmtId="49" fontId="62" fillId="0" borderId="3" xfId="0" applyNumberFormat="1" applyFont="1" applyBorder="1" applyAlignment="1">
      <alignment horizontal="center" wrapText="1"/>
    </xf>
    <xf numFmtId="49" fontId="62" fillId="0" borderId="5" xfId="0" applyNumberFormat="1" applyFont="1" applyBorder="1" applyAlignment="1">
      <alignment horizontal="center" wrapText="1"/>
    </xf>
    <xf numFmtId="164" fontId="20" fillId="0" borderId="0" xfId="0" applyNumberFormat="1" applyFont="1" applyBorder="1" applyAlignment="1" applyProtection="1">
      <alignment horizontal="center" vertical="center" wrapText="1"/>
    </xf>
    <xf numFmtId="49" fontId="22" fillId="0" borderId="21" xfId="0" applyNumberFormat="1" applyFont="1" applyBorder="1" applyAlignment="1" applyProtection="1">
      <alignment horizontal="center" vertical="center" wrapText="1"/>
    </xf>
    <xf numFmtId="49" fontId="22" fillId="0" borderId="21" xfId="0" applyNumberFormat="1" applyFont="1" applyBorder="1" applyAlignment="1" applyProtection="1">
      <alignment horizontal="center" vertical="top" wrapText="1"/>
    </xf>
    <xf numFmtId="49" fontId="35" fillId="0" borderId="21" xfId="0" applyNumberFormat="1" applyFont="1" applyBorder="1" applyAlignment="1" applyProtection="1">
      <alignment horizontal="center" vertical="center" wrapText="1"/>
    </xf>
    <xf numFmtId="49" fontId="22" fillId="0" borderId="8"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49" fontId="9" fillId="0" borderId="35" xfId="0" applyNumberFormat="1" applyFont="1" applyBorder="1" applyAlignment="1" applyProtection="1">
      <alignment horizontal="center" vertical="center" wrapText="1"/>
    </xf>
    <xf numFmtId="49" fontId="9" fillId="0" borderId="36" xfId="0" applyNumberFormat="1" applyFont="1" applyBorder="1" applyAlignment="1" applyProtection="1">
      <alignment horizontal="center" vertical="center" wrapText="1"/>
    </xf>
    <xf numFmtId="164" fontId="9" fillId="0" borderId="2" xfId="0" applyNumberFormat="1" applyFont="1" applyBorder="1" applyAlignment="1" applyProtection="1">
      <alignment horizontal="center" vertical="center" wrapText="1"/>
    </xf>
    <xf numFmtId="164" fontId="9" fillId="0" borderId="19" xfId="0" applyNumberFormat="1" applyFont="1" applyBorder="1" applyAlignment="1" applyProtection="1">
      <alignment horizontal="center" vertical="center" wrapText="1"/>
    </xf>
    <xf numFmtId="164" fontId="9" fillId="0" borderId="35" xfId="0" applyNumberFormat="1" applyFont="1" applyBorder="1" applyAlignment="1" applyProtection="1">
      <alignment horizontal="center" vertical="top" wrapText="1"/>
    </xf>
    <xf numFmtId="164" fontId="9" fillId="0" borderId="36" xfId="0" applyNumberFormat="1" applyFont="1" applyBorder="1" applyAlignment="1" applyProtection="1">
      <alignment horizontal="center" vertical="top" wrapText="1"/>
    </xf>
    <xf numFmtId="164" fontId="9" fillId="0" borderId="35" xfId="0" applyNumberFormat="1" applyFont="1" applyBorder="1" applyAlignment="1" applyProtection="1">
      <alignment horizontal="center" vertical="center" wrapText="1"/>
    </xf>
    <xf numFmtId="164" fontId="9" fillId="0" borderId="36" xfId="0" applyNumberFormat="1" applyFont="1" applyBorder="1" applyAlignment="1" applyProtection="1">
      <alignment horizontal="center" vertical="center" wrapText="1"/>
    </xf>
    <xf numFmtId="164" fontId="9" fillId="0" borderId="33" xfId="0" applyNumberFormat="1" applyFont="1" applyBorder="1" applyAlignment="1" applyProtection="1">
      <alignment horizontal="center" vertical="center" wrapText="1"/>
    </xf>
    <xf numFmtId="164" fontId="9" fillId="0" borderId="34" xfId="0" applyNumberFormat="1" applyFont="1" applyBorder="1" applyAlignment="1" applyProtection="1">
      <alignment horizontal="center" vertical="center" wrapText="1"/>
    </xf>
    <xf numFmtId="0" fontId="1" fillId="0" borderId="2"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20"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8" xfId="0" applyNumberFormat="1" applyFont="1" applyFill="1" applyBorder="1" applyAlignment="1">
      <alignment horizontal="right" wrapText="1"/>
    </xf>
    <xf numFmtId="0" fontId="1" fillId="0" borderId="19" xfId="0" applyFont="1" applyFill="1" applyBorder="1" applyAlignment="1">
      <alignment horizontal="right" wrapText="1"/>
    </xf>
    <xf numFmtId="0" fontId="1" fillId="0" borderId="2" xfId="0" applyFont="1" applyFill="1" applyBorder="1" applyAlignment="1">
      <alignment horizontal="right" wrapText="1"/>
    </xf>
    <xf numFmtId="0" fontId="1" fillId="0" borderId="18" xfId="0" applyFont="1" applyFill="1" applyBorder="1" applyAlignment="1">
      <alignment horizontal="right"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1" fillId="0" borderId="0" xfId="0" applyFont="1" applyAlignment="1">
      <alignment horizontal="center" vertical="center" wrapText="1"/>
    </xf>
    <xf numFmtId="0" fontId="9" fillId="0" borderId="8"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 fillId="0" borderId="0" xfId="0" applyFont="1" applyAlignment="1">
      <alignment horizontal="left"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20"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2" fillId="0" borderId="20" xfId="0" applyFont="1" applyBorder="1" applyAlignment="1">
      <alignment horizontal="center"/>
    </xf>
    <xf numFmtId="0" fontId="2" fillId="0" borderId="15" xfId="0" applyFont="1" applyBorder="1" applyAlignment="1">
      <alignment horizontal="center"/>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6" fillId="0" borderId="3" xfId="0" applyNumberFormat="1" applyFont="1" applyFill="1" applyBorder="1" applyAlignment="1">
      <alignment horizontal="center"/>
    </xf>
    <xf numFmtId="49" fontId="26" fillId="0" borderId="5" xfId="0" applyNumberFormat="1" applyFont="1" applyFill="1" applyBorder="1" applyAlignment="1">
      <alignment horizontal="center"/>
    </xf>
    <xf numFmtId="0" fontId="1" fillId="0" borderId="13"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20"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7"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49" fontId="47" fillId="0" borderId="3" xfId="0" applyNumberFormat="1" applyFont="1" applyFill="1" applyBorder="1" applyAlignment="1">
      <alignment horizontal="center"/>
    </xf>
    <xf numFmtId="49" fontId="47" fillId="0"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9" xfId="0" applyFont="1" applyBorder="1" applyAlignment="1">
      <alignment horizontal="center" vertical="center"/>
    </xf>
    <xf numFmtId="49" fontId="47" fillId="0" borderId="3" xfId="0" applyNumberFormat="1" applyFont="1" applyBorder="1" applyAlignment="1">
      <alignment horizontal="center"/>
    </xf>
    <xf numFmtId="49" fontId="47" fillId="0" borderId="5" xfId="0" applyNumberFormat="1" applyFont="1" applyBorder="1" applyAlignment="1">
      <alignment horizontal="center"/>
    </xf>
    <xf numFmtId="49" fontId="2" fillId="0" borderId="1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5"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20" xfId="0" applyNumberFormat="1" applyFont="1" applyBorder="1" applyAlignment="1">
      <alignment horizontal="center"/>
    </xf>
    <xf numFmtId="49" fontId="2" fillId="0" borderId="15" xfId="0" applyNumberFormat="1"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0" xfId="0" applyFont="1" applyAlignment="1">
      <alignment horizontal="left"/>
    </xf>
    <xf numFmtId="0" fontId="2" fillId="0" borderId="0" xfId="0" applyFont="1" applyAlignment="1">
      <alignment horizontal="right"/>
    </xf>
    <xf numFmtId="49" fontId="26" fillId="2" borderId="3" xfId="0" applyNumberFormat="1" applyFont="1" applyFill="1" applyBorder="1" applyAlignment="1">
      <alignment horizontal="center"/>
    </xf>
    <xf numFmtId="49" fontId="26" fillId="2" borderId="5" xfId="0" applyNumberFormat="1"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1" fillId="0" borderId="3" xfId="0" applyNumberFormat="1" applyFont="1" applyFill="1" applyBorder="1" applyAlignment="1">
      <alignment horizontal="center"/>
    </xf>
    <xf numFmtId="49" fontId="1" fillId="0" borderId="5" xfId="0" applyNumberFormat="1" applyFont="1" applyFill="1" applyBorder="1" applyAlignment="1">
      <alignment horizontal="center"/>
    </xf>
    <xf numFmtId="49" fontId="19" fillId="0" borderId="3" xfId="0" applyNumberFormat="1" applyFont="1" applyFill="1" applyBorder="1" applyAlignment="1">
      <alignment horizontal="center"/>
    </xf>
    <xf numFmtId="49" fontId="19" fillId="0" borderId="5" xfId="0" applyNumberFormat="1" applyFont="1" applyFill="1" applyBorder="1" applyAlignment="1">
      <alignment horizontal="center"/>
    </xf>
  </cellXfs>
  <cellStyles count="4">
    <cellStyle name="Обычный" xfId="0" builtinId="0"/>
    <cellStyle name="Обычный 2" xfId="2"/>
    <cellStyle name="Обычный_Источн."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workbookViewId="0">
      <selection activeCell="E5" sqref="E5"/>
    </sheetView>
  </sheetViews>
  <sheetFormatPr defaultRowHeight="15" x14ac:dyDescent="0.25"/>
  <cols>
    <col min="1" max="1" width="27.7109375" style="75" customWidth="1"/>
    <col min="2" max="2" width="50.42578125" style="75" customWidth="1"/>
    <col min="3" max="3" width="21.42578125" style="75" customWidth="1"/>
    <col min="4" max="4" width="19.85546875" style="491" customWidth="1"/>
    <col min="5" max="5" width="18.5703125" style="491" customWidth="1"/>
    <col min="6" max="256" width="9.140625" style="491"/>
    <col min="257" max="257" width="27.7109375" style="491" customWidth="1"/>
    <col min="258" max="258" width="50.42578125" style="491" customWidth="1"/>
    <col min="259" max="259" width="21.42578125" style="491" customWidth="1"/>
    <col min="260" max="260" width="19.85546875" style="491" customWidth="1"/>
    <col min="261" max="261" width="18.5703125" style="491" customWidth="1"/>
    <col min="262" max="512" width="9.140625" style="491"/>
    <col min="513" max="513" width="27.7109375" style="491" customWidth="1"/>
    <col min="514" max="514" width="50.42578125" style="491" customWidth="1"/>
    <col min="515" max="515" width="21.42578125" style="491" customWidth="1"/>
    <col min="516" max="516" width="19.85546875" style="491" customWidth="1"/>
    <col min="517" max="517" width="18.5703125" style="491" customWidth="1"/>
    <col min="518" max="768" width="9.140625" style="491"/>
    <col min="769" max="769" width="27.7109375" style="491" customWidth="1"/>
    <col min="770" max="770" width="50.42578125" style="491" customWidth="1"/>
    <col min="771" max="771" width="21.42578125" style="491" customWidth="1"/>
    <col min="772" max="772" width="19.85546875" style="491" customWidth="1"/>
    <col min="773" max="773" width="18.5703125" style="491" customWidth="1"/>
    <col min="774" max="1024" width="9.140625" style="491"/>
    <col min="1025" max="1025" width="27.7109375" style="491" customWidth="1"/>
    <col min="1026" max="1026" width="50.42578125" style="491" customWidth="1"/>
    <col min="1027" max="1027" width="21.42578125" style="491" customWidth="1"/>
    <col min="1028" max="1028" width="19.85546875" style="491" customWidth="1"/>
    <col min="1029" max="1029" width="18.5703125" style="491" customWidth="1"/>
    <col min="1030" max="1280" width="9.140625" style="491"/>
    <col min="1281" max="1281" width="27.7109375" style="491" customWidth="1"/>
    <col min="1282" max="1282" width="50.42578125" style="491" customWidth="1"/>
    <col min="1283" max="1283" width="21.42578125" style="491" customWidth="1"/>
    <col min="1284" max="1284" width="19.85546875" style="491" customWidth="1"/>
    <col min="1285" max="1285" width="18.5703125" style="491" customWidth="1"/>
    <col min="1286" max="1536" width="9.140625" style="491"/>
    <col min="1537" max="1537" width="27.7109375" style="491" customWidth="1"/>
    <col min="1538" max="1538" width="50.42578125" style="491" customWidth="1"/>
    <col min="1539" max="1539" width="21.42578125" style="491" customWidth="1"/>
    <col min="1540" max="1540" width="19.85546875" style="491" customWidth="1"/>
    <col min="1541" max="1541" width="18.5703125" style="491" customWidth="1"/>
    <col min="1542" max="1792" width="9.140625" style="491"/>
    <col min="1793" max="1793" width="27.7109375" style="491" customWidth="1"/>
    <col min="1794" max="1794" width="50.42578125" style="491" customWidth="1"/>
    <col min="1795" max="1795" width="21.42578125" style="491" customWidth="1"/>
    <col min="1796" max="1796" width="19.85546875" style="491" customWidth="1"/>
    <col min="1797" max="1797" width="18.5703125" style="491" customWidth="1"/>
    <col min="1798" max="2048" width="9.140625" style="491"/>
    <col min="2049" max="2049" width="27.7109375" style="491" customWidth="1"/>
    <col min="2050" max="2050" width="50.42578125" style="491" customWidth="1"/>
    <col min="2051" max="2051" width="21.42578125" style="491" customWidth="1"/>
    <col min="2052" max="2052" width="19.85546875" style="491" customWidth="1"/>
    <col min="2053" max="2053" width="18.5703125" style="491" customWidth="1"/>
    <col min="2054" max="2304" width="9.140625" style="491"/>
    <col min="2305" max="2305" width="27.7109375" style="491" customWidth="1"/>
    <col min="2306" max="2306" width="50.42578125" style="491" customWidth="1"/>
    <col min="2307" max="2307" width="21.42578125" style="491" customWidth="1"/>
    <col min="2308" max="2308" width="19.85546875" style="491" customWidth="1"/>
    <col min="2309" max="2309" width="18.5703125" style="491" customWidth="1"/>
    <col min="2310" max="2560" width="9.140625" style="491"/>
    <col min="2561" max="2561" width="27.7109375" style="491" customWidth="1"/>
    <col min="2562" max="2562" width="50.42578125" style="491" customWidth="1"/>
    <col min="2563" max="2563" width="21.42578125" style="491" customWidth="1"/>
    <col min="2564" max="2564" width="19.85546875" style="491" customWidth="1"/>
    <col min="2565" max="2565" width="18.5703125" style="491" customWidth="1"/>
    <col min="2566" max="2816" width="9.140625" style="491"/>
    <col min="2817" max="2817" width="27.7109375" style="491" customWidth="1"/>
    <col min="2818" max="2818" width="50.42578125" style="491" customWidth="1"/>
    <col min="2819" max="2819" width="21.42578125" style="491" customWidth="1"/>
    <col min="2820" max="2820" width="19.85546875" style="491" customWidth="1"/>
    <col min="2821" max="2821" width="18.5703125" style="491" customWidth="1"/>
    <col min="2822" max="3072" width="9.140625" style="491"/>
    <col min="3073" max="3073" width="27.7109375" style="491" customWidth="1"/>
    <col min="3074" max="3074" width="50.42578125" style="491" customWidth="1"/>
    <col min="3075" max="3075" width="21.42578125" style="491" customWidth="1"/>
    <col min="3076" max="3076" width="19.85546875" style="491" customWidth="1"/>
    <col min="3077" max="3077" width="18.5703125" style="491" customWidth="1"/>
    <col min="3078" max="3328" width="9.140625" style="491"/>
    <col min="3329" max="3329" width="27.7109375" style="491" customWidth="1"/>
    <col min="3330" max="3330" width="50.42578125" style="491" customWidth="1"/>
    <col min="3331" max="3331" width="21.42578125" style="491" customWidth="1"/>
    <col min="3332" max="3332" width="19.85546875" style="491" customWidth="1"/>
    <col min="3333" max="3333" width="18.5703125" style="491" customWidth="1"/>
    <col min="3334" max="3584" width="9.140625" style="491"/>
    <col min="3585" max="3585" width="27.7109375" style="491" customWidth="1"/>
    <col min="3586" max="3586" width="50.42578125" style="491" customWidth="1"/>
    <col min="3587" max="3587" width="21.42578125" style="491" customWidth="1"/>
    <col min="3588" max="3588" width="19.85546875" style="491" customWidth="1"/>
    <col min="3589" max="3589" width="18.5703125" style="491" customWidth="1"/>
    <col min="3590" max="3840" width="9.140625" style="491"/>
    <col min="3841" max="3841" width="27.7109375" style="491" customWidth="1"/>
    <col min="3842" max="3842" width="50.42578125" style="491" customWidth="1"/>
    <col min="3843" max="3843" width="21.42578125" style="491" customWidth="1"/>
    <col min="3844" max="3844" width="19.85546875" style="491" customWidth="1"/>
    <col min="3845" max="3845" width="18.5703125" style="491" customWidth="1"/>
    <col min="3846" max="4096" width="9.140625" style="491"/>
    <col min="4097" max="4097" width="27.7109375" style="491" customWidth="1"/>
    <col min="4098" max="4098" width="50.42578125" style="491" customWidth="1"/>
    <col min="4099" max="4099" width="21.42578125" style="491" customWidth="1"/>
    <col min="4100" max="4100" width="19.85546875" style="491" customWidth="1"/>
    <col min="4101" max="4101" width="18.5703125" style="491" customWidth="1"/>
    <col min="4102" max="4352" width="9.140625" style="491"/>
    <col min="4353" max="4353" width="27.7109375" style="491" customWidth="1"/>
    <col min="4354" max="4354" width="50.42578125" style="491" customWidth="1"/>
    <col min="4355" max="4355" width="21.42578125" style="491" customWidth="1"/>
    <col min="4356" max="4356" width="19.85546875" style="491" customWidth="1"/>
    <col min="4357" max="4357" width="18.5703125" style="491" customWidth="1"/>
    <col min="4358" max="4608" width="9.140625" style="491"/>
    <col min="4609" max="4609" width="27.7109375" style="491" customWidth="1"/>
    <col min="4610" max="4610" width="50.42578125" style="491" customWidth="1"/>
    <col min="4611" max="4611" width="21.42578125" style="491" customWidth="1"/>
    <col min="4612" max="4612" width="19.85546875" style="491" customWidth="1"/>
    <col min="4613" max="4613" width="18.5703125" style="491" customWidth="1"/>
    <col min="4614" max="4864" width="9.140625" style="491"/>
    <col min="4865" max="4865" width="27.7109375" style="491" customWidth="1"/>
    <col min="4866" max="4866" width="50.42578125" style="491" customWidth="1"/>
    <col min="4867" max="4867" width="21.42578125" style="491" customWidth="1"/>
    <col min="4868" max="4868" width="19.85546875" style="491" customWidth="1"/>
    <col min="4869" max="4869" width="18.5703125" style="491" customWidth="1"/>
    <col min="4870" max="5120" width="9.140625" style="491"/>
    <col min="5121" max="5121" width="27.7109375" style="491" customWidth="1"/>
    <col min="5122" max="5122" width="50.42578125" style="491" customWidth="1"/>
    <col min="5123" max="5123" width="21.42578125" style="491" customWidth="1"/>
    <col min="5124" max="5124" width="19.85546875" style="491" customWidth="1"/>
    <col min="5125" max="5125" width="18.5703125" style="491" customWidth="1"/>
    <col min="5126" max="5376" width="9.140625" style="491"/>
    <col min="5377" max="5377" width="27.7109375" style="491" customWidth="1"/>
    <col min="5378" max="5378" width="50.42578125" style="491" customWidth="1"/>
    <col min="5379" max="5379" width="21.42578125" style="491" customWidth="1"/>
    <col min="5380" max="5380" width="19.85546875" style="491" customWidth="1"/>
    <col min="5381" max="5381" width="18.5703125" style="491" customWidth="1"/>
    <col min="5382" max="5632" width="9.140625" style="491"/>
    <col min="5633" max="5633" width="27.7109375" style="491" customWidth="1"/>
    <col min="5634" max="5634" width="50.42578125" style="491" customWidth="1"/>
    <col min="5635" max="5635" width="21.42578125" style="491" customWidth="1"/>
    <col min="5636" max="5636" width="19.85546875" style="491" customWidth="1"/>
    <col min="5637" max="5637" width="18.5703125" style="491" customWidth="1"/>
    <col min="5638" max="5888" width="9.140625" style="491"/>
    <col min="5889" max="5889" width="27.7109375" style="491" customWidth="1"/>
    <col min="5890" max="5890" width="50.42578125" style="491" customWidth="1"/>
    <col min="5891" max="5891" width="21.42578125" style="491" customWidth="1"/>
    <col min="5892" max="5892" width="19.85546875" style="491" customWidth="1"/>
    <col min="5893" max="5893" width="18.5703125" style="491" customWidth="1"/>
    <col min="5894" max="6144" width="9.140625" style="491"/>
    <col min="6145" max="6145" width="27.7109375" style="491" customWidth="1"/>
    <col min="6146" max="6146" width="50.42578125" style="491" customWidth="1"/>
    <col min="6147" max="6147" width="21.42578125" style="491" customWidth="1"/>
    <col min="6148" max="6148" width="19.85546875" style="491" customWidth="1"/>
    <col min="6149" max="6149" width="18.5703125" style="491" customWidth="1"/>
    <col min="6150" max="6400" width="9.140625" style="491"/>
    <col min="6401" max="6401" width="27.7109375" style="491" customWidth="1"/>
    <col min="6402" max="6402" width="50.42578125" style="491" customWidth="1"/>
    <col min="6403" max="6403" width="21.42578125" style="491" customWidth="1"/>
    <col min="6404" max="6404" width="19.85546875" style="491" customWidth="1"/>
    <col min="6405" max="6405" width="18.5703125" style="491" customWidth="1"/>
    <col min="6406" max="6656" width="9.140625" style="491"/>
    <col min="6657" max="6657" width="27.7109375" style="491" customWidth="1"/>
    <col min="6658" max="6658" width="50.42578125" style="491" customWidth="1"/>
    <col min="6659" max="6659" width="21.42578125" style="491" customWidth="1"/>
    <col min="6660" max="6660" width="19.85546875" style="491" customWidth="1"/>
    <col min="6661" max="6661" width="18.5703125" style="491" customWidth="1"/>
    <col min="6662" max="6912" width="9.140625" style="491"/>
    <col min="6913" max="6913" width="27.7109375" style="491" customWidth="1"/>
    <col min="6914" max="6914" width="50.42578125" style="491" customWidth="1"/>
    <col min="6915" max="6915" width="21.42578125" style="491" customWidth="1"/>
    <col min="6916" max="6916" width="19.85546875" style="491" customWidth="1"/>
    <col min="6917" max="6917" width="18.5703125" style="491" customWidth="1"/>
    <col min="6918" max="7168" width="9.140625" style="491"/>
    <col min="7169" max="7169" width="27.7109375" style="491" customWidth="1"/>
    <col min="7170" max="7170" width="50.42578125" style="491" customWidth="1"/>
    <col min="7171" max="7171" width="21.42578125" style="491" customWidth="1"/>
    <col min="7172" max="7172" width="19.85546875" style="491" customWidth="1"/>
    <col min="7173" max="7173" width="18.5703125" style="491" customWidth="1"/>
    <col min="7174" max="7424" width="9.140625" style="491"/>
    <col min="7425" max="7425" width="27.7109375" style="491" customWidth="1"/>
    <col min="7426" max="7426" width="50.42578125" style="491" customWidth="1"/>
    <col min="7427" max="7427" width="21.42578125" style="491" customWidth="1"/>
    <col min="7428" max="7428" width="19.85546875" style="491" customWidth="1"/>
    <col min="7429" max="7429" width="18.5703125" style="491" customWidth="1"/>
    <col min="7430" max="7680" width="9.140625" style="491"/>
    <col min="7681" max="7681" width="27.7109375" style="491" customWidth="1"/>
    <col min="7682" max="7682" width="50.42578125" style="491" customWidth="1"/>
    <col min="7683" max="7683" width="21.42578125" style="491" customWidth="1"/>
    <col min="7684" max="7684" width="19.85546875" style="491" customWidth="1"/>
    <col min="7685" max="7685" width="18.5703125" style="491" customWidth="1"/>
    <col min="7686" max="7936" width="9.140625" style="491"/>
    <col min="7937" max="7937" width="27.7109375" style="491" customWidth="1"/>
    <col min="7938" max="7938" width="50.42578125" style="491" customWidth="1"/>
    <col min="7939" max="7939" width="21.42578125" style="491" customWidth="1"/>
    <col min="7940" max="7940" width="19.85546875" style="491" customWidth="1"/>
    <col min="7941" max="7941" width="18.5703125" style="491" customWidth="1"/>
    <col min="7942" max="8192" width="9.140625" style="491"/>
    <col min="8193" max="8193" width="27.7109375" style="491" customWidth="1"/>
    <col min="8194" max="8194" width="50.42578125" style="491" customWidth="1"/>
    <col min="8195" max="8195" width="21.42578125" style="491" customWidth="1"/>
    <col min="8196" max="8196" width="19.85546875" style="491" customWidth="1"/>
    <col min="8197" max="8197" width="18.5703125" style="491" customWidth="1"/>
    <col min="8198" max="8448" width="9.140625" style="491"/>
    <col min="8449" max="8449" width="27.7109375" style="491" customWidth="1"/>
    <col min="8450" max="8450" width="50.42578125" style="491" customWidth="1"/>
    <col min="8451" max="8451" width="21.42578125" style="491" customWidth="1"/>
    <col min="8452" max="8452" width="19.85546875" style="491" customWidth="1"/>
    <col min="8453" max="8453" width="18.5703125" style="491" customWidth="1"/>
    <col min="8454" max="8704" width="9.140625" style="491"/>
    <col min="8705" max="8705" width="27.7109375" style="491" customWidth="1"/>
    <col min="8706" max="8706" width="50.42578125" style="491" customWidth="1"/>
    <col min="8707" max="8707" width="21.42578125" style="491" customWidth="1"/>
    <col min="8708" max="8708" width="19.85546875" style="491" customWidth="1"/>
    <col min="8709" max="8709" width="18.5703125" style="491" customWidth="1"/>
    <col min="8710" max="8960" width="9.140625" style="491"/>
    <col min="8961" max="8961" width="27.7109375" style="491" customWidth="1"/>
    <col min="8962" max="8962" width="50.42578125" style="491" customWidth="1"/>
    <col min="8963" max="8963" width="21.42578125" style="491" customWidth="1"/>
    <col min="8964" max="8964" width="19.85546875" style="491" customWidth="1"/>
    <col min="8965" max="8965" width="18.5703125" style="491" customWidth="1"/>
    <col min="8966" max="9216" width="9.140625" style="491"/>
    <col min="9217" max="9217" width="27.7109375" style="491" customWidth="1"/>
    <col min="9218" max="9218" width="50.42578125" style="491" customWidth="1"/>
    <col min="9219" max="9219" width="21.42578125" style="491" customWidth="1"/>
    <col min="9220" max="9220" width="19.85546875" style="491" customWidth="1"/>
    <col min="9221" max="9221" width="18.5703125" style="491" customWidth="1"/>
    <col min="9222" max="9472" width="9.140625" style="491"/>
    <col min="9473" max="9473" width="27.7109375" style="491" customWidth="1"/>
    <col min="9474" max="9474" width="50.42578125" style="491" customWidth="1"/>
    <col min="9475" max="9475" width="21.42578125" style="491" customWidth="1"/>
    <col min="9476" max="9476" width="19.85546875" style="491" customWidth="1"/>
    <col min="9477" max="9477" width="18.5703125" style="491" customWidth="1"/>
    <col min="9478" max="9728" width="9.140625" style="491"/>
    <col min="9729" max="9729" width="27.7109375" style="491" customWidth="1"/>
    <col min="9730" max="9730" width="50.42578125" style="491" customWidth="1"/>
    <col min="9731" max="9731" width="21.42578125" style="491" customWidth="1"/>
    <col min="9732" max="9732" width="19.85546875" style="491" customWidth="1"/>
    <col min="9733" max="9733" width="18.5703125" style="491" customWidth="1"/>
    <col min="9734" max="9984" width="9.140625" style="491"/>
    <col min="9985" max="9985" width="27.7109375" style="491" customWidth="1"/>
    <col min="9986" max="9986" width="50.42578125" style="491" customWidth="1"/>
    <col min="9987" max="9987" width="21.42578125" style="491" customWidth="1"/>
    <col min="9988" max="9988" width="19.85546875" style="491" customWidth="1"/>
    <col min="9989" max="9989" width="18.5703125" style="491" customWidth="1"/>
    <col min="9990" max="10240" width="9.140625" style="491"/>
    <col min="10241" max="10241" width="27.7109375" style="491" customWidth="1"/>
    <col min="10242" max="10242" width="50.42578125" style="491" customWidth="1"/>
    <col min="10243" max="10243" width="21.42578125" style="491" customWidth="1"/>
    <col min="10244" max="10244" width="19.85546875" style="491" customWidth="1"/>
    <col min="10245" max="10245" width="18.5703125" style="491" customWidth="1"/>
    <col min="10246" max="10496" width="9.140625" style="491"/>
    <col min="10497" max="10497" width="27.7109375" style="491" customWidth="1"/>
    <col min="10498" max="10498" width="50.42578125" style="491" customWidth="1"/>
    <col min="10499" max="10499" width="21.42578125" style="491" customWidth="1"/>
    <col min="10500" max="10500" width="19.85546875" style="491" customWidth="1"/>
    <col min="10501" max="10501" width="18.5703125" style="491" customWidth="1"/>
    <col min="10502" max="10752" width="9.140625" style="491"/>
    <col min="10753" max="10753" width="27.7109375" style="491" customWidth="1"/>
    <col min="10754" max="10754" width="50.42578125" style="491" customWidth="1"/>
    <col min="10755" max="10755" width="21.42578125" style="491" customWidth="1"/>
    <col min="10756" max="10756" width="19.85546875" style="491" customWidth="1"/>
    <col min="10757" max="10757" width="18.5703125" style="491" customWidth="1"/>
    <col min="10758" max="11008" width="9.140625" style="491"/>
    <col min="11009" max="11009" width="27.7109375" style="491" customWidth="1"/>
    <col min="11010" max="11010" width="50.42578125" style="491" customWidth="1"/>
    <col min="11011" max="11011" width="21.42578125" style="491" customWidth="1"/>
    <col min="11012" max="11012" width="19.85546875" style="491" customWidth="1"/>
    <col min="11013" max="11013" width="18.5703125" style="491" customWidth="1"/>
    <col min="11014" max="11264" width="9.140625" style="491"/>
    <col min="11265" max="11265" width="27.7109375" style="491" customWidth="1"/>
    <col min="11266" max="11266" width="50.42578125" style="491" customWidth="1"/>
    <col min="11267" max="11267" width="21.42578125" style="491" customWidth="1"/>
    <col min="11268" max="11268" width="19.85546875" style="491" customWidth="1"/>
    <col min="11269" max="11269" width="18.5703125" style="491" customWidth="1"/>
    <col min="11270" max="11520" width="9.140625" style="491"/>
    <col min="11521" max="11521" width="27.7109375" style="491" customWidth="1"/>
    <col min="11522" max="11522" width="50.42578125" style="491" customWidth="1"/>
    <col min="11523" max="11523" width="21.42578125" style="491" customWidth="1"/>
    <col min="11524" max="11524" width="19.85546875" style="491" customWidth="1"/>
    <col min="11525" max="11525" width="18.5703125" style="491" customWidth="1"/>
    <col min="11526" max="11776" width="9.140625" style="491"/>
    <col min="11777" max="11777" width="27.7109375" style="491" customWidth="1"/>
    <col min="11778" max="11778" width="50.42578125" style="491" customWidth="1"/>
    <col min="11779" max="11779" width="21.42578125" style="491" customWidth="1"/>
    <col min="11780" max="11780" width="19.85546875" style="491" customWidth="1"/>
    <col min="11781" max="11781" width="18.5703125" style="491" customWidth="1"/>
    <col min="11782" max="12032" width="9.140625" style="491"/>
    <col min="12033" max="12033" width="27.7109375" style="491" customWidth="1"/>
    <col min="12034" max="12034" width="50.42578125" style="491" customWidth="1"/>
    <col min="12035" max="12035" width="21.42578125" style="491" customWidth="1"/>
    <col min="12036" max="12036" width="19.85546875" style="491" customWidth="1"/>
    <col min="12037" max="12037" width="18.5703125" style="491" customWidth="1"/>
    <col min="12038" max="12288" width="9.140625" style="491"/>
    <col min="12289" max="12289" width="27.7109375" style="491" customWidth="1"/>
    <col min="12290" max="12290" width="50.42578125" style="491" customWidth="1"/>
    <col min="12291" max="12291" width="21.42578125" style="491" customWidth="1"/>
    <col min="12292" max="12292" width="19.85546875" style="491" customWidth="1"/>
    <col min="12293" max="12293" width="18.5703125" style="491" customWidth="1"/>
    <col min="12294" max="12544" width="9.140625" style="491"/>
    <col min="12545" max="12545" width="27.7109375" style="491" customWidth="1"/>
    <col min="12546" max="12546" width="50.42578125" style="491" customWidth="1"/>
    <col min="12547" max="12547" width="21.42578125" style="491" customWidth="1"/>
    <col min="12548" max="12548" width="19.85546875" style="491" customWidth="1"/>
    <col min="12549" max="12549" width="18.5703125" style="491" customWidth="1"/>
    <col min="12550" max="12800" width="9.140625" style="491"/>
    <col min="12801" max="12801" width="27.7109375" style="491" customWidth="1"/>
    <col min="12802" max="12802" width="50.42578125" style="491" customWidth="1"/>
    <col min="12803" max="12803" width="21.42578125" style="491" customWidth="1"/>
    <col min="12804" max="12804" width="19.85546875" style="491" customWidth="1"/>
    <col min="12805" max="12805" width="18.5703125" style="491" customWidth="1"/>
    <col min="12806" max="13056" width="9.140625" style="491"/>
    <col min="13057" max="13057" width="27.7109375" style="491" customWidth="1"/>
    <col min="13058" max="13058" width="50.42578125" style="491" customWidth="1"/>
    <col min="13059" max="13059" width="21.42578125" style="491" customWidth="1"/>
    <col min="13060" max="13060" width="19.85546875" style="491" customWidth="1"/>
    <col min="13061" max="13061" width="18.5703125" style="491" customWidth="1"/>
    <col min="13062" max="13312" width="9.140625" style="491"/>
    <col min="13313" max="13313" width="27.7109375" style="491" customWidth="1"/>
    <col min="13314" max="13314" width="50.42578125" style="491" customWidth="1"/>
    <col min="13315" max="13315" width="21.42578125" style="491" customWidth="1"/>
    <col min="13316" max="13316" width="19.85546875" style="491" customWidth="1"/>
    <col min="13317" max="13317" width="18.5703125" style="491" customWidth="1"/>
    <col min="13318" max="13568" width="9.140625" style="491"/>
    <col min="13569" max="13569" width="27.7109375" style="491" customWidth="1"/>
    <col min="13570" max="13570" width="50.42578125" style="491" customWidth="1"/>
    <col min="13571" max="13571" width="21.42578125" style="491" customWidth="1"/>
    <col min="13572" max="13572" width="19.85546875" style="491" customWidth="1"/>
    <col min="13573" max="13573" width="18.5703125" style="491" customWidth="1"/>
    <col min="13574" max="13824" width="9.140625" style="491"/>
    <col min="13825" max="13825" width="27.7109375" style="491" customWidth="1"/>
    <col min="13826" max="13826" width="50.42578125" style="491" customWidth="1"/>
    <col min="13827" max="13827" width="21.42578125" style="491" customWidth="1"/>
    <col min="13828" max="13828" width="19.85546875" style="491" customWidth="1"/>
    <col min="13829" max="13829" width="18.5703125" style="491" customWidth="1"/>
    <col min="13830" max="14080" width="9.140625" style="491"/>
    <col min="14081" max="14081" width="27.7109375" style="491" customWidth="1"/>
    <col min="14082" max="14082" width="50.42578125" style="491" customWidth="1"/>
    <col min="14083" max="14083" width="21.42578125" style="491" customWidth="1"/>
    <col min="14084" max="14084" width="19.85546875" style="491" customWidth="1"/>
    <col min="14085" max="14085" width="18.5703125" style="491" customWidth="1"/>
    <col min="14086" max="14336" width="9.140625" style="491"/>
    <col min="14337" max="14337" width="27.7109375" style="491" customWidth="1"/>
    <col min="14338" max="14338" width="50.42578125" style="491" customWidth="1"/>
    <col min="14339" max="14339" width="21.42578125" style="491" customWidth="1"/>
    <col min="14340" max="14340" width="19.85546875" style="491" customWidth="1"/>
    <col min="14341" max="14341" width="18.5703125" style="491" customWidth="1"/>
    <col min="14342" max="14592" width="9.140625" style="491"/>
    <col min="14593" max="14593" width="27.7109375" style="491" customWidth="1"/>
    <col min="14594" max="14594" width="50.42578125" style="491" customWidth="1"/>
    <col min="14595" max="14595" width="21.42578125" style="491" customWidth="1"/>
    <col min="14596" max="14596" width="19.85546875" style="491" customWidth="1"/>
    <col min="14597" max="14597" width="18.5703125" style="491" customWidth="1"/>
    <col min="14598" max="14848" width="9.140625" style="491"/>
    <col min="14849" max="14849" width="27.7109375" style="491" customWidth="1"/>
    <col min="14850" max="14850" width="50.42578125" style="491" customWidth="1"/>
    <col min="14851" max="14851" width="21.42578125" style="491" customWidth="1"/>
    <col min="14852" max="14852" width="19.85546875" style="491" customWidth="1"/>
    <col min="14853" max="14853" width="18.5703125" style="491" customWidth="1"/>
    <col min="14854" max="15104" width="9.140625" style="491"/>
    <col min="15105" max="15105" width="27.7109375" style="491" customWidth="1"/>
    <col min="15106" max="15106" width="50.42578125" style="491" customWidth="1"/>
    <col min="15107" max="15107" width="21.42578125" style="491" customWidth="1"/>
    <col min="15108" max="15108" width="19.85546875" style="491" customWidth="1"/>
    <col min="15109" max="15109" width="18.5703125" style="491" customWidth="1"/>
    <col min="15110" max="15360" width="9.140625" style="491"/>
    <col min="15361" max="15361" width="27.7109375" style="491" customWidth="1"/>
    <col min="15362" max="15362" width="50.42578125" style="491" customWidth="1"/>
    <col min="15363" max="15363" width="21.42578125" style="491" customWidth="1"/>
    <col min="15364" max="15364" width="19.85546875" style="491" customWidth="1"/>
    <col min="15365" max="15365" width="18.5703125" style="491" customWidth="1"/>
    <col min="15366" max="15616" width="9.140625" style="491"/>
    <col min="15617" max="15617" width="27.7109375" style="491" customWidth="1"/>
    <col min="15618" max="15618" width="50.42578125" style="491" customWidth="1"/>
    <col min="15619" max="15619" width="21.42578125" style="491" customWidth="1"/>
    <col min="15620" max="15620" width="19.85546875" style="491" customWidth="1"/>
    <col min="15621" max="15621" width="18.5703125" style="491" customWidth="1"/>
    <col min="15622" max="15872" width="9.140625" style="491"/>
    <col min="15873" max="15873" width="27.7109375" style="491" customWidth="1"/>
    <col min="15874" max="15874" width="50.42578125" style="491" customWidth="1"/>
    <col min="15875" max="15875" width="21.42578125" style="491" customWidth="1"/>
    <col min="15876" max="15876" width="19.85546875" style="491" customWidth="1"/>
    <col min="15877" max="15877" width="18.5703125" style="491" customWidth="1"/>
    <col min="15878" max="16128" width="9.140625" style="491"/>
    <col min="16129" max="16129" width="27.7109375" style="491" customWidth="1"/>
    <col min="16130" max="16130" width="50.42578125" style="491" customWidth="1"/>
    <col min="16131" max="16131" width="21.42578125" style="491" customWidth="1"/>
    <col min="16132" max="16132" width="19.85546875" style="491" customWidth="1"/>
    <col min="16133" max="16133" width="18.5703125" style="491" customWidth="1"/>
    <col min="16134" max="16384" width="9.140625" style="491"/>
  </cols>
  <sheetData>
    <row r="1" spans="1:5" ht="15.75" x14ac:dyDescent="0.25">
      <c r="A1" s="1"/>
      <c r="C1" s="76"/>
      <c r="D1" s="76"/>
      <c r="E1" s="487" t="s">
        <v>1071</v>
      </c>
    </row>
    <row r="2" spans="1:5" ht="15.75" x14ac:dyDescent="0.25">
      <c r="A2" s="1"/>
      <c r="C2" s="76"/>
      <c r="D2" s="76"/>
      <c r="E2" s="487" t="s">
        <v>30</v>
      </c>
    </row>
    <row r="3" spans="1:5" ht="15.75" x14ac:dyDescent="0.25">
      <c r="A3" s="1"/>
      <c r="C3" s="76"/>
      <c r="D3" s="76"/>
      <c r="E3" s="487" t="s">
        <v>204</v>
      </c>
    </row>
    <row r="4" spans="1:5" ht="15.75" x14ac:dyDescent="0.25">
      <c r="A4" s="1"/>
      <c r="C4" s="76"/>
      <c r="D4" s="2"/>
      <c r="E4" s="2" t="s">
        <v>1252</v>
      </c>
    </row>
    <row r="5" spans="1:5" ht="15.75" x14ac:dyDescent="0.25">
      <c r="A5" s="1"/>
      <c r="B5" s="24"/>
      <c r="C5" s="27"/>
      <c r="E5" s="492"/>
    </row>
    <row r="6" spans="1:5" ht="15.75" x14ac:dyDescent="0.25">
      <c r="A6" s="1"/>
      <c r="B6" s="24"/>
      <c r="C6" s="27"/>
    </row>
    <row r="7" spans="1:5" ht="15.75" customHeight="1" x14ac:dyDescent="0.25">
      <c r="A7" s="543" t="s">
        <v>916</v>
      </c>
      <c r="B7" s="543"/>
      <c r="C7" s="543"/>
      <c r="D7" s="543"/>
      <c r="E7" s="543"/>
    </row>
    <row r="8" spans="1:5" ht="15.75" x14ac:dyDescent="0.25">
      <c r="A8" s="77"/>
      <c r="B8" s="77"/>
      <c r="C8" s="77"/>
    </row>
    <row r="9" spans="1:5" ht="15.75" x14ac:dyDescent="0.25">
      <c r="A9" s="544" t="s">
        <v>121</v>
      </c>
      <c r="B9" s="546" t="s">
        <v>1</v>
      </c>
      <c r="C9" s="548" t="s">
        <v>205</v>
      </c>
      <c r="D9" s="549"/>
      <c r="E9" s="550"/>
    </row>
    <row r="10" spans="1:5" ht="15.75" x14ac:dyDescent="0.25">
      <c r="A10" s="545"/>
      <c r="B10" s="547"/>
      <c r="C10" s="488">
        <v>2017</v>
      </c>
      <c r="D10" s="490">
        <v>2018</v>
      </c>
      <c r="E10" s="490">
        <v>2019</v>
      </c>
    </row>
    <row r="11" spans="1:5" ht="31.5" x14ac:dyDescent="0.25">
      <c r="A11" s="79" t="s">
        <v>206</v>
      </c>
      <c r="B11" s="80" t="s">
        <v>174</v>
      </c>
      <c r="C11" s="81">
        <v>0</v>
      </c>
      <c r="D11" s="81">
        <f>D12+D13</f>
        <v>0</v>
      </c>
      <c r="E11" s="81">
        <f>E12+E13</f>
        <v>0</v>
      </c>
    </row>
    <row r="12" spans="1:5" ht="47.25" x14ac:dyDescent="0.25">
      <c r="A12" s="25" t="s">
        <v>207</v>
      </c>
      <c r="B12" s="20" t="s">
        <v>208</v>
      </c>
      <c r="C12" s="81">
        <v>0</v>
      </c>
      <c r="D12" s="108">
        <v>0</v>
      </c>
      <c r="E12" s="108">
        <v>0</v>
      </c>
    </row>
    <row r="13" spans="1:5" ht="47.25" x14ac:dyDescent="0.25">
      <c r="A13" s="25" t="s">
        <v>209</v>
      </c>
      <c r="B13" s="20" t="s">
        <v>210</v>
      </c>
      <c r="C13" s="40">
        <v>0</v>
      </c>
      <c r="D13" s="108">
        <v>0</v>
      </c>
      <c r="E13" s="108">
        <v>0</v>
      </c>
    </row>
    <row r="14" spans="1:5" ht="47.25" x14ac:dyDescent="0.25">
      <c r="A14" s="25" t="s">
        <v>211</v>
      </c>
      <c r="B14" s="20" t="s">
        <v>212</v>
      </c>
      <c r="C14" s="40">
        <v>0</v>
      </c>
      <c r="D14" s="40">
        <v>0</v>
      </c>
      <c r="E14" s="40">
        <v>0</v>
      </c>
    </row>
    <row r="15" spans="1:5" ht="63" x14ac:dyDescent="0.25">
      <c r="A15" s="25" t="s">
        <v>213</v>
      </c>
      <c r="B15" s="20" t="s">
        <v>214</v>
      </c>
      <c r="C15" s="40">
        <v>0</v>
      </c>
      <c r="D15" s="108">
        <v>0</v>
      </c>
      <c r="E15" s="108">
        <v>0</v>
      </c>
    </row>
    <row r="16" spans="1:5" ht="63" x14ac:dyDescent="0.25">
      <c r="A16" s="25" t="s">
        <v>215</v>
      </c>
      <c r="B16" s="20" t="s">
        <v>216</v>
      </c>
      <c r="C16" s="40">
        <v>0</v>
      </c>
      <c r="D16" s="108">
        <v>0</v>
      </c>
      <c r="E16" s="108">
        <v>0</v>
      </c>
    </row>
    <row r="17" spans="1:5" ht="32.25" x14ac:dyDescent="0.3">
      <c r="A17" s="25" t="s">
        <v>217</v>
      </c>
      <c r="B17" s="20" t="s">
        <v>172</v>
      </c>
      <c r="C17" s="40">
        <v>439759392.81999999</v>
      </c>
      <c r="D17" s="493">
        <v>0</v>
      </c>
      <c r="E17" s="493">
        <v>0</v>
      </c>
    </row>
    <row r="18" spans="1:5" ht="31.5" x14ac:dyDescent="0.25">
      <c r="A18" s="25" t="s">
        <v>218</v>
      </c>
      <c r="B18" s="20" t="s">
        <v>219</v>
      </c>
      <c r="C18" s="40">
        <f>C19+C20</f>
        <v>6540959.9600000009</v>
      </c>
      <c r="D18" s="40">
        <f>D19+D20</f>
        <v>3965769.9699999997</v>
      </c>
      <c r="E18" s="40">
        <f>E19+E20</f>
        <v>0</v>
      </c>
    </row>
    <row r="19" spans="1:5" ht="63" x14ac:dyDescent="0.25">
      <c r="A19" s="335" t="s">
        <v>220</v>
      </c>
      <c r="B19" s="20" t="s">
        <v>221</v>
      </c>
      <c r="C19" s="40">
        <v>-3000000</v>
      </c>
      <c r="D19" s="108">
        <v>0</v>
      </c>
      <c r="E19" s="108">
        <v>0</v>
      </c>
    </row>
    <row r="20" spans="1:5" ht="63" x14ac:dyDescent="0.25">
      <c r="A20" s="335" t="s">
        <v>222</v>
      </c>
      <c r="B20" s="20" t="s">
        <v>223</v>
      </c>
      <c r="C20" s="40">
        <f>4439959.96+5001000+100000</f>
        <v>9540959.9600000009</v>
      </c>
      <c r="D20" s="108">
        <f>1065769.97+2900000</f>
        <v>3965769.9699999997</v>
      </c>
      <c r="E20" s="108">
        <v>0</v>
      </c>
    </row>
    <row r="21" spans="1:5" ht="36.75" customHeight="1" x14ac:dyDescent="0.25">
      <c r="A21" s="85" t="s">
        <v>185</v>
      </c>
      <c r="B21" s="86" t="s">
        <v>224</v>
      </c>
      <c r="C21" s="40">
        <f>C17+C18</f>
        <v>446300352.77999997</v>
      </c>
      <c r="D21" s="40">
        <f>D17+D18</f>
        <v>3965769.9699999997</v>
      </c>
      <c r="E21" s="40">
        <f>E17+E18</f>
        <v>0</v>
      </c>
    </row>
    <row r="22" spans="1:5" ht="21" hidden="1" customHeight="1" x14ac:dyDescent="0.25">
      <c r="A22" s="551" t="s">
        <v>225</v>
      </c>
      <c r="B22" s="551"/>
      <c r="C22" s="551"/>
    </row>
    <row r="23" spans="1:5" ht="36.75" hidden="1" customHeight="1" x14ac:dyDescent="0.3">
      <c r="B23" s="87"/>
      <c r="C23" s="88"/>
      <c r="D23" s="88"/>
      <c r="E23" s="88"/>
    </row>
    <row r="24" spans="1:5" s="90" customFormat="1" ht="16.5" hidden="1" x14ac:dyDescent="0.3">
      <c r="A24" s="75"/>
      <c r="B24" s="89"/>
      <c r="C24" s="88">
        <f>C20+C19+C17</f>
        <v>446300352.77999997</v>
      </c>
      <c r="D24" s="88"/>
      <c r="E24" s="88"/>
    </row>
    <row r="25" spans="1:5" hidden="1" x14ac:dyDescent="0.25">
      <c r="C25" s="91">
        <f>ДОХОДЫ!E114-П4ВСР!Z478</f>
        <v>-446300352.78100002</v>
      </c>
    </row>
    <row r="26" spans="1:5" hidden="1" x14ac:dyDescent="0.25"/>
    <row r="27" spans="1:5" hidden="1" x14ac:dyDescent="0.25">
      <c r="B27" s="17"/>
      <c r="C27" s="91">
        <f>ДОХОДЫ!E114+П1ИВФ!C17+П1ИВФ!C20</f>
        <v>1052428555.24</v>
      </c>
      <c r="D27" s="91"/>
      <c r="E27" s="91"/>
    </row>
    <row r="28" spans="1:5" hidden="1" x14ac:dyDescent="0.25">
      <c r="B28" s="17"/>
      <c r="C28" s="91">
        <f>П4ВСР!Z478-П1ИВФ!C19</f>
        <v>1052428555.2409999</v>
      </c>
    </row>
    <row r="29" spans="1:5" hidden="1" x14ac:dyDescent="0.25"/>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4"/>
  <sheetViews>
    <sheetView tabSelected="1" workbookViewId="0">
      <selection activeCell="G14" sqref="G14"/>
    </sheetView>
  </sheetViews>
  <sheetFormatPr defaultRowHeight="15.75" x14ac:dyDescent="0.25"/>
  <cols>
    <col min="1" max="1" width="15.7109375" style="1" customWidth="1"/>
    <col min="2" max="2" width="30.5703125" style="1" customWidth="1"/>
    <col min="3" max="3" width="80.85546875" style="1" customWidth="1"/>
  </cols>
  <sheetData>
    <row r="1" spans="1:3" x14ac:dyDescent="0.25">
      <c r="C1" s="2" t="s">
        <v>1195</v>
      </c>
    </row>
    <row r="2" spans="1:3" x14ac:dyDescent="0.25">
      <c r="C2" s="2" t="s">
        <v>1092</v>
      </c>
    </row>
    <row r="3" spans="1:3" x14ac:dyDescent="0.25">
      <c r="C3" s="2" t="s">
        <v>0</v>
      </c>
    </row>
    <row r="4" spans="1:3" x14ac:dyDescent="0.25">
      <c r="C4" s="2" t="s">
        <v>1252</v>
      </c>
    </row>
    <row r="5" spans="1:3" x14ac:dyDescent="0.25">
      <c r="A5" s="449" t="s">
        <v>1093</v>
      </c>
    </row>
    <row r="6" spans="1:3" x14ac:dyDescent="0.25">
      <c r="A6" s="626" t="s">
        <v>1094</v>
      </c>
      <c r="B6" s="626"/>
      <c r="C6" s="626"/>
    </row>
    <row r="7" spans="1:3" x14ac:dyDescent="0.25">
      <c r="A7" s="531"/>
      <c r="B7" s="531"/>
      <c r="C7" s="531"/>
    </row>
    <row r="8" spans="1:3" x14ac:dyDescent="0.25">
      <c r="A8" s="151" t="s">
        <v>1095</v>
      </c>
      <c r="B8" s="532" t="s">
        <v>1096</v>
      </c>
      <c r="C8" s="532" t="s">
        <v>1</v>
      </c>
    </row>
    <row r="9" spans="1:3" x14ac:dyDescent="0.25">
      <c r="A9" s="627" t="s">
        <v>1097</v>
      </c>
      <c r="B9" s="627"/>
      <c r="C9" s="627"/>
    </row>
    <row r="10" spans="1:3" x14ac:dyDescent="0.25">
      <c r="A10" s="451">
        <v>182</v>
      </c>
      <c r="B10" s="452"/>
      <c r="C10" s="453" t="s">
        <v>1098</v>
      </c>
    </row>
    <row r="11" spans="1:3" ht="63" x14ac:dyDescent="0.25">
      <c r="A11" s="454">
        <v>182</v>
      </c>
      <c r="B11" s="452" t="s">
        <v>799</v>
      </c>
      <c r="C11" s="19" t="s">
        <v>1099</v>
      </c>
    </row>
    <row r="12" spans="1:3" ht="94.5" x14ac:dyDescent="0.25">
      <c r="A12" s="454">
        <v>182</v>
      </c>
      <c r="B12" s="452" t="s">
        <v>800</v>
      </c>
      <c r="C12" s="19" t="s">
        <v>801</v>
      </c>
    </row>
    <row r="13" spans="1:3" ht="31.5" x14ac:dyDescent="0.25">
      <c r="A13" s="454">
        <v>182</v>
      </c>
      <c r="B13" s="452" t="s">
        <v>802</v>
      </c>
      <c r="C13" s="19" t="s">
        <v>803</v>
      </c>
    </row>
    <row r="14" spans="1:3" x14ac:dyDescent="0.25">
      <c r="A14" s="454">
        <v>182</v>
      </c>
      <c r="B14" s="452" t="s">
        <v>804</v>
      </c>
      <c r="C14" s="19" t="s">
        <v>2</v>
      </c>
    </row>
    <row r="15" spans="1:3" ht="31.5" x14ac:dyDescent="0.25">
      <c r="A15" s="455">
        <v>182</v>
      </c>
      <c r="B15" s="456" t="s">
        <v>805</v>
      </c>
      <c r="C15" s="19" t="s">
        <v>39</v>
      </c>
    </row>
    <row r="16" spans="1:3" ht="31.5" x14ac:dyDescent="0.25">
      <c r="A16" s="454">
        <v>182</v>
      </c>
      <c r="B16" s="452" t="s">
        <v>807</v>
      </c>
      <c r="C16" s="19" t="s">
        <v>808</v>
      </c>
    </row>
    <row r="17" spans="1:3" x14ac:dyDescent="0.25">
      <c r="A17" s="454">
        <v>182</v>
      </c>
      <c r="B17" s="452" t="s">
        <v>1010</v>
      </c>
      <c r="C17" s="19" t="s">
        <v>3</v>
      </c>
    </row>
    <row r="18" spans="1:3" ht="47.25" x14ac:dyDescent="0.25">
      <c r="A18" s="454">
        <v>182</v>
      </c>
      <c r="B18" s="452" t="s">
        <v>1100</v>
      </c>
      <c r="C18" s="19" t="s">
        <v>1101</v>
      </c>
    </row>
    <row r="19" spans="1:3" ht="31.5" x14ac:dyDescent="0.25">
      <c r="A19" s="454">
        <v>182</v>
      </c>
      <c r="B19" s="452" t="s">
        <v>1102</v>
      </c>
      <c r="C19" s="19" t="s">
        <v>1103</v>
      </c>
    </row>
    <row r="20" spans="1:3" ht="31.5" x14ac:dyDescent="0.25">
      <c r="A20" s="454">
        <v>182</v>
      </c>
      <c r="B20" s="452" t="s">
        <v>809</v>
      </c>
      <c r="C20" s="19" t="s">
        <v>810</v>
      </c>
    </row>
    <row r="21" spans="1:3" ht="47.25" x14ac:dyDescent="0.25">
      <c r="A21" s="454">
        <v>182</v>
      </c>
      <c r="B21" s="452" t="s">
        <v>1104</v>
      </c>
      <c r="C21" s="19" t="s">
        <v>1105</v>
      </c>
    </row>
    <row r="22" spans="1:3" ht="31.5" x14ac:dyDescent="0.25">
      <c r="A22" s="454">
        <v>182</v>
      </c>
      <c r="B22" s="452" t="s">
        <v>1106</v>
      </c>
      <c r="C22" s="19" t="s">
        <v>1107</v>
      </c>
    </row>
    <row r="23" spans="1:3" ht="31.5" x14ac:dyDescent="0.25">
      <c r="A23" s="454">
        <v>182</v>
      </c>
      <c r="B23" s="452" t="s">
        <v>1108</v>
      </c>
      <c r="C23" s="19" t="s">
        <v>1109</v>
      </c>
    </row>
    <row r="24" spans="1:3" ht="63" x14ac:dyDescent="0.25">
      <c r="A24" s="454">
        <v>182</v>
      </c>
      <c r="B24" s="452" t="s">
        <v>813</v>
      </c>
      <c r="C24" s="19" t="s">
        <v>4</v>
      </c>
    </row>
    <row r="25" spans="1:3" ht="47.25" x14ac:dyDescent="0.25">
      <c r="A25" s="454">
        <v>182</v>
      </c>
      <c r="B25" s="452" t="s">
        <v>1080</v>
      </c>
      <c r="C25" s="19" t="s">
        <v>1110</v>
      </c>
    </row>
    <row r="26" spans="1:3" ht="47.25" x14ac:dyDescent="0.25">
      <c r="A26" s="454">
        <v>182</v>
      </c>
      <c r="B26" s="452" t="s">
        <v>1030</v>
      </c>
      <c r="C26" s="19" t="s">
        <v>1029</v>
      </c>
    </row>
    <row r="27" spans="1:3" ht="47.25" x14ac:dyDescent="0.25">
      <c r="A27" s="454">
        <v>182</v>
      </c>
      <c r="B27" s="452" t="s">
        <v>1111</v>
      </c>
      <c r="C27" s="457" t="s">
        <v>1112</v>
      </c>
    </row>
    <row r="28" spans="1:3" ht="47.25" x14ac:dyDescent="0.25">
      <c r="A28" s="454">
        <v>182</v>
      </c>
      <c r="B28" s="452" t="s">
        <v>1113</v>
      </c>
      <c r="C28" s="457" t="s">
        <v>1114</v>
      </c>
    </row>
    <row r="29" spans="1:3" x14ac:dyDescent="0.25">
      <c r="A29" s="363" t="s">
        <v>5</v>
      </c>
      <c r="B29" s="452"/>
      <c r="C29" s="458" t="s">
        <v>1115</v>
      </c>
    </row>
    <row r="30" spans="1:3" ht="31.5" x14ac:dyDescent="0.25">
      <c r="A30" s="459" t="s">
        <v>5</v>
      </c>
      <c r="B30" s="452" t="s">
        <v>784</v>
      </c>
      <c r="C30" s="19" t="s">
        <v>1116</v>
      </c>
    </row>
    <row r="31" spans="1:3" ht="31.5" x14ac:dyDescent="0.25">
      <c r="A31" s="459" t="s">
        <v>5</v>
      </c>
      <c r="B31" s="452" t="s">
        <v>786</v>
      </c>
      <c r="C31" s="19" t="s">
        <v>1117</v>
      </c>
    </row>
    <row r="32" spans="1:3" x14ac:dyDescent="0.25">
      <c r="A32" s="459" t="s">
        <v>5</v>
      </c>
      <c r="B32" s="452" t="s">
        <v>788</v>
      </c>
      <c r="C32" s="19" t="s">
        <v>1118</v>
      </c>
    </row>
    <row r="33" spans="1:3" x14ac:dyDescent="0.25">
      <c r="A33" s="459" t="s">
        <v>5</v>
      </c>
      <c r="B33" s="452" t="s">
        <v>790</v>
      </c>
      <c r="C33" s="19" t="s">
        <v>1119</v>
      </c>
    </row>
    <row r="34" spans="1:3" x14ac:dyDescent="0.25">
      <c r="A34" s="459" t="s">
        <v>5</v>
      </c>
      <c r="B34" s="452" t="s">
        <v>1120</v>
      </c>
      <c r="C34" s="460" t="s">
        <v>1121</v>
      </c>
    </row>
    <row r="35" spans="1:3" x14ac:dyDescent="0.25">
      <c r="A35" s="363" t="s">
        <v>6</v>
      </c>
      <c r="B35" s="452"/>
      <c r="C35" s="458" t="s">
        <v>1122</v>
      </c>
    </row>
    <row r="36" spans="1:3" ht="31.5" x14ac:dyDescent="0.25">
      <c r="A36" s="459" t="s">
        <v>6</v>
      </c>
      <c r="B36" s="452" t="s">
        <v>816</v>
      </c>
      <c r="C36" s="19" t="s">
        <v>8</v>
      </c>
    </row>
    <row r="37" spans="1:3" ht="31.5" x14ac:dyDescent="0.25">
      <c r="A37" s="459" t="s">
        <v>6</v>
      </c>
      <c r="B37" s="452" t="s">
        <v>1123</v>
      </c>
      <c r="C37" s="19" t="s">
        <v>1124</v>
      </c>
    </row>
    <row r="38" spans="1:3" ht="63" x14ac:dyDescent="0.25">
      <c r="A38" s="461" t="s">
        <v>6</v>
      </c>
      <c r="B38" s="456" t="s">
        <v>817</v>
      </c>
      <c r="C38" s="19" t="s">
        <v>1125</v>
      </c>
    </row>
    <row r="39" spans="1:3" x14ac:dyDescent="0.25">
      <c r="A39" s="451">
        <v>192</v>
      </c>
      <c r="B39" s="452"/>
      <c r="C39" s="458" t="s">
        <v>1126</v>
      </c>
    </row>
    <row r="40" spans="1:3" ht="63" x14ac:dyDescent="0.25">
      <c r="A40" s="454">
        <v>192</v>
      </c>
      <c r="B40" s="452" t="s">
        <v>817</v>
      </c>
      <c r="C40" s="19" t="s">
        <v>1127</v>
      </c>
    </row>
    <row r="41" spans="1:3" ht="31.5" x14ac:dyDescent="0.25">
      <c r="A41" s="454">
        <v>192</v>
      </c>
      <c r="B41" s="452" t="s">
        <v>816</v>
      </c>
      <c r="C41" s="19" t="s">
        <v>8</v>
      </c>
    </row>
    <row r="42" spans="1:3" ht="31.5" x14ac:dyDescent="0.25">
      <c r="A42" s="451">
        <v>321</v>
      </c>
      <c r="B42" s="452"/>
      <c r="C42" s="458" t="s">
        <v>1128</v>
      </c>
    </row>
    <row r="43" spans="1:3" x14ac:dyDescent="0.25">
      <c r="A43" s="454">
        <v>321</v>
      </c>
      <c r="B43" s="452" t="s">
        <v>1129</v>
      </c>
      <c r="C43" s="19" t="s">
        <v>1035</v>
      </c>
    </row>
    <row r="44" spans="1:3" ht="31.5" x14ac:dyDescent="0.25">
      <c r="A44" s="527">
        <v>322</v>
      </c>
      <c r="B44" s="528"/>
      <c r="C44" s="529" t="s">
        <v>1239</v>
      </c>
    </row>
    <row r="45" spans="1:3" ht="47.25" x14ac:dyDescent="0.25">
      <c r="A45" s="530">
        <v>322</v>
      </c>
      <c r="B45" s="528" t="s">
        <v>1241</v>
      </c>
      <c r="C45" s="462" t="s">
        <v>1242</v>
      </c>
    </row>
    <row r="46" spans="1:3" x14ac:dyDescent="0.25">
      <c r="A46" s="451">
        <v>188</v>
      </c>
      <c r="B46" s="452"/>
      <c r="C46" s="458" t="s">
        <v>1130</v>
      </c>
    </row>
    <row r="47" spans="1:3" ht="47.25" x14ac:dyDescent="0.25">
      <c r="A47" s="454">
        <v>188</v>
      </c>
      <c r="B47" s="452" t="s">
        <v>814</v>
      </c>
      <c r="C47" s="457" t="s">
        <v>1112</v>
      </c>
    </row>
    <row r="48" spans="1:3" ht="47.25" x14ac:dyDescent="0.25">
      <c r="A48" s="454">
        <v>188</v>
      </c>
      <c r="B48" s="452" t="s">
        <v>1113</v>
      </c>
      <c r="C48" s="457" t="s">
        <v>1114</v>
      </c>
    </row>
    <row r="49" spans="1:3" ht="31.5" x14ac:dyDescent="0.25">
      <c r="A49" s="454">
        <v>188</v>
      </c>
      <c r="B49" s="452" t="s">
        <v>816</v>
      </c>
      <c r="C49" s="19" t="s">
        <v>8</v>
      </c>
    </row>
    <row r="50" spans="1:3" ht="31.5" x14ac:dyDescent="0.25">
      <c r="A50" s="454">
        <v>188</v>
      </c>
      <c r="B50" s="452" t="s">
        <v>1034</v>
      </c>
      <c r="C50" s="409" t="s">
        <v>1032</v>
      </c>
    </row>
    <row r="51" spans="1:3" ht="63" x14ac:dyDescent="0.25">
      <c r="A51" s="454">
        <v>188</v>
      </c>
      <c r="B51" s="452" t="s">
        <v>817</v>
      </c>
      <c r="C51" s="19" t="s">
        <v>1125</v>
      </c>
    </row>
    <row r="52" spans="1:3" ht="47.25" x14ac:dyDescent="0.25">
      <c r="A52" s="454">
        <v>188</v>
      </c>
      <c r="B52" s="452" t="s">
        <v>1131</v>
      </c>
      <c r="C52" s="457" t="s">
        <v>1132</v>
      </c>
    </row>
    <row r="53" spans="1:3" ht="47.25" x14ac:dyDescent="0.25">
      <c r="A53" s="454">
        <v>188</v>
      </c>
      <c r="B53" s="452" t="s">
        <v>1033</v>
      </c>
      <c r="C53" s="457" t="s">
        <v>1031</v>
      </c>
    </row>
    <row r="54" spans="1:3" ht="31.5" x14ac:dyDescent="0.25">
      <c r="A54" s="451">
        <v>141</v>
      </c>
      <c r="B54" s="452"/>
      <c r="C54" s="458" t="s">
        <v>1133</v>
      </c>
    </row>
    <row r="55" spans="1:3" ht="31.5" x14ac:dyDescent="0.25">
      <c r="A55" s="454">
        <v>141</v>
      </c>
      <c r="B55" s="452" t="s">
        <v>1037</v>
      </c>
      <c r="C55" s="19" t="s">
        <v>1134</v>
      </c>
    </row>
    <row r="56" spans="1:3" ht="47.25" x14ac:dyDescent="0.25">
      <c r="A56" s="454">
        <v>141</v>
      </c>
      <c r="B56" s="452" t="s">
        <v>1033</v>
      </c>
      <c r="C56" s="19" t="s">
        <v>1031</v>
      </c>
    </row>
    <row r="57" spans="1:3" ht="31.5" x14ac:dyDescent="0.25">
      <c r="A57" s="454">
        <v>141</v>
      </c>
      <c r="B57" s="452" t="s">
        <v>816</v>
      </c>
      <c r="C57" s="19" t="s">
        <v>8</v>
      </c>
    </row>
    <row r="58" spans="1:3" x14ac:dyDescent="0.25">
      <c r="A58" s="451">
        <v>100</v>
      </c>
      <c r="B58" s="452"/>
      <c r="C58" s="458" t="s">
        <v>1135</v>
      </c>
    </row>
    <row r="59" spans="1:3" x14ac:dyDescent="0.25">
      <c r="A59" s="454">
        <v>100</v>
      </c>
      <c r="B59" s="452" t="s">
        <v>1136</v>
      </c>
      <c r="C59" s="19" t="s">
        <v>1137</v>
      </c>
    </row>
    <row r="60" spans="1:3" ht="63" x14ac:dyDescent="0.25">
      <c r="A60" s="454">
        <v>100</v>
      </c>
      <c r="B60" s="452" t="s">
        <v>10</v>
      </c>
      <c r="C60" s="462" t="s">
        <v>60</v>
      </c>
    </row>
    <row r="61" spans="1:3" ht="78.75" x14ac:dyDescent="0.25">
      <c r="A61" s="454">
        <v>100</v>
      </c>
      <c r="B61" s="452" t="s">
        <v>11</v>
      </c>
      <c r="C61" s="244" t="s">
        <v>62</v>
      </c>
    </row>
    <row r="62" spans="1:3" ht="63" x14ac:dyDescent="0.25">
      <c r="A62" s="454">
        <v>100</v>
      </c>
      <c r="B62" s="452" t="s">
        <v>12</v>
      </c>
      <c r="C62" s="244" t="s">
        <v>794</v>
      </c>
    </row>
    <row r="63" spans="1:3" ht="63" x14ac:dyDescent="0.25">
      <c r="A63" s="454">
        <v>100</v>
      </c>
      <c r="B63" s="452" t="s">
        <v>13</v>
      </c>
      <c r="C63" s="244" t="s">
        <v>66</v>
      </c>
    </row>
    <row r="64" spans="1:3" x14ac:dyDescent="0.25">
      <c r="A64" s="451">
        <v>161</v>
      </c>
      <c r="B64" s="452"/>
      <c r="C64" s="458" t="s">
        <v>1138</v>
      </c>
    </row>
    <row r="65" spans="1:3" ht="47.25" x14ac:dyDescent="0.25">
      <c r="A65" s="454">
        <v>161</v>
      </c>
      <c r="B65" s="452" t="s">
        <v>1139</v>
      </c>
      <c r="C65" s="463" t="s">
        <v>1140</v>
      </c>
    </row>
    <row r="66" spans="1:3" x14ac:dyDescent="0.25">
      <c r="A66" s="628" t="s">
        <v>1141</v>
      </c>
      <c r="B66" s="629"/>
      <c r="C66" s="630"/>
    </row>
    <row r="67" spans="1:3" x14ac:dyDescent="0.25">
      <c r="A67" s="363" t="s">
        <v>1025</v>
      </c>
      <c r="B67" s="451"/>
      <c r="C67" s="451" t="s">
        <v>1142</v>
      </c>
    </row>
    <row r="68" spans="1:3" ht="31.5" x14ac:dyDescent="0.25">
      <c r="A68" s="459" t="s">
        <v>1025</v>
      </c>
      <c r="B68" s="456" t="s">
        <v>7</v>
      </c>
      <c r="C68" s="19" t="s">
        <v>8</v>
      </c>
    </row>
    <row r="69" spans="1:3" ht="63" x14ac:dyDescent="0.25">
      <c r="A69" s="459" t="s">
        <v>1025</v>
      </c>
      <c r="B69" s="456" t="s">
        <v>1143</v>
      </c>
      <c r="C69" s="457" t="s">
        <v>1024</v>
      </c>
    </row>
    <row r="70" spans="1:3" ht="47.25" x14ac:dyDescent="0.25">
      <c r="A70" s="363" t="s">
        <v>14</v>
      </c>
      <c r="B70" s="452"/>
      <c r="C70" s="458" t="s">
        <v>1144</v>
      </c>
    </row>
    <row r="71" spans="1:3" ht="31.5" x14ac:dyDescent="0.25">
      <c r="A71" s="459" t="s">
        <v>14</v>
      </c>
      <c r="B71" s="452" t="s">
        <v>7</v>
      </c>
      <c r="C71" s="19" t="s">
        <v>8</v>
      </c>
    </row>
    <row r="72" spans="1:3" ht="31.5" x14ac:dyDescent="0.25">
      <c r="A72" s="363" t="s">
        <v>792</v>
      </c>
      <c r="B72" s="452"/>
      <c r="C72" s="458" t="s">
        <v>1145</v>
      </c>
    </row>
    <row r="73" spans="1:3" ht="31.5" x14ac:dyDescent="0.25">
      <c r="A73" s="459" t="s">
        <v>792</v>
      </c>
      <c r="B73" s="452" t="s">
        <v>816</v>
      </c>
      <c r="C73" s="19" t="s">
        <v>8</v>
      </c>
    </row>
    <row r="74" spans="1:3" x14ac:dyDescent="0.25">
      <c r="A74" s="451">
        <v>906</v>
      </c>
      <c r="B74" s="19"/>
      <c r="C74" s="458" t="s">
        <v>1146</v>
      </c>
    </row>
    <row r="75" spans="1:3" ht="31.5" x14ac:dyDescent="0.25">
      <c r="A75" s="454">
        <v>906</v>
      </c>
      <c r="B75" s="452" t="s">
        <v>7</v>
      </c>
      <c r="C75" s="19" t="s">
        <v>8</v>
      </c>
    </row>
    <row r="76" spans="1:3" x14ac:dyDescent="0.25">
      <c r="A76" s="451">
        <v>117</v>
      </c>
      <c r="B76" s="452"/>
      <c r="C76" s="458" t="s">
        <v>1147</v>
      </c>
    </row>
    <row r="77" spans="1:3" ht="63" x14ac:dyDescent="0.25">
      <c r="A77" s="454">
        <v>117</v>
      </c>
      <c r="B77" s="452" t="s">
        <v>1004</v>
      </c>
      <c r="C77" s="240" t="s">
        <v>798</v>
      </c>
    </row>
    <row r="78" spans="1:3" ht="31.5" x14ac:dyDescent="0.25">
      <c r="A78" s="454">
        <v>117</v>
      </c>
      <c r="B78" s="452" t="s">
        <v>7</v>
      </c>
      <c r="C78" s="19" t="s">
        <v>8</v>
      </c>
    </row>
    <row r="79" spans="1:3" ht="31.5" x14ac:dyDescent="0.25">
      <c r="A79" s="451">
        <v>927</v>
      </c>
      <c r="B79" s="452"/>
      <c r="C79" s="458" t="s">
        <v>1148</v>
      </c>
    </row>
    <row r="80" spans="1:3" ht="31.5" x14ac:dyDescent="0.25">
      <c r="A80" s="454">
        <v>927</v>
      </c>
      <c r="B80" s="452" t="s">
        <v>9</v>
      </c>
      <c r="C80" s="19" t="s">
        <v>1124</v>
      </c>
    </row>
    <row r="81" spans="1:3" ht="31.5" x14ac:dyDescent="0.25">
      <c r="A81" s="454">
        <v>927</v>
      </c>
      <c r="B81" s="452" t="s">
        <v>7</v>
      </c>
      <c r="C81" s="19" t="s">
        <v>8</v>
      </c>
    </row>
    <row r="82" spans="1:3" x14ac:dyDescent="0.25">
      <c r="A82" s="451">
        <v>116</v>
      </c>
      <c r="B82" s="452"/>
      <c r="C82" s="458" t="s">
        <v>1149</v>
      </c>
    </row>
    <row r="83" spans="1:3" ht="31.5" x14ac:dyDescent="0.25">
      <c r="A83" s="454">
        <v>116</v>
      </c>
      <c r="B83" s="452" t="s">
        <v>7</v>
      </c>
      <c r="C83" s="19" t="s">
        <v>8</v>
      </c>
    </row>
    <row r="84" spans="1:3" x14ac:dyDescent="0.25">
      <c r="A84" s="451">
        <v>918</v>
      </c>
      <c r="B84" s="452"/>
      <c r="C84" s="458" t="s">
        <v>1150</v>
      </c>
    </row>
    <row r="85" spans="1:3" ht="31.5" x14ac:dyDescent="0.25">
      <c r="A85" s="454">
        <v>918</v>
      </c>
      <c r="B85" s="452" t="s">
        <v>7</v>
      </c>
      <c r="C85" s="19" t="s">
        <v>8</v>
      </c>
    </row>
    <row r="86" spans="1:3" ht="31.5" x14ac:dyDescent="0.25">
      <c r="A86" s="451">
        <v>106</v>
      </c>
      <c r="B86" s="452"/>
      <c r="C86" s="464" t="s">
        <v>1151</v>
      </c>
    </row>
    <row r="87" spans="1:3" ht="31.5" x14ac:dyDescent="0.25">
      <c r="A87" s="454">
        <v>106</v>
      </c>
      <c r="B87" s="452" t="s">
        <v>7</v>
      </c>
      <c r="C87" s="19" t="s">
        <v>8</v>
      </c>
    </row>
    <row r="88" spans="1:3" ht="47.25" x14ac:dyDescent="0.25">
      <c r="A88" s="451">
        <v>177</v>
      </c>
      <c r="B88" s="453"/>
      <c r="C88" s="458" t="s">
        <v>1152</v>
      </c>
    </row>
    <row r="89" spans="1:3" ht="63" x14ac:dyDescent="0.25">
      <c r="A89" s="454">
        <v>177</v>
      </c>
      <c r="B89" s="452" t="s">
        <v>817</v>
      </c>
      <c r="C89" s="240" t="s">
        <v>798</v>
      </c>
    </row>
    <row r="90" spans="1:3" x14ac:dyDescent="0.25">
      <c r="A90" s="628" t="s">
        <v>1153</v>
      </c>
      <c r="B90" s="629"/>
      <c r="C90" s="630"/>
    </row>
    <row r="91" spans="1:3" x14ac:dyDescent="0.25">
      <c r="A91" s="465" t="s">
        <v>15</v>
      </c>
      <c r="B91" s="466"/>
      <c r="C91" s="467" t="s">
        <v>28</v>
      </c>
    </row>
    <row r="92" spans="1:3" ht="31.5" x14ac:dyDescent="0.25">
      <c r="A92" s="468" t="s">
        <v>15</v>
      </c>
      <c r="B92" s="466" t="s">
        <v>1154</v>
      </c>
      <c r="C92" s="469" t="s">
        <v>1155</v>
      </c>
    </row>
    <row r="93" spans="1:3" x14ac:dyDescent="0.25">
      <c r="A93" s="468" t="s">
        <v>15</v>
      </c>
      <c r="B93" s="466" t="s">
        <v>1020</v>
      </c>
      <c r="C93" s="469" t="s">
        <v>1021</v>
      </c>
    </row>
    <row r="94" spans="1:3" ht="31.5" x14ac:dyDescent="0.25">
      <c r="A94" s="468" t="s">
        <v>15</v>
      </c>
      <c r="B94" s="466" t="s">
        <v>7</v>
      </c>
      <c r="C94" s="240" t="s">
        <v>8</v>
      </c>
    </row>
    <row r="95" spans="1:3" ht="31.5" x14ac:dyDescent="0.25">
      <c r="A95" s="468" t="s">
        <v>15</v>
      </c>
      <c r="B95" s="466" t="s">
        <v>1248</v>
      </c>
      <c r="C95" s="240" t="s">
        <v>1250</v>
      </c>
    </row>
    <row r="96" spans="1:3" ht="31.5" x14ac:dyDescent="0.25">
      <c r="A96" s="468" t="s">
        <v>15</v>
      </c>
      <c r="B96" s="466" t="s">
        <v>1249</v>
      </c>
      <c r="C96" s="240" t="s">
        <v>1251</v>
      </c>
    </row>
    <row r="97" spans="1:3" ht="63" x14ac:dyDescent="0.25">
      <c r="A97" s="459" t="s">
        <v>15</v>
      </c>
      <c r="B97" s="456" t="s">
        <v>1026</v>
      </c>
      <c r="C97" s="457" t="s">
        <v>1024</v>
      </c>
    </row>
    <row r="98" spans="1:3" ht="31.5" x14ac:dyDescent="0.25">
      <c r="A98" s="459" t="s">
        <v>15</v>
      </c>
      <c r="B98" s="452" t="s">
        <v>1156</v>
      </c>
      <c r="C98" s="452" t="s">
        <v>1157</v>
      </c>
    </row>
    <row r="99" spans="1:3" x14ac:dyDescent="0.25">
      <c r="A99" s="459" t="s">
        <v>15</v>
      </c>
      <c r="B99" s="452" t="s">
        <v>1158</v>
      </c>
      <c r="C99" s="452" t="s">
        <v>17</v>
      </c>
    </row>
    <row r="100" spans="1:3" ht="47.25" x14ac:dyDescent="0.25">
      <c r="A100" s="459" t="s">
        <v>15</v>
      </c>
      <c r="B100" s="452" t="s">
        <v>894</v>
      </c>
      <c r="C100" s="452" t="s">
        <v>1159</v>
      </c>
    </row>
    <row r="101" spans="1:3" x14ac:dyDescent="0.25">
      <c r="A101" s="468" t="s">
        <v>15</v>
      </c>
      <c r="B101" s="19" t="s">
        <v>1160</v>
      </c>
      <c r="C101" s="19" t="s">
        <v>1161</v>
      </c>
    </row>
    <row r="102" spans="1:3" x14ac:dyDescent="0.25">
      <c r="A102" s="363" t="s">
        <v>16</v>
      </c>
      <c r="B102" s="452"/>
      <c r="C102" s="453" t="s">
        <v>1162</v>
      </c>
    </row>
    <row r="103" spans="1:3" ht="31.5" x14ac:dyDescent="0.25">
      <c r="A103" s="459" t="s">
        <v>16</v>
      </c>
      <c r="B103" s="452" t="s">
        <v>1003</v>
      </c>
      <c r="C103" s="452" t="s">
        <v>1163</v>
      </c>
    </row>
    <row r="104" spans="1:3" x14ac:dyDescent="0.25">
      <c r="A104" s="459" t="s">
        <v>16</v>
      </c>
      <c r="B104" s="452" t="s">
        <v>1020</v>
      </c>
      <c r="C104" s="452" t="s">
        <v>1021</v>
      </c>
    </row>
    <row r="105" spans="1:3" ht="31.5" x14ac:dyDescent="0.25">
      <c r="A105" s="459" t="s">
        <v>16</v>
      </c>
      <c r="B105" s="452" t="s">
        <v>1164</v>
      </c>
      <c r="C105" s="452" t="s">
        <v>1165</v>
      </c>
    </row>
    <row r="106" spans="1:3" ht="31.5" x14ac:dyDescent="0.25">
      <c r="A106" s="459" t="s">
        <v>16</v>
      </c>
      <c r="B106" s="452" t="s">
        <v>1156</v>
      </c>
      <c r="C106" s="452" t="s">
        <v>1157</v>
      </c>
    </row>
    <row r="107" spans="1:3" x14ac:dyDescent="0.25">
      <c r="A107" s="459" t="s">
        <v>16</v>
      </c>
      <c r="B107" s="452" t="s">
        <v>1043</v>
      </c>
      <c r="C107" s="452" t="s">
        <v>17</v>
      </c>
    </row>
    <row r="108" spans="1:3" x14ac:dyDescent="0.25">
      <c r="A108" s="459" t="s">
        <v>16</v>
      </c>
      <c r="B108" s="19" t="s">
        <v>1160</v>
      </c>
      <c r="C108" s="19" t="s">
        <v>1161</v>
      </c>
    </row>
    <row r="109" spans="1:3" x14ac:dyDescent="0.25">
      <c r="A109" s="363" t="s">
        <v>18</v>
      </c>
      <c r="B109" s="19"/>
      <c r="C109" s="458" t="s">
        <v>837</v>
      </c>
    </row>
    <row r="110" spans="1:3" x14ac:dyDescent="0.25">
      <c r="A110" s="468" t="s">
        <v>18</v>
      </c>
      <c r="B110" s="466" t="s">
        <v>1020</v>
      </c>
      <c r="C110" s="469" t="s">
        <v>1021</v>
      </c>
    </row>
    <row r="111" spans="1:3" ht="63" x14ac:dyDescent="0.25">
      <c r="A111" s="459" t="s">
        <v>18</v>
      </c>
      <c r="B111" s="456" t="s">
        <v>1026</v>
      </c>
      <c r="C111" s="457" t="s">
        <v>1024</v>
      </c>
    </row>
    <row r="112" spans="1:3" ht="31.5" x14ac:dyDescent="0.25">
      <c r="A112" s="468" t="s">
        <v>18</v>
      </c>
      <c r="B112" s="466" t="s">
        <v>7</v>
      </c>
      <c r="C112" s="240" t="s">
        <v>8</v>
      </c>
    </row>
    <row r="113" spans="1:3" ht="31.5" x14ac:dyDescent="0.25">
      <c r="A113" s="459" t="s">
        <v>18</v>
      </c>
      <c r="B113" s="452" t="s">
        <v>1156</v>
      </c>
      <c r="C113" s="452" t="s">
        <v>1157</v>
      </c>
    </row>
    <row r="114" spans="1:3" x14ac:dyDescent="0.25">
      <c r="A114" s="459" t="s">
        <v>18</v>
      </c>
      <c r="B114" s="452" t="s">
        <v>1158</v>
      </c>
      <c r="C114" s="452" t="s">
        <v>17</v>
      </c>
    </row>
    <row r="115" spans="1:3" ht="47.25" x14ac:dyDescent="0.25">
      <c r="A115" s="459" t="s">
        <v>18</v>
      </c>
      <c r="B115" s="452" t="s">
        <v>894</v>
      </c>
      <c r="C115" s="452" t="s">
        <v>1159</v>
      </c>
    </row>
    <row r="116" spans="1:3" x14ac:dyDescent="0.25">
      <c r="A116" s="459" t="s">
        <v>18</v>
      </c>
      <c r="B116" s="19" t="s">
        <v>1160</v>
      </c>
      <c r="C116" s="19" t="s">
        <v>1166</v>
      </c>
    </row>
    <row r="117" spans="1:3" x14ac:dyDescent="0.25">
      <c r="A117" s="363" t="s">
        <v>19</v>
      </c>
      <c r="B117" s="452"/>
      <c r="C117" s="453" t="s">
        <v>1167</v>
      </c>
    </row>
    <row r="118" spans="1:3" s="472" customFormat="1" ht="47.25" x14ac:dyDescent="0.25">
      <c r="A118" s="470" t="s">
        <v>19</v>
      </c>
      <c r="B118" s="471" t="s">
        <v>1074</v>
      </c>
      <c r="C118" s="471" t="s">
        <v>1168</v>
      </c>
    </row>
    <row r="119" spans="1:3" s="472" customFormat="1" ht="31.5" x14ac:dyDescent="0.25">
      <c r="A119" s="470" t="s">
        <v>19</v>
      </c>
      <c r="B119" s="471" t="s">
        <v>1169</v>
      </c>
      <c r="C119" s="471" t="s">
        <v>1170</v>
      </c>
    </row>
    <row r="120" spans="1:3" ht="78.75" x14ac:dyDescent="0.25">
      <c r="A120" s="459" t="s">
        <v>19</v>
      </c>
      <c r="B120" s="452" t="s">
        <v>20</v>
      </c>
      <c r="C120" s="452" t="s">
        <v>1196</v>
      </c>
    </row>
    <row r="121" spans="1:3" ht="63" x14ac:dyDescent="0.25">
      <c r="A121" s="459" t="s">
        <v>19</v>
      </c>
      <c r="B121" s="452" t="s">
        <v>775</v>
      </c>
      <c r="C121" s="457" t="s">
        <v>1171</v>
      </c>
    </row>
    <row r="122" spans="1:3" ht="63" x14ac:dyDescent="0.25">
      <c r="A122" s="459" t="s">
        <v>19</v>
      </c>
      <c r="B122" s="452" t="s">
        <v>1015</v>
      </c>
      <c r="C122" s="452" t="s">
        <v>1172</v>
      </c>
    </row>
    <row r="123" spans="1:3" ht="63" x14ac:dyDescent="0.25">
      <c r="A123" s="459" t="s">
        <v>19</v>
      </c>
      <c r="B123" s="452" t="s">
        <v>1173</v>
      </c>
      <c r="C123" s="452" t="s">
        <v>1174</v>
      </c>
    </row>
    <row r="124" spans="1:3" ht="47.25" x14ac:dyDescent="0.25">
      <c r="A124" s="459" t="s">
        <v>19</v>
      </c>
      <c r="B124" s="452" t="s">
        <v>1175</v>
      </c>
      <c r="C124" s="452" t="s">
        <v>22</v>
      </c>
    </row>
    <row r="125" spans="1:3" ht="31.5" x14ac:dyDescent="0.25">
      <c r="A125" s="459" t="s">
        <v>19</v>
      </c>
      <c r="B125" s="452" t="s">
        <v>1176</v>
      </c>
      <c r="C125" s="452" t="s">
        <v>1155</v>
      </c>
    </row>
    <row r="126" spans="1:3" ht="63" x14ac:dyDescent="0.25">
      <c r="A126" s="459" t="s">
        <v>19</v>
      </c>
      <c r="B126" s="452" t="s">
        <v>23</v>
      </c>
      <c r="C126" s="452" t="s">
        <v>24</v>
      </c>
    </row>
    <row r="127" spans="1:3" ht="78.75" x14ac:dyDescent="0.25">
      <c r="A127" s="459" t="s">
        <v>19</v>
      </c>
      <c r="B127" s="452" t="s">
        <v>25</v>
      </c>
      <c r="C127" s="452" t="s">
        <v>1177</v>
      </c>
    </row>
    <row r="128" spans="1:3" ht="47.25" x14ac:dyDescent="0.25">
      <c r="A128" s="459" t="s">
        <v>19</v>
      </c>
      <c r="B128" s="452" t="s">
        <v>26</v>
      </c>
      <c r="C128" s="452" t="s">
        <v>1197</v>
      </c>
    </row>
    <row r="129" spans="1:3" ht="47.25" x14ac:dyDescent="0.25">
      <c r="A129" s="459" t="s">
        <v>19</v>
      </c>
      <c r="B129" s="452" t="s">
        <v>781</v>
      </c>
      <c r="C129" s="457" t="s">
        <v>782</v>
      </c>
    </row>
    <row r="130" spans="1:3" ht="47.25" x14ac:dyDescent="0.25">
      <c r="A130" s="459" t="s">
        <v>19</v>
      </c>
      <c r="B130" s="452" t="s">
        <v>1178</v>
      </c>
      <c r="C130" s="452" t="s">
        <v>1179</v>
      </c>
    </row>
    <row r="131" spans="1:3" ht="78.75" x14ac:dyDescent="0.25">
      <c r="A131" s="459" t="s">
        <v>19</v>
      </c>
      <c r="B131" s="452" t="s">
        <v>1180</v>
      </c>
      <c r="C131" s="452" t="s">
        <v>1181</v>
      </c>
    </row>
    <row r="132" spans="1:3" ht="63" x14ac:dyDescent="0.25">
      <c r="A132" s="459" t="s">
        <v>19</v>
      </c>
      <c r="B132" s="452" t="s">
        <v>1182</v>
      </c>
      <c r="C132" s="452" t="s">
        <v>1183</v>
      </c>
    </row>
    <row r="133" spans="1:3" ht="63" x14ac:dyDescent="0.25">
      <c r="A133" s="459" t="s">
        <v>19</v>
      </c>
      <c r="B133" s="452" t="s">
        <v>1023</v>
      </c>
      <c r="C133" s="452" t="s">
        <v>1184</v>
      </c>
    </row>
    <row r="134" spans="1:3" ht="31.5" x14ac:dyDescent="0.25">
      <c r="A134" s="459" t="s">
        <v>19</v>
      </c>
      <c r="B134" s="452" t="s">
        <v>1185</v>
      </c>
      <c r="C134" s="452" t="s">
        <v>1186</v>
      </c>
    </row>
    <row r="135" spans="1:3" ht="63" x14ac:dyDescent="0.25">
      <c r="A135" s="459" t="s">
        <v>19</v>
      </c>
      <c r="B135" s="452" t="s">
        <v>1026</v>
      </c>
      <c r="C135" s="457" t="s">
        <v>1024</v>
      </c>
    </row>
    <row r="136" spans="1:3" ht="31.5" x14ac:dyDescent="0.25">
      <c r="A136" s="459" t="s">
        <v>19</v>
      </c>
      <c r="B136" s="452" t="s">
        <v>7</v>
      </c>
      <c r="C136" s="452" t="s">
        <v>1187</v>
      </c>
    </row>
    <row r="137" spans="1:3" ht="31.5" x14ac:dyDescent="0.25">
      <c r="A137" s="459" t="s">
        <v>19</v>
      </c>
      <c r="B137" s="452" t="s">
        <v>1156</v>
      </c>
      <c r="C137" s="452" t="s">
        <v>1157</v>
      </c>
    </row>
    <row r="138" spans="1:3" ht="47.25" x14ac:dyDescent="0.25">
      <c r="A138" s="459" t="s">
        <v>19</v>
      </c>
      <c r="B138" s="452" t="s">
        <v>1188</v>
      </c>
      <c r="C138" s="452" t="s">
        <v>1189</v>
      </c>
    </row>
    <row r="139" spans="1:3" ht="47.25" x14ac:dyDescent="0.25">
      <c r="A139" s="459" t="s">
        <v>19</v>
      </c>
      <c r="B139" s="452" t="s">
        <v>1190</v>
      </c>
      <c r="C139" s="19" t="s">
        <v>1191</v>
      </c>
    </row>
    <row r="140" spans="1:3" ht="47.25" x14ac:dyDescent="0.25">
      <c r="A140" s="459" t="s">
        <v>19</v>
      </c>
      <c r="B140" s="452" t="s">
        <v>1192</v>
      </c>
      <c r="C140" s="452" t="s">
        <v>1193</v>
      </c>
    </row>
    <row r="141" spans="1:3" x14ac:dyDescent="0.25">
      <c r="A141" s="459" t="s">
        <v>19</v>
      </c>
      <c r="B141" s="452" t="s">
        <v>1043</v>
      </c>
      <c r="C141" s="452" t="s">
        <v>17</v>
      </c>
    </row>
    <row r="142" spans="1:3" x14ac:dyDescent="0.25">
      <c r="A142" s="459" t="s">
        <v>19</v>
      </c>
      <c r="B142" s="452" t="s">
        <v>1160</v>
      </c>
      <c r="C142" s="19" t="s">
        <v>1161</v>
      </c>
    </row>
    <row r="144" spans="1:3" x14ac:dyDescent="0.25">
      <c r="A144" s="631" t="s">
        <v>1194</v>
      </c>
      <c r="B144" s="631"/>
      <c r="C144" s="631"/>
    </row>
  </sheetData>
  <mergeCells count="5">
    <mergeCell ref="A6:C6"/>
    <mergeCell ref="A9:C9"/>
    <mergeCell ref="A66:C66"/>
    <mergeCell ref="A90:C90"/>
    <mergeCell ref="A144:C144"/>
  </mergeCells>
  <pageMargins left="0.70866141732283472" right="0.70866141732283472" top="0.74803149606299213" bottom="0.74803149606299213" header="0.31496062992125984" footer="0.31496062992125984"/>
  <pageSetup paperSize="9" scale="68" fitToHeight="0"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0"/>
  <sheetViews>
    <sheetView workbookViewId="0">
      <selection activeCell="B12" sqref="B12"/>
    </sheetView>
  </sheetViews>
  <sheetFormatPr defaultRowHeight="15.75" x14ac:dyDescent="0.25"/>
  <cols>
    <col min="1" max="1" width="15.7109375" style="1" customWidth="1"/>
    <col min="2" max="2" width="30.5703125" style="1" customWidth="1"/>
    <col min="3" max="3" width="80.85546875" style="1" customWidth="1"/>
  </cols>
  <sheetData>
    <row r="1" spans="1:3" x14ac:dyDescent="0.25">
      <c r="C1" s="2" t="s">
        <v>1195</v>
      </c>
    </row>
    <row r="2" spans="1:3" x14ac:dyDescent="0.25">
      <c r="C2" s="2" t="s">
        <v>1092</v>
      </c>
    </row>
    <row r="3" spans="1:3" x14ac:dyDescent="0.25">
      <c r="C3" s="2" t="s">
        <v>0</v>
      </c>
    </row>
    <row r="4" spans="1:3" x14ac:dyDescent="0.25">
      <c r="C4" s="2" t="s">
        <v>1216</v>
      </c>
    </row>
    <row r="5" spans="1:3" x14ac:dyDescent="0.25">
      <c r="A5" s="449" t="s">
        <v>1093</v>
      </c>
    </row>
    <row r="6" spans="1:3" x14ac:dyDescent="0.25">
      <c r="A6" s="626" t="s">
        <v>1094</v>
      </c>
      <c r="B6" s="626"/>
      <c r="C6" s="626"/>
    </row>
    <row r="7" spans="1:3" x14ac:dyDescent="0.25">
      <c r="A7" s="450"/>
      <c r="B7" s="450"/>
      <c r="C7" s="450"/>
    </row>
    <row r="8" spans="1:3" x14ac:dyDescent="0.25">
      <c r="A8" s="151" t="s">
        <v>1095</v>
      </c>
      <c r="B8" s="444" t="s">
        <v>1096</v>
      </c>
      <c r="C8" s="444" t="s">
        <v>1</v>
      </c>
    </row>
    <row r="9" spans="1:3" x14ac:dyDescent="0.25">
      <c r="A9" s="627" t="s">
        <v>1097</v>
      </c>
      <c r="B9" s="627"/>
      <c r="C9" s="627"/>
    </row>
    <row r="10" spans="1:3" x14ac:dyDescent="0.25">
      <c r="A10" s="451">
        <v>182</v>
      </c>
      <c r="B10" s="452"/>
      <c r="C10" s="453" t="s">
        <v>1098</v>
      </c>
    </row>
    <row r="11" spans="1:3" ht="63" x14ac:dyDescent="0.25">
      <c r="A11" s="454">
        <v>182</v>
      </c>
      <c r="B11" s="452" t="s">
        <v>799</v>
      </c>
      <c r="C11" s="19" t="s">
        <v>1099</v>
      </c>
    </row>
    <row r="12" spans="1:3" ht="94.5" x14ac:dyDescent="0.25">
      <c r="A12" s="454">
        <v>182</v>
      </c>
      <c r="B12" s="452" t="s">
        <v>800</v>
      </c>
      <c r="C12" s="19" t="s">
        <v>801</v>
      </c>
    </row>
    <row r="13" spans="1:3" ht="31.5" x14ac:dyDescent="0.25">
      <c r="A13" s="454">
        <v>182</v>
      </c>
      <c r="B13" s="452" t="s">
        <v>802</v>
      </c>
      <c r="C13" s="19" t="s">
        <v>803</v>
      </c>
    </row>
    <row r="14" spans="1:3" x14ac:dyDescent="0.25">
      <c r="A14" s="454">
        <v>182</v>
      </c>
      <c r="B14" s="452" t="s">
        <v>804</v>
      </c>
      <c r="C14" s="19" t="s">
        <v>2</v>
      </c>
    </row>
    <row r="15" spans="1:3" ht="31.5" x14ac:dyDescent="0.25">
      <c r="A15" s="455">
        <v>182</v>
      </c>
      <c r="B15" s="456" t="s">
        <v>805</v>
      </c>
      <c r="C15" s="19" t="s">
        <v>39</v>
      </c>
    </row>
    <row r="16" spans="1:3" ht="31.5" x14ac:dyDescent="0.25">
      <c r="A16" s="454">
        <v>182</v>
      </c>
      <c r="B16" s="452" t="s">
        <v>807</v>
      </c>
      <c r="C16" s="19" t="s">
        <v>808</v>
      </c>
    </row>
    <row r="17" spans="1:3" x14ac:dyDescent="0.25">
      <c r="A17" s="454">
        <v>182</v>
      </c>
      <c r="B17" s="452" t="s">
        <v>1010</v>
      </c>
      <c r="C17" s="19" t="s">
        <v>3</v>
      </c>
    </row>
    <row r="18" spans="1:3" ht="47.25" x14ac:dyDescent="0.25">
      <c r="A18" s="454">
        <v>182</v>
      </c>
      <c r="B18" s="452" t="s">
        <v>1100</v>
      </c>
      <c r="C18" s="19" t="s">
        <v>1101</v>
      </c>
    </row>
    <row r="19" spans="1:3" ht="31.5" x14ac:dyDescent="0.25">
      <c r="A19" s="454">
        <v>182</v>
      </c>
      <c r="B19" s="452" t="s">
        <v>1102</v>
      </c>
      <c r="C19" s="19" t="s">
        <v>1103</v>
      </c>
    </row>
    <row r="20" spans="1:3" ht="31.5" x14ac:dyDescent="0.25">
      <c r="A20" s="454">
        <v>182</v>
      </c>
      <c r="B20" s="452" t="s">
        <v>809</v>
      </c>
      <c r="C20" s="19" t="s">
        <v>810</v>
      </c>
    </row>
    <row r="21" spans="1:3" ht="47.25" x14ac:dyDescent="0.25">
      <c r="A21" s="454">
        <v>182</v>
      </c>
      <c r="B21" s="452" t="s">
        <v>1104</v>
      </c>
      <c r="C21" s="19" t="s">
        <v>1105</v>
      </c>
    </row>
    <row r="22" spans="1:3" ht="31.5" x14ac:dyDescent="0.25">
      <c r="A22" s="454">
        <v>182</v>
      </c>
      <c r="B22" s="452" t="s">
        <v>1106</v>
      </c>
      <c r="C22" s="19" t="s">
        <v>1107</v>
      </c>
    </row>
    <row r="23" spans="1:3" ht="31.5" x14ac:dyDescent="0.25">
      <c r="A23" s="454">
        <v>182</v>
      </c>
      <c r="B23" s="452" t="s">
        <v>1108</v>
      </c>
      <c r="C23" s="19" t="s">
        <v>1109</v>
      </c>
    </row>
    <row r="24" spans="1:3" ht="63" x14ac:dyDescent="0.25">
      <c r="A24" s="454">
        <v>182</v>
      </c>
      <c r="B24" s="452" t="s">
        <v>813</v>
      </c>
      <c r="C24" s="19" t="s">
        <v>4</v>
      </c>
    </row>
    <row r="25" spans="1:3" ht="47.25" x14ac:dyDescent="0.25">
      <c r="A25" s="454">
        <v>182</v>
      </c>
      <c r="B25" s="452" t="s">
        <v>1080</v>
      </c>
      <c r="C25" s="19" t="s">
        <v>1110</v>
      </c>
    </row>
    <row r="26" spans="1:3" ht="47.25" x14ac:dyDescent="0.25">
      <c r="A26" s="454">
        <v>182</v>
      </c>
      <c r="B26" s="452" t="s">
        <v>1030</v>
      </c>
      <c r="C26" s="19" t="s">
        <v>1029</v>
      </c>
    </row>
    <row r="27" spans="1:3" ht="47.25" x14ac:dyDescent="0.25">
      <c r="A27" s="454">
        <v>182</v>
      </c>
      <c r="B27" s="452" t="s">
        <v>1111</v>
      </c>
      <c r="C27" s="457" t="s">
        <v>1112</v>
      </c>
    </row>
    <row r="28" spans="1:3" ht="47.25" x14ac:dyDescent="0.25">
      <c r="A28" s="454">
        <v>182</v>
      </c>
      <c r="B28" s="452" t="s">
        <v>1113</v>
      </c>
      <c r="C28" s="457" t="s">
        <v>1114</v>
      </c>
    </row>
    <row r="29" spans="1:3" x14ac:dyDescent="0.25">
      <c r="A29" s="363" t="s">
        <v>5</v>
      </c>
      <c r="B29" s="452"/>
      <c r="C29" s="458" t="s">
        <v>1115</v>
      </c>
    </row>
    <row r="30" spans="1:3" ht="31.5" x14ac:dyDescent="0.25">
      <c r="A30" s="459" t="s">
        <v>5</v>
      </c>
      <c r="B30" s="452" t="s">
        <v>784</v>
      </c>
      <c r="C30" s="19" t="s">
        <v>1116</v>
      </c>
    </row>
    <row r="31" spans="1:3" ht="31.5" x14ac:dyDescent="0.25">
      <c r="A31" s="459" t="s">
        <v>5</v>
      </c>
      <c r="B31" s="452" t="s">
        <v>786</v>
      </c>
      <c r="C31" s="19" t="s">
        <v>1117</v>
      </c>
    </row>
    <row r="32" spans="1:3" x14ac:dyDescent="0.25">
      <c r="A32" s="459" t="s">
        <v>5</v>
      </c>
      <c r="B32" s="452" t="s">
        <v>788</v>
      </c>
      <c r="C32" s="19" t="s">
        <v>1118</v>
      </c>
    </row>
    <row r="33" spans="1:3" x14ac:dyDescent="0.25">
      <c r="A33" s="459" t="s">
        <v>5</v>
      </c>
      <c r="B33" s="452" t="s">
        <v>790</v>
      </c>
      <c r="C33" s="19" t="s">
        <v>1119</v>
      </c>
    </row>
    <row r="34" spans="1:3" x14ac:dyDescent="0.25">
      <c r="A34" s="459" t="s">
        <v>5</v>
      </c>
      <c r="B34" s="452" t="s">
        <v>1120</v>
      </c>
      <c r="C34" s="460" t="s">
        <v>1121</v>
      </c>
    </row>
    <row r="35" spans="1:3" x14ac:dyDescent="0.25">
      <c r="A35" s="363" t="s">
        <v>6</v>
      </c>
      <c r="B35" s="452"/>
      <c r="C35" s="458" t="s">
        <v>1122</v>
      </c>
    </row>
    <row r="36" spans="1:3" ht="31.5" x14ac:dyDescent="0.25">
      <c r="A36" s="459" t="s">
        <v>6</v>
      </c>
      <c r="B36" s="452" t="s">
        <v>816</v>
      </c>
      <c r="C36" s="19" t="s">
        <v>8</v>
      </c>
    </row>
    <row r="37" spans="1:3" ht="31.5" x14ac:dyDescent="0.25">
      <c r="A37" s="459" t="s">
        <v>6</v>
      </c>
      <c r="B37" s="452" t="s">
        <v>1123</v>
      </c>
      <c r="C37" s="19" t="s">
        <v>1124</v>
      </c>
    </row>
    <row r="38" spans="1:3" ht="63" x14ac:dyDescent="0.25">
      <c r="A38" s="461" t="s">
        <v>6</v>
      </c>
      <c r="B38" s="456" t="s">
        <v>817</v>
      </c>
      <c r="C38" s="19" t="s">
        <v>1125</v>
      </c>
    </row>
    <row r="39" spans="1:3" x14ac:dyDescent="0.25">
      <c r="A39" s="451">
        <v>192</v>
      </c>
      <c r="B39" s="452"/>
      <c r="C39" s="458" t="s">
        <v>1126</v>
      </c>
    </row>
    <row r="40" spans="1:3" ht="63" x14ac:dyDescent="0.25">
      <c r="A40" s="454">
        <v>192</v>
      </c>
      <c r="B40" s="452" t="s">
        <v>817</v>
      </c>
      <c r="C40" s="19" t="s">
        <v>1127</v>
      </c>
    </row>
    <row r="41" spans="1:3" ht="31.5" x14ac:dyDescent="0.25">
      <c r="A41" s="454">
        <v>192</v>
      </c>
      <c r="B41" s="452" t="s">
        <v>816</v>
      </c>
      <c r="C41" s="19" t="s">
        <v>8</v>
      </c>
    </row>
    <row r="42" spans="1:3" ht="31.5" x14ac:dyDescent="0.25">
      <c r="A42" s="451">
        <v>321</v>
      </c>
      <c r="B42" s="452"/>
      <c r="C42" s="458" t="s">
        <v>1128</v>
      </c>
    </row>
    <row r="43" spans="1:3" x14ac:dyDescent="0.25">
      <c r="A43" s="454">
        <v>321</v>
      </c>
      <c r="B43" s="452" t="s">
        <v>1129</v>
      </c>
      <c r="C43" s="19" t="s">
        <v>1035</v>
      </c>
    </row>
    <row r="44" spans="1:3" x14ac:dyDescent="0.25">
      <c r="A44" s="451">
        <v>188</v>
      </c>
      <c r="B44" s="452"/>
      <c r="C44" s="458" t="s">
        <v>1130</v>
      </c>
    </row>
    <row r="45" spans="1:3" ht="47.25" x14ac:dyDescent="0.25">
      <c r="A45" s="454">
        <v>188</v>
      </c>
      <c r="B45" s="452" t="s">
        <v>814</v>
      </c>
      <c r="C45" s="457" t="s">
        <v>1112</v>
      </c>
    </row>
    <row r="46" spans="1:3" ht="47.25" x14ac:dyDescent="0.25">
      <c r="A46" s="454">
        <v>188</v>
      </c>
      <c r="B46" s="452" t="s">
        <v>1113</v>
      </c>
      <c r="C46" s="457" t="s">
        <v>1114</v>
      </c>
    </row>
    <row r="47" spans="1:3" ht="31.5" x14ac:dyDescent="0.25">
      <c r="A47" s="454">
        <v>188</v>
      </c>
      <c r="B47" s="452" t="s">
        <v>816</v>
      </c>
      <c r="C47" s="19" t="s">
        <v>8</v>
      </c>
    </row>
    <row r="48" spans="1:3" ht="31.5" x14ac:dyDescent="0.25">
      <c r="A48" s="454">
        <v>188</v>
      </c>
      <c r="B48" s="452" t="s">
        <v>1034</v>
      </c>
      <c r="C48" s="409" t="s">
        <v>1032</v>
      </c>
    </row>
    <row r="49" spans="1:3" ht="63" x14ac:dyDescent="0.25">
      <c r="A49" s="454">
        <v>188</v>
      </c>
      <c r="B49" s="452" t="s">
        <v>817</v>
      </c>
      <c r="C49" s="19" t="s">
        <v>1125</v>
      </c>
    </row>
    <row r="50" spans="1:3" ht="47.25" x14ac:dyDescent="0.25">
      <c r="A50" s="454">
        <v>188</v>
      </c>
      <c r="B50" s="452" t="s">
        <v>1131</v>
      </c>
      <c r="C50" s="457" t="s">
        <v>1132</v>
      </c>
    </row>
    <row r="51" spans="1:3" ht="47.25" x14ac:dyDescent="0.25">
      <c r="A51" s="454">
        <v>188</v>
      </c>
      <c r="B51" s="452" t="s">
        <v>1033</v>
      </c>
      <c r="C51" s="457" t="s">
        <v>1031</v>
      </c>
    </row>
    <row r="52" spans="1:3" ht="31.5" x14ac:dyDescent="0.25">
      <c r="A52" s="451">
        <v>141</v>
      </c>
      <c r="B52" s="452"/>
      <c r="C52" s="458" t="s">
        <v>1133</v>
      </c>
    </row>
    <row r="53" spans="1:3" ht="31.5" x14ac:dyDescent="0.25">
      <c r="A53" s="454">
        <v>141</v>
      </c>
      <c r="B53" s="452" t="s">
        <v>1037</v>
      </c>
      <c r="C53" s="19" t="s">
        <v>1134</v>
      </c>
    </row>
    <row r="54" spans="1:3" ht="47.25" x14ac:dyDescent="0.25">
      <c r="A54" s="454">
        <v>141</v>
      </c>
      <c r="B54" s="452" t="s">
        <v>1033</v>
      </c>
      <c r="C54" s="19" t="s">
        <v>1031</v>
      </c>
    </row>
    <row r="55" spans="1:3" ht="31.5" x14ac:dyDescent="0.25">
      <c r="A55" s="454">
        <v>141</v>
      </c>
      <c r="B55" s="452" t="s">
        <v>816</v>
      </c>
      <c r="C55" s="19" t="s">
        <v>8</v>
      </c>
    </row>
    <row r="56" spans="1:3" x14ac:dyDescent="0.25">
      <c r="A56" s="451">
        <v>100</v>
      </c>
      <c r="B56" s="452"/>
      <c r="C56" s="458" t="s">
        <v>1135</v>
      </c>
    </row>
    <row r="57" spans="1:3" x14ac:dyDescent="0.25">
      <c r="A57" s="454">
        <v>100</v>
      </c>
      <c r="B57" s="452" t="s">
        <v>1136</v>
      </c>
      <c r="C57" s="19" t="s">
        <v>1137</v>
      </c>
    </row>
    <row r="58" spans="1:3" ht="63" x14ac:dyDescent="0.25">
      <c r="A58" s="454">
        <v>100</v>
      </c>
      <c r="B58" s="452" t="s">
        <v>10</v>
      </c>
      <c r="C58" s="462" t="s">
        <v>60</v>
      </c>
    </row>
    <row r="59" spans="1:3" ht="78.75" x14ac:dyDescent="0.25">
      <c r="A59" s="454">
        <v>100</v>
      </c>
      <c r="B59" s="452" t="s">
        <v>11</v>
      </c>
      <c r="C59" s="244" t="s">
        <v>62</v>
      </c>
    </row>
    <row r="60" spans="1:3" ht="63" x14ac:dyDescent="0.25">
      <c r="A60" s="454">
        <v>100</v>
      </c>
      <c r="B60" s="452" t="s">
        <v>12</v>
      </c>
      <c r="C60" s="244" t="s">
        <v>794</v>
      </c>
    </row>
    <row r="61" spans="1:3" ht="63" x14ac:dyDescent="0.25">
      <c r="A61" s="454">
        <v>100</v>
      </c>
      <c r="B61" s="452" t="s">
        <v>13</v>
      </c>
      <c r="C61" s="244" t="s">
        <v>66</v>
      </c>
    </row>
    <row r="62" spans="1:3" x14ac:dyDescent="0.25">
      <c r="A62" s="451">
        <v>161</v>
      </c>
      <c r="B62" s="452"/>
      <c r="C62" s="458" t="s">
        <v>1138</v>
      </c>
    </row>
    <row r="63" spans="1:3" ht="47.25" x14ac:dyDescent="0.25">
      <c r="A63" s="454">
        <v>161</v>
      </c>
      <c r="B63" s="452" t="s">
        <v>1139</v>
      </c>
      <c r="C63" s="463" t="s">
        <v>1140</v>
      </c>
    </row>
    <row r="64" spans="1:3" x14ac:dyDescent="0.25">
      <c r="A64" s="628" t="s">
        <v>1141</v>
      </c>
      <c r="B64" s="629"/>
      <c r="C64" s="630"/>
    </row>
    <row r="65" spans="1:3" x14ac:dyDescent="0.25">
      <c r="A65" s="363" t="s">
        <v>1025</v>
      </c>
      <c r="B65" s="451"/>
      <c r="C65" s="451" t="s">
        <v>1142</v>
      </c>
    </row>
    <row r="66" spans="1:3" ht="31.5" x14ac:dyDescent="0.25">
      <c r="A66" s="459" t="s">
        <v>1025</v>
      </c>
      <c r="B66" s="456" t="s">
        <v>7</v>
      </c>
      <c r="C66" s="19" t="s">
        <v>8</v>
      </c>
    </row>
    <row r="67" spans="1:3" ht="63" x14ac:dyDescent="0.25">
      <c r="A67" s="459" t="s">
        <v>1025</v>
      </c>
      <c r="B67" s="456" t="s">
        <v>1143</v>
      </c>
      <c r="C67" s="457" t="s">
        <v>1024</v>
      </c>
    </row>
    <row r="68" spans="1:3" ht="47.25" x14ac:dyDescent="0.25">
      <c r="A68" s="363" t="s">
        <v>14</v>
      </c>
      <c r="B68" s="452"/>
      <c r="C68" s="458" t="s">
        <v>1144</v>
      </c>
    </row>
    <row r="69" spans="1:3" ht="31.5" x14ac:dyDescent="0.25">
      <c r="A69" s="459" t="s">
        <v>14</v>
      </c>
      <c r="B69" s="452" t="s">
        <v>7</v>
      </c>
      <c r="C69" s="19" t="s">
        <v>8</v>
      </c>
    </row>
    <row r="70" spans="1:3" ht="31.5" x14ac:dyDescent="0.25">
      <c r="A70" s="363" t="s">
        <v>792</v>
      </c>
      <c r="B70" s="452"/>
      <c r="C70" s="458" t="s">
        <v>1145</v>
      </c>
    </row>
    <row r="71" spans="1:3" ht="31.5" x14ac:dyDescent="0.25">
      <c r="A71" s="459" t="s">
        <v>792</v>
      </c>
      <c r="B71" s="452" t="s">
        <v>816</v>
      </c>
      <c r="C71" s="19" t="s">
        <v>8</v>
      </c>
    </row>
    <row r="72" spans="1:3" x14ac:dyDescent="0.25">
      <c r="A72" s="451">
        <v>906</v>
      </c>
      <c r="B72" s="19"/>
      <c r="C72" s="458" t="s">
        <v>1146</v>
      </c>
    </row>
    <row r="73" spans="1:3" ht="31.5" x14ac:dyDescent="0.25">
      <c r="A73" s="454">
        <v>906</v>
      </c>
      <c r="B73" s="452" t="s">
        <v>7</v>
      </c>
      <c r="C73" s="19" t="s">
        <v>8</v>
      </c>
    </row>
    <row r="74" spans="1:3" x14ac:dyDescent="0.25">
      <c r="A74" s="451">
        <v>117</v>
      </c>
      <c r="B74" s="452"/>
      <c r="C74" s="458" t="s">
        <v>1147</v>
      </c>
    </row>
    <row r="75" spans="1:3" ht="63" x14ac:dyDescent="0.25">
      <c r="A75" s="454">
        <v>117</v>
      </c>
      <c r="B75" s="452" t="s">
        <v>1004</v>
      </c>
      <c r="C75" s="240" t="s">
        <v>798</v>
      </c>
    </row>
    <row r="76" spans="1:3" ht="31.5" x14ac:dyDescent="0.25">
      <c r="A76" s="454">
        <v>117</v>
      </c>
      <c r="B76" s="452" t="s">
        <v>7</v>
      </c>
      <c r="C76" s="19" t="s">
        <v>8</v>
      </c>
    </row>
    <row r="77" spans="1:3" ht="31.5" x14ac:dyDescent="0.25">
      <c r="A77" s="451">
        <v>927</v>
      </c>
      <c r="B77" s="452"/>
      <c r="C77" s="458" t="s">
        <v>1148</v>
      </c>
    </row>
    <row r="78" spans="1:3" ht="31.5" x14ac:dyDescent="0.25">
      <c r="A78" s="454">
        <v>927</v>
      </c>
      <c r="B78" s="452" t="s">
        <v>9</v>
      </c>
      <c r="C78" s="19" t="s">
        <v>1124</v>
      </c>
    </row>
    <row r="79" spans="1:3" ht="31.5" x14ac:dyDescent="0.25">
      <c r="A79" s="454">
        <v>927</v>
      </c>
      <c r="B79" s="452" t="s">
        <v>7</v>
      </c>
      <c r="C79" s="19" t="s">
        <v>8</v>
      </c>
    </row>
    <row r="80" spans="1:3" x14ac:dyDescent="0.25">
      <c r="A80" s="451">
        <v>116</v>
      </c>
      <c r="B80" s="452"/>
      <c r="C80" s="458" t="s">
        <v>1149</v>
      </c>
    </row>
    <row r="81" spans="1:3" ht="31.5" x14ac:dyDescent="0.25">
      <c r="A81" s="454">
        <v>116</v>
      </c>
      <c r="B81" s="452" t="s">
        <v>7</v>
      </c>
      <c r="C81" s="19" t="s">
        <v>8</v>
      </c>
    </row>
    <row r="82" spans="1:3" x14ac:dyDescent="0.25">
      <c r="A82" s="451">
        <v>918</v>
      </c>
      <c r="B82" s="452"/>
      <c r="C82" s="458" t="s">
        <v>1150</v>
      </c>
    </row>
    <row r="83" spans="1:3" ht="31.5" x14ac:dyDescent="0.25">
      <c r="A83" s="454">
        <v>918</v>
      </c>
      <c r="B83" s="452" t="s">
        <v>7</v>
      </c>
      <c r="C83" s="19" t="s">
        <v>8</v>
      </c>
    </row>
    <row r="84" spans="1:3" ht="31.5" x14ac:dyDescent="0.25">
      <c r="A84" s="451">
        <v>106</v>
      </c>
      <c r="B84" s="452"/>
      <c r="C84" s="464" t="s">
        <v>1151</v>
      </c>
    </row>
    <row r="85" spans="1:3" ht="31.5" x14ac:dyDescent="0.25">
      <c r="A85" s="454">
        <v>106</v>
      </c>
      <c r="B85" s="452" t="s">
        <v>7</v>
      </c>
      <c r="C85" s="19" t="s">
        <v>8</v>
      </c>
    </row>
    <row r="86" spans="1:3" ht="47.25" x14ac:dyDescent="0.25">
      <c r="A86" s="451">
        <v>177</v>
      </c>
      <c r="B86" s="453"/>
      <c r="C86" s="458" t="s">
        <v>1152</v>
      </c>
    </row>
    <row r="87" spans="1:3" ht="63" x14ac:dyDescent="0.25">
      <c r="A87" s="454">
        <v>177</v>
      </c>
      <c r="B87" s="452" t="s">
        <v>817</v>
      </c>
      <c r="C87" s="240" t="s">
        <v>798</v>
      </c>
    </row>
    <row r="88" spans="1:3" x14ac:dyDescent="0.25">
      <c r="A88" s="628" t="s">
        <v>1153</v>
      </c>
      <c r="B88" s="629"/>
      <c r="C88" s="630"/>
    </row>
    <row r="89" spans="1:3" x14ac:dyDescent="0.25">
      <c r="A89" s="465" t="s">
        <v>15</v>
      </c>
      <c r="B89" s="466"/>
      <c r="C89" s="467" t="s">
        <v>28</v>
      </c>
    </row>
    <row r="90" spans="1:3" ht="31.5" x14ac:dyDescent="0.25">
      <c r="A90" s="468" t="s">
        <v>15</v>
      </c>
      <c r="B90" s="466" t="s">
        <v>1154</v>
      </c>
      <c r="C90" s="469" t="s">
        <v>1155</v>
      </c>
    </row>
    <row r="91" spans="1:3" x14ac:dyDescent="0.25">
      <c r="A91" s="468" t="s">
        <v>15</v>
      </c>
      <c r="B91" s="466" t="s">
        <v>1020</v>
      </c>
      <c r="C91" s="469" t="s">
        <v>1021</v>
      </c>
    </row>
    <row r="92" spans="1:3" ht="31.5" x14ac:dyDescent="0.25">
      <c r="A92" s="468" t="s">
        <v>15</v>
      </c>
      <c r="B92" s="466" t="s">
        <v>7</v>
      </c>
      <c r="C92" s="240" t="s">
        <v>8</v>
      </c>
    </row>
    <row r="93" spans="1:3" ht="63" x14ac:dyDescent="0.25">
      <c r="A93" s="459" t="s">
        <v>15</v>
      </c>
      <c r="B93" s="456" t="s">
        <v>1026</v>
      </c>
      <c r="C93" s="457" t="s">
        <v>1024</v>
      </c>
    </row>
    <row r="94" spans="1:3" ht="31.5" x14ac:dyDescent="0.25">
      <c r="A94" s="459" t="s">
        <v>15</v>
      </c>
      <c r="B94" s="452" t="s">
        <v>1156</v>
      </c>
      <c r="C94" s="452" t="s">
        <v>1157</v>
      </c>
    </row>
    <row r="95" spans="1:3" x14ac:dyDescent="0.25">
      <c r="A95" s="459" t="s">
        <v>15</v>
      </c>
      <c r="B95" s="452" t="s">
        <v>1158</v>
      </c>
      <c r="C95" s="452" t="s">
        <v>17</v>
      </c>
    </row>
    <row r="96" spans="1:3" ht="47.25" x14ac:dyDescent="0.25">
      <c r="A96" s="459" t="s">
        <v>15</v>
      </c>
      <c r="B96" s="452" t="s">
        <v>894</v>
      </c>
      <c r="C96" s="452" t="s">
        <v>1159</v>
      </c>
    </row>
    <row r="97" spans="1:3" x14ac:dyDescent="0.25">
      <c r="A97" s="468" t="s">
        <v>15</v>
      </c>
      <c r="B97" s="19" t="s">
        <v>1160</v>
      </c>
      <c r="C97" s="19" t="s">
        <v>1161</v>
      </c>
    </row>
    <row r="98" spans="1:3" x14ac:dyDescent="0.25">
      <c r="A98" s="363" t="s">
        <v>16</v>
      </c>
      <c r="B98" s="452"/>
      <c r="C98" s="453" t="s">
        <v>1162</v>
      </c>
    </row>
    <row r="99" spans="1:3" ht="31.5" x14ac:dyDescent="0.25">
      <c r="A99" s="459" t="s">
        <v>16</v>
      </c>
      <c r="B99" s="452" t="s">
        <v>1003</v>
      </c>
      <c r="C99" s="452" t="s">
        <v>1163</v>
      </c>
    </row>
    <row r="100" spans="1:3" x14ac:dyDescent="0.25">
      <c r="A100" s="459" t="s">
        <v>16</v>
      </c>
      <c r="B100" s="452" t="s">
        <v>1020</v>
      </c>
      <c r="C100" s="452" t="s">
        <v>1021</v>
      </c>
    </row>
    <row r="101" spans="1:3" ht="31.5" x14ac:dyDescent="0.25">
      <c r="A101" s="459" t="s">
        <v>16</v>
      </c>
      <c r="B101" s="452" t="s">
        <v>1164</v>
      </c>
      <c r="C101" s="452" t="s">
        <v>1165</v>
      </c>
    </row>
    <row r="102" spans="1:3" ht="31.5" x14ac:dyDescent="0.25">
      <c r="A102" s="459" t="s">
        <v>16</v>
      </c>
      <c r="B102" s="452" t="s">
        <v>1156</v>
      </c>
      <c r="C102" s="452" t="s">
        <v>1157</v>
      </c>
    </row>
    <row r="103" spans="1:3" x14ac:dyDescent="0.25">
      <c r="A103" s="459" t="s">
        <v>16</v>
      </c>
      <c r="B103" s="452" t="s">
        <v>1043</v>
      </c>
      <c r="C103" s="452" t="s">
        <v>17</v>
      </c>
    </row>
    <row r="104" spans="1:3" x14ac:dyDescent="0.25">
      <c r="A104" s="459" t="s">
        <v>16</v>
      </c>
      <c r="B104" s="19" t="s">
        <v>1160</v>
      </c>
      <c r="C104" s="19" t="s">
        <v>1161</v>
      </c>
    </row>
    <row r="105" spans="1:3" x14ac:dyDescent="0.25">
      <c r="A105" s="363" t="s">
        <v>18</v>
      </c>
      <c r="B105" s="19"/>
      <c r="C105" s="458" t="s">
        <v>837</v>
      </c>
    </row>
    <row r="106" spans="1:3" x14ac:dyDescent="0.25">
      <c r="A106" s="468" t="s">
        <v>18</v>
      </c>
      <c r="B106" s="466" t="s">
        <v>1020</v>
      </c>
      <c r="C106" s="469" t="s">
        <v>1021</v>
      </c>
    </row>
    <row r="107" spans="1:3" ht="63" x14ac:dyDescent="0.25">
      <c r="A107" s="459" t="s">
        <v>18</v>
      </c>
      <c r="B107" s="456" t="s">
        <v>1026</v>
      </c>
      <c r="C107" s="457" t="s">
        <v>1024</v>
      </c>
    </row>
    <row r="108" spans="1:3" ht="31.5" x14ac:dyDescent="0.25">
      <c r="A108" s="468" t="s">
        <v>18</v>
      </c>
      <c r="B108" s="466" t="s">
        <v>7</v>
      </c>
      <c r="C108" s="240" t="s">
        <v>8</v>
      </c>
    </row>
    <row r="109" spans="1:3" ht="31.5" x14ac:dyDescent="0.25">
      <c r="A109" s="459" t="s">
        <v>18</v>
      </c>
      <c r="B109" s="452" t="s">
        <v>1156</v>
      </c>
      <c r="C109" s="452" t="s">
        <v>1157</v>
      </c>
    </row>
    <row r="110" spans="1:3" x14ac:dyDescent="0.25">
      <c r="A110" s="459" t="s">
        <v>18</v>
      </c>
      <c r="B110" s="452" t="s">
        <v>1158</v>
      </c>
      <c r="C110" s="452" t="s">
        <v>17</v>
      </c>
    </row>
    <row r="111" spans="1:3" ht="47.25" x14ac:dyDescent="0.25">
      <c r="A111" s="459" t="s">
        <v>18</v>
      </c>
      <c r="B111" s="452" t="s">
        <v>894</v>
      </c>
      <c r="C111" s="452" t="s">
        <v>1159</v>
      </c>
    </row>
    <row r="112" spans="1:3" x14ac:dyDescent="0.25">
      <c r="A112" s="459" t="s">
        <v>18</v>
      </c>
      <c r="B112" s="19" t="s">
        <v>1160</v>
      </c>
      <c r="C112" s="19" t="s">
        <v>1166</v>
      </c>
    </row>
    <row r="113" spans="1:3" x14ac:dyDescent="0.25">
      <c r="A113" s="363" t="s">
        <v>19</v>
      </c>
      <c r="B113" s="452"/>
      <c r="C113" s="453" t="s">
        <v>1167</v>
      </c>
    </row>
    <row r="114" spans="1:3" s="472" customFormat="1" ht="47.25" x14ac:dyDescent="0.25">
      <c r="A114" s="470" t="s">
        <v>19</v>
      </c>
      <c r="B114" s="471" t="s">
        <v>1074</v>
      </c>
      <c r="C114" s="471" t="s">
        <v>1168</v>
      </c>
    </row>
    <row r="115" spans="1:3" s="472" customFormat="1" ht="31.5" x14ac:dyDescent="0.25">
      <c r="A115" s="470" t="s">
        <v>19</v>
      </c>
      <c r="B115" s="471" t="s">
        <v>1169</v>
      </c>
      <c r="C115" s="471" t="s">
        <v>1170</v>
      </c>
    </row>
    <row r="116" spans="1:3" ht="78.75" x14ac:dyDescent="0.25">
      <c r="A116" s="459" t="s">
        <v>19</v>
      </c>
      <c r="B116" s="452" t="s">
        <v>20</v>
      </c>
      <c r="C116" s="473" t="s">
        <v>1196</v>
      </c>
    </row>
    <row r="117" spans="1:3" ht="63" x14ac:dyDescent="0.25">
      <c r="A117" s="459" t="s">
        <v>19</v>
      </c>
      <c r="B117" s="452" t="s">
        <v>775</v>
      </c>
      <c r="C117" s="457" t="s">
        <v>1171</v>
      </c>
    </row>
    <row r="118" spans="1:3" ht="63" x14ac:dyDescent="0.25">
      <c r="A118" s="459" t="s">
        <v>19</v>
      </c>
      <c r="B118" s="452" t="s">
        <v>1015</v>
      </c>
      <c r="C118" s="452" t="s">
        <v>1172</v>
      </c>
    </row>
    <row r="119" spans="1:3" ht="63" x14ac:dyDescent="0.25">
      <c r="A119" s="459" t="s">
        <v>19</v>
      </c>
      <c r="B119" s="452" t="s">
        <v>1173</v>
      </c>
      <c r="C119" s="452" t="s">
        <v>1174</v>
      </c>
    </row>
    <row r="120" spans="1:3" ht="47.25" x14ac:dyDescent="0.25">
      <c r="A120" s="459" t="s">
        <v>19</v>
      </c>
      <c r="B120" s="452" t="s">
        <v>1175</v>
      </c>
      <c r="C120" s="452" t="s">
        <v>22</v>
      </c>
    </row>
    <row r="121" spans="1:3" ht="31.5" x14ac:dyDescent="0.25">
      <c r="A121" s="459" t="s">
        <v>19</v>
      </c>
      <c r="B121" s="452" t="s">
        <v>1176</v>
      </c>
      <c r="C121" s="452" t="s">
        <v>1155</v>
      </c>
    </row>
    <row r="122" spans="1:3" ht="63" x14ac:dyDescent="0.25">
      <c r="A122" s="459" t="s">
        <v>19</v>
      </c>
      <c r="B122" s="452" t="s">
        <v>23</v>
      </c>
      <c r="C122" s="452" t="s">
        <v>24</v>
      </c>
    </row>
    <row r="123" spans="1:3" ht="78.75" x14ac:dyDescent="0.25">
      <c r="A123" s="459" t="s">
        <v>19</v>
      </c>
      <c r="B123" s="452" t="s">
        <v>25</v>
      </c>
      <c r="C123" s="452" t="s">
        <v>1177</v>
      </c>
    </row>
    <row r="124" spans="1:3" ht="47.25" x14ac:dyDescent="0.25">
      <c r="A124" s="459" t="s">
        <v>19</v>
      </c>
      <c r="B124" s="452" t="s">
        <v>26</v>
      </c>
      <c r="C124" s="473" t="s">
        <v>1197</v>
      </c>
    </row>
    <row r="125" spans="1:3" ht="47.25" x14ac:dyDescent="0.25">
      <c r="A125" s="459" t="s">
        <v>19</v>
      </c>
      <c r="B125" s="452" t="s">
        <v>781</v>
      </c>
      <c r="C125" s="457" t="s">
        <v>782</v>
      </c>
    </row>
    <row r="126" spans="1:3" ht="47.25" x14ac:dyDescent="0.25">
      <c r="A126" s="459" t="s">
        <v>19</v>
      </c>
      <c r="B126" s="452" t="s">
        <v>1178</v>
      </c>
      <c r="C126" s="452" t="s">
        <v>1179</v>
      </c>
    </row>
    <row r="127" spans="1:3" ht="78.75" x14ac:dyDescent="0.25">
      <c r="A127" s="459" t="s">
        <v>19</v>
      </c>
      <c r="B127" s="452" t="s">
        <v>1180</v>
      </c>
      <c r="C127" s="452" t="s">
        <v>1181</v>
      </c>
    </row>
    <row r="128" spans="1:3" ht="63" x14ac:dyDescent="0.25">
      <c r="A128" s="459" t="s">
        <v>19</v>
      </c>
      <c r="B128" s="452" t="s">
        <v>1182</v>
      </c>
      <c r="C128" s="452" t="s">
        <v>1183</v>
      </c>
    </row>
    <row r="129" spans="1:3" ht="63" x14ac:dyDescent="0.25">
      <c r="A129" s="459" t="s">
        <v>19</v>
      </c>
      <c r="B129" s="452" t="s">
        <v>1023</v>
      </c>
      <c r="C129" s="452" t="s">
        <v>1184</v>
      </c>
    </row>
    <row r="130" spans="1:3" ht="31.5" x14ac:dyDescent="0.25">
      <c r="A130" s="459" t="s">
        <v>19</v>
      </c>
      <c r="B130" s="452" t="s">
        <v>1185</v>
      </c>
      <c r="C130" s="452" t="s">
        <v>1186</v>
      </c>
    </row>
    <row r="131" spans="1:3" ht="63" x14ac:dyDescent="0.25">
      <c r="A131" s="459" t="s">
        <v>19</v>
      </c>
      <c r="B131" s="452" t="s">
        <v>1026</v>
      </c>
      <c r="C131" s="457" t="s">
        <v>1024</v>
      </c>
    </row>
    <row r="132" spans="1:3" ht="31.5" x14ac:dyDescent="0.25">
      <c r="A132" s="459" t="s">
        <v>19</v>
      </c>
      <c r="B132" s="452" t="s">
        <v>7</v>
      </c>
      <c r="C132" s="452" t="s">
        <v>1187</v>
      </c>
    </row>
    <row r="133" spans="1:3" ht="31.5" x14ac:dyDescent="0.25">
      <c r="A133" s="459" t="s">
        <v>19</v>
      </c>
      <c r="B133" s="452" t="s">
        <v>1156</v>
      </c>
      <c r="C133" s="452" t="s">
        <v>1157</v>
      </c>
    </row>
    <row r="134" spans="1:3" ht="47.25" x14ac:dyDescent="0.25">
      <c r="A134" s="459" t="s">
        <v>19</v>
      </c>
      <c r="B134" s="452" t="s">
        <v>1188</v>
      </c>
      <c r="C134" s="452" t="s">
        <v>1189</v>
      </c>
    </row>
    <row r="135" spans="1:3" ht="47.25" x14ac:dyDescent="0.25">
      <c r="A135" s="459" t="s">
        <v>19</v>
      </c>
      <c r="B135" s="452" t="s">
        <v>1190</v>
      </c>
      <c r="C135" s="19" t="s">
        <v>1191</v>
      </c>
    </row>
    <row r="136" spans="1:3" ht="47.25" x14ac:dyDescent="0.25">
      <c r="A136" s="459" t="s">
        <v>19</v>
      </c>
      <c r="B136" s="452" t="s">
        <v>1192</v>
      </c>
      <c r="C136" s="452" t="s">
        <v>1193</v>
      </c>
    </row>
    <row r="137" spans="1:3" x14ac:dyDescent="0.25">
      <c r="A137" s="459" t="s">
        <v>19</v>
      </c>
      <c r="B137" s="452" t="s">
        <v>1043</v>
      </c>
      <c r="C137" s="452" t="s">
        <v>17</v>
      </c>
    </row>
    <row r="138" spans="1:3" x14ac:dyDescent="0.25">
      <c r="A138" s="459" t="s">
        <v>19</v>
      </c>
      <c r="B138" s="452" t="s">
        <v>1160</v>
      </c>
      <c r="C138" s="19" t="s">
        <v>1161</v>
      </c>
    </row>
    <row r="140" spans="1:3" x14ac:dyDescent="0.25">
      <c r="A140" s="631" t="s">
        <v>1194</v>
      </c>
      <c r="B140" s="631"/>
      <c r="C140" s="631"/>
    </row>
  </sheetData>
  <mergeCells count="5">
    <mergeCell ref="A6:C6"/>
    <mergeCell ref="A9:C9"/>
    <mergeCell ref="A64:C64"/>
    <mergeCell ref="A88:C88"/>
    <mergeCell ref="A140:C140"/>
  </mergeCells>
  <pageMargins left="0.70866141732283472" right="0.31496062992125984" top="0.35433070866141736" bottom="0.35433070866141736" header="0.31496062992125984" footer="0.31496062992125984"/>
  <pageSetup paperSize="9" scale="7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7" workbookViewId="0">
      <selection activeCell="F9" sqref="F9"/>
    </sheetView>
  </sheetViews>
  <sheetFormatPr defaultRowHeight="15" x14ac:dyDescent="0.25"/>
  <cols>
    <col min="1" max="1" width="38.5703125" customWidth="1"/>
    <col min="2" max="2" width="14.42578125" customWidth="1"/>
    <col min="3" max="3" width="15.28515625" customWidth="1"/>
    <col min="4" max="4" width="13.7109375" customWidth="1"/>
    <col min="5" max="5" width="15.5703125" customWidth="1"/>
    <col min="6" max="6" width="34" customWidth="1"/>
    <col min="7" max="7" width="18.5703125" customWidth="1"/>
  </cols>
  <sheetData>
    <row r="1" spans="1:7" ht="15.75" x14ac:dyDescent="0.25">
      <c r="G1" s="474" t="s">
        <v>1215</v>
      </c>
    </row>
    <row r="2" spans="1:7" ht="15.75" x14ac:dyDescent="0.25">
      <c r="G2" s="474" t="s">
        <v>30</v>
      </c>
    </row>
    <row r="3" spans="1:7" ht="15.75" x14ac:dyDescent="0.25">
      <c r="G3" s="474" t="s">
        <v>258</v>
      </c>
    </row>
    <row r="4" spans="1:7" ht="15.75" x14ac:dyDescent="0.25">
      <c r="G4" s="2" t="s">
        <v>1216</v>
      </c>
    </row>
    <row r="6" spans="1:7" ht="15.75" x14ac:dyDescent="0.25">
      <c r="A6" s="543" t="s">
        <v>1198</v>
      </c>
      <c r="B6" s="543"/>
      <c r="C6" s="543"/>
      <c r="D6" s="543"/>
      <c r="E6" s="543"/>
      <c r="F6" s="543"/>
      <c r="G6" s="543"/>
    </row>
    <row r="7" spans="1:7" ht="15.75" x14ac:dyDescent="0.25">
      <c r="A7" s="1"/>
      <c r="B7" s="1"/>
      <c r="C7" s="1"/>
      <c r="D7" s="1"/>
      <c r="E7" s="1"/>
      <c r="F7" s="1"/>
      <c r="G7" s="1"/>
    </row>
    <row r="8" spans="1:7" ht="33" customHeight="1" x14ac:dyDescent="0.25">
      <c r="A8" s="632" t="s">
        <v>1199</v>
      </c>
      <c r="B8" s="633" t="s">
        <v>1200</v>
      </c>
      <c r="C8" s="634"/>
      <c r="D8" s="635"/>
      <c r="E8" s="636" t="s">
        <v>1201</v>
      </c>
      <c r="F8" s="637"/>
      <c r="G8" s="638"/>
    </row>
    <row r="9" spans="1:7" ht="34.5" customHeight="1" x14ac:dyDescent="0.25">
      <c r="A9" s="632"/>
      <c r="B9" s="26">
        <v>2017</v>
      </c>
      <c r="C9" s="26">
        <v>2018</v>
      </c>
      <c r="D9" s="26">
        <v>2019</v>
      </c>
      <c r="E9" s="26" t="s">
        <v>1202</v>
      </c>
      <c r="F9" s="26" t="s">
        <v>1203</v>
      </c>
      <c r="G9" s="26" t="s">
        <v>1204</v>
      </c>
    </row>
    <row r="10" spans="1:7" ht="64.5" customHeight="1" x14ac:dyDescent="0.25">
      <c r="A10" s="476" t="s">
        <v>1205</v>
      </c>
      <c r="B10" s="23">
        <v>0</v>
      </c>
      <c r="C10" s="23">
        <v>0</v>
      </c>
      <c r="D10" s="477">
        <v>0</v>
      </c>
      <c r="E10" s="476" t="s">
        <v>1206</v>
      </c>
      <c r="F10" s="476" t="s">
        <v>1214</v>
      </c>
      <c r="G10" s="476" t="s">
        <v>1207</v>
      </c>
    </row>
    <row r="11" spans="1:7" ht="66.75" customHeight="1" x14ac:dyDescent="0.25">
      <c r="A11" s="480" t="s">
        <v>1208</v>
      </c>
      <c r="B11" s="481">
        <v>3000000</v>
      </c>
      <c r="C11" s="23">
        <v>0</v>
      </c>
      <c r="D11" s="478">
        <v>0</v>
      </c>
      <c r="E11" s="25" t="s">
        <v>1209</v>
      </c>
      <c r="F11" s="476" t="s">
        <v>1210</v>
      </c>
      <c r="G11" s="476" t="s">
        <v>1207</v>
      </c>
    </row>
    <row r="12" spans="1:7" ht="64.5" customHeight="1" x14ac:dyDescent="0.25">
      <c r="A12" s="476" t="s">
        <v>1211</v>
      </c>
      <c r="B12" s="23">
        <v>0</v>
      </c>
      <c r="C12" s="23">
        <v>0</v>
      </c>
      <c r="D12" s="478">
        <v>0</v>
      </c>
      <c r="E12" s="25" t="s">
        <v>1209</v>
      </c>
      <c r="F12" s="476" t="s">
        <v>1212</v>
      </c>
      <c r="G12" s="476" t="s">
        <v>1207</v>
      </c>
    </row>
    <row r="13" spans="1:7" ht="15.75" x14ac:dyDescent="0.25">
      <c r="A13" s="282" t="s">
        <v>1213</v>
      </c>
      <c r="B13" s="482">
        <f>SUM(B11:B12)</f>
        <v>3000000</v>
      </c>
      <c r="C13" s="478">
        <f>SUM(C11:C12)</f>
        <v>0</v>
      </c>
      <c r="D13" s="478">
        <f>SUM(D11:D12)</f>
        <v>0</v>
      </c>
      <c r="E13" s="475" t="s">
        <v>185</v>
      </c>
      <c r="F13" s="475" t="s">
        <v>185</v>
      </c>
      <c r="G13" s="475" t="s">
        <v>185</v>
      </c>
    </row>
  </sheetData>
  <mergeCells count="4">
    <mergeCell ref="A6:G6"/>
    <mergeCell ref="A8:A9"/>
    <mergeCell ref="B8:D8"/>
    <mergeCell ref="E8:G8"/>
  </mergeCells>
  <pageMargins left="0.51181102362204722" right="0.51181102362204722" top="0.74803149606299213" bottom="0.55118110236220474" header="0.31496062992125984" footer="0.31496062992125984"/>
  <pageSetup paperSize="9"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4"/>
  <sheetViews>
    <sheetView workbookViewId="0">
      <selection activeCell="J42" sqref="J42"/>
    </sheetView>
  </sheetViews>
  <sheetFormatPr defaultRowHeight="15.75" x14ac:dyDescent="0.25"/>
  <cols>
    <col min="1" max="1" width="6.5703125" style="3" customWidth="1"/>
    <col min="2" max="2" width="4.7109375" style="1" customWidth="1"/>
    <col min="3" max="4" width="4.28515625" style="1" customWidth="1"/>
    <col min="5" max="5" width="6.7109375" style="1" customWidth="1"/>
    <col min="6" max="6" width="3.7109375" style="1" customWidth="1"/>
    <col min="7" max="7" width="5" style="1" customWidth="1"/>
    <col min="8" max="8" width="8.42578125" style="130" customWidth="1"/>
    <col min="9" max="9" width="69.7109375" style="1" customWidth="1"/>
    <col min="10" max="10" width="15.7109375" style="27" customWidth="1"/>
    <col min="11" max="12" width="15.7109375" style="3" customWidth="1"/>
    <col min="13"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658" t="s">
        <v>920</v>
      </c>
      <c r="B1" s="658"/>
      <c r="C1" s="658"/>
      <c r="D1" s="658"/>
      <c r="E1" s="658"/>
      <c r="F1" s="658"/>
      <c r="G1" s="658"/>
      <c r="H1" s="658"/>
      <c r="I1" s="658"/>
      <c r="J1" s="658"/>
      <c r="K1" s="658"/>
      <c r="L1" s="658"/>
    </row>
    <row r="2" spans="1:12" x14ac:dyDescent="0.25">
      <c r="A2" s="543" t="s">
        <v>928</v>
      </c>
      <c r="B2" s="543"/>
      <c r="C2" s="543"/>
      <c r="D2" s="543"/>
      <c r="E2" s="543"/>
      <c r="F2" s="543"/>
      <c r="G2" s="543"/>
      <c r="H2" s="543"/>
      <c r="I2" s="543"/>
      <c r="J2" s="543"/>
      <c r="K2" s="543"/>
      <c r="L2" s="543"/>
    </row>
    <row r="4" spans="1:12" x14ac:dyDescent="0.25">
      <c r="A4" s="649" t="s">
        <v>524</v>
      </c>
      <c r="B4" s="649"/>
      <c r="C4" s="649"/>
      <c r="D4" s="649"/>
      <c r="E4" s="649"/>
      <c r="F4" s="649"/>
      <c r="G4" s="649"/>
      <c r="H4" s="649"/>
      <c r="I4" s="649"/>
      <c r="J4" s="649"/>
      <c r="K4" s="649"/>
      <c r="L4" s="649"/>
    </row>
    <row r="5" spans="1:12" x14ac:dyDescent="0.25">
      <c r="A5" s="659" t="s">
        <v>173</v>
      </c>
      <c r="B5" s="651" t="s">
        <v>121</v>
      </c>
      <c r="C5" s="652"/>
      <c r="D5" s="652"/>
      <c r="E5" s="652"/>
      <c r="F5" s="652"/>
      <c r="G5" s="652"/>
      <c r="H5" s="653"/>
      <c r="I5" s="544" t="s">
        <v>1</v>
      </c>
      <c r="J5" s="548" t="s">
        <v>525</v>
      </c>
      <c r="K5" s="549"/>
      <c r="L5" s="550"/>
    </row>
    <row r="6" spans="1:12" x14ac:dyDescent="0.25">
      <c r="A6" s="660"/>
      <c r="B6" s="654"/>
      <c r="C6" s="655"/>
      <c r="D6" s="655"/>
      <c r="E6" s="655"/>
      <c r="F6" s="655"/>
      <c r="G6" s="655"/>
      <c r="H6" s="656"/>
      <c r="I6" s="545"/>
      <c r="J6" s="317">
        <v>2017</v>
      </c>
      <c r="K6" s="78">
        <v>2018</v>
      </c>
      <c r="L6" s="78">
        <v>2019</v>
      </c>
    </row>
    <row r="7" spans="1:12" x14ac:dyDescent="0.25">
      <c r="A7" s="285">
        <v>1</v>
      </c>
      <c r="B7" s="267"/>
      <c r="C7" s="267"/>
      <c r="D7" s="267"/>
      <c r="E7" s="267"/>
      <c r="F7" s="267"/>
      <c r="G7" s="267"/>
      <c r="H7" s="267"/>
      <c r="I7" s="272"/>
      <c r="J7" s="266"/>
      <c r="K7" s="40">
        <v>0</v>
      </c>
      <c r="L7" s="40">
        <v>0</v>
      </c>
    </row>
    <row r="8" spans="1:12" x14ac:dyDescent="0.25">
      <c r="A8" s="285"/>
      <c r="B8" s="131"/>
      <c r="C8" s="131"/>
      <c r="D8" s="131"/>
      <c r="E8" s="131"/>
      <c r="F8" s="131"/>
      <c r="G8" s="131"/>
      <c r="H8" s="131"/>
      <c r="I8" s="121"/>
      <c r="J8" s="40"/>
      <c r="K8" s="40"/>
      <c r="L8" s="40"/>
    </row>
    <row r="9" spans="1:12" ht="0.75" customHeight="1" x14ac:dyDescent="0.25">
      <c r="A9" s="285"/>
      <c r="B9" s="131"/>
      <c r="C9" s="131"/>
      <c r="D9" s="131"/>
      <c r="E9" s="131"/>
      <c r="F9" s="131"/>
      <c r="G9" s="131"/>
      <c r="H9" s="131"/>
      <c r="I9" s="120"/>
      <c r="J9" s="40"/>
      <c r="K9" s="40"/>
      <c r="L9" s="40"/>
    </row>
    <row r="10" spans="1:12" hidden="1" x14ac:dyDescent="0.25">
      <c r="A10" s="285"/>
      <c r="B10" s="131"/>
      <c r="C10" s="131"/>
      <c r="D10" s="131"/>
      <c r="E10" s="131"/>
      <c r="F10" s="131"/>
      <c r="G10" s="131"/>
      <c r="H10" s="131"/>
      <c r="I10" s="121"/>
      <c r="J10" s="40"/>
      <c r="K10" s="40"/>
      <c r="L10" s="40"/>
    </row>
    <row r="11" spans="1:12" hidden="1" x14ac:dyDescent="0.25">
      <c r="A11" s="285"/>
      <c r="B11" s="131"/>
      <c r="C11" s="131"/>
      <c r="D11" s="131"/>
      <c r="E11" s="131"/>
      <c r="F11" s="131"/>
      <c r="G11" s="131"/>
      <c r="H11" s="131"/>
      <c r="I11" s="116"/>
      <c r="J11" s="40"/>
      <c r="K11" s="40"/>
      <c r="L11" s="40"/>
    </row>
    <row r="12" spans="1:12" hidden="1" x14ac:dyDescent="0.25">
      <c r="A12" s="285"/>
      <c r="B12" s="131"/>
      <c r="C12" s="131"/>
      <c r="D12" s="131"/>
      <c r="E12" s="131"/>
      <c r="F12" s="131"/>
      <c r="G12" s="131"/>
      <c r="H12" s="131"/>
      <c r="I12" s="116"/>
      <c r="J12" s="40"/>
      <c r="K12" s="40"/>
      <c r="L12" s="40"/>
    </row>
    <row r="13" spans="1:12" hidden="1" x14ac:dyDescent="0.25">
      <c r="A13" s="285"/>
      <c r="B13" s="131"/>
      <c r="C13" s="131"/>
      <c r="D13" s="131"/>
      <c r="E13" s="131"/>
      <c r="F13" s="131"/>
      <c r="G13" s="131"/>
      <c r="H13" s="131"/>
      <c r="I13" s="116"/>
      <c r="J13" s="40"/>
      <c r="K13" s="40"/>
      <c r="L13" s="40"/>
    </row>
    <row r="14" spans="1:12" hidden="1" x14ac:dyDescent="0.25">
      <c r="A14" s="285"/>
      <c r="B14" s="131"/>
      <c r="C14" s="131"/>
      <c r="D14" s="131"/>
      <c r="E14" s="131"/>
      <c r="F14" s="131"/>
      <c r="G14" s="131"/>
      <c r="H14" s="131"/>
      <c r="I14" s="116"/>
      <c r="J14" s="40"/>
      <c r="K14" s="40"/>
      <c r="L14" s="40"/>
    </row>
    <row r="15" spans="1:12" hidden="1" x14ac:dyDescent="0.25">
      <c r="A15" s="285"/>
      <c r="B15" s="131"/>
      <c r="C15" s="131"/>
      <c r="D15" s="131"/>
      <c r="E15" s="131"/>
      <c r="F15" s="131"/>
      <c r="G15" s="131"/>
      <c r="H15" s="131"/>
      <c r="I15" s="116"/>
      <c r="J15" s="40"/>
      <c r="K15" s="40"/>
      <c r="L15" s="40"/>
    </row>
    <row r="16" spans="1:12" hidden="1" x14ac:dyDescent="0.25">
      <c r="A16" s="285"/>
      <c r="B16" s="131"/>
      <c r="C16" s="131"/>
      <c r="D16" s="131"/>
      <c r="E16" s="131"/>
      <c r="F16" s="131"/>
      <c r="G16" s="131"/>
      <c r="H16" s="131"/>
      <c r="I16" s="116"/>
      <c r="J16" s="40"/>
      <c r="K16" s="40"/>
      <c r="L16" s="40"/>
    </row>
    <row r="17" spans="1:12" hidden="1" x14ac:dyDescent="0.25">
      <c r="A17" s="285"/>
      <c r="B17" s="286"/>
      <c r="C17" s="286"/>
      <c r="D17" s="286"/>
      <c r="E17" s="286"/>
      <c r="F17" s="286"/>
      <c r="G17" s="286"/>
      <c r="H17" s="286"/>
      <c r="I17" s="287"/>
      <c r="J17" s="40"/>
      <c r="K17" s="40"/>
      <c r="L17" s="40"/>
    </row>
    <row r="18" spans="1:12" hidden="1" x14ac:dyDescent="0.25">
      <c r="A18" s="288"/>
      <c r="B18" s="133"/>
      <c r="C18" s="133"/>
      <c r="D18" s="133"/>
      <c r="E18" s="133"/>
      <c r="F18" s="133"/>
      <c r="G18" s="133"/>
      <c r="H18" s="133"/>
      <c r="I18" s="132"/>
      <c r="J18" s="134"/>
      <c r="K18" s="84"/>
      <c r="L18" s="84"/>
    </row>
    <row r="19" spans="1:12" hidden="1" x14ac:dyDescent="0.25">
      <c r="A19" s="289"/>
      <c r="B19" s="133"/>
      <c r="C19" s="133"/>
      <c r="D19" s="133"/>
      <c r="E19" s="133"/>
      <c r="F19" s="133"/>
      <c r="G19" s="133"/>
      <c r="H19" s="133"/>
      <c r="I19" s="132"/>
      <c r="J19" s="134"/>
      <c r="K19" s="84"/>
      <c r="L19" s="84"/>
    </row>
    <row r="20" spans="1:12" hidden="1" x14ac:dyDescent="0.25">
      <c r="A20" s="135"/>
      <c r="B20" s="133"/>
      <c r="C20" s="133"/>
      <c r="D20" s="133"/>
      <c r="E20" s="133"/>
      <c r="F20" s="133"/>
      <c r="G20" s="133"/>
      <c r="H20" s="133"/>
      <c r="I20" s="132"/>
      <c r="J20" s="136"/>
      <c r="K20" s="84"/>
      <c r="L20" s="84"/>
    </row>
    <row r="21" spans="1:12" hidden="1" x14ac:dyDescent="0.25">
      <c r="A21" s="135"/>
      <c r="B21" s="133"/>
      <c r="C21" s="133"/>
      <c r="D21" s="133"/>
      <c r="E21" s="133"/>
      <c r="F21" s="133"/>
      <c r="G21" s="133"/>
      <c r="H21" s="133"/>
      <c r="I21" s="137"/>
      <c r="J21" s="134"/>
      <c r="K21" s="138"/>
      <c r="L21" s="138"/>
    </row>
    <row r="22" spans="1:12" hidden="1" x14ac:dyDescent="0.25">
      <c r="A22" s="135"/>
      <c r="B22" s="133"/>
      <c r="C22" s="133"/>
      <c r="D22" s="133"/>
      <c r="E22" s="133"/>
      <c r="F22" s="133"/>
      <c r="G22" s="133"/>
      <c r="H22" s="133"/>
      <c r="I22" s="137"/>
      <c r="J22" s="136"/>
      <c r="K22" s="84"/>
      <c r="L22" s="84"/>
    </row>
    <row r="23" spans="1:12" hidden="1" x14ac:dyDescent="0.25">
      <c r="A23" s="135"/>
      <c r="B23" s="133"/>
      <c r="C23" s="133"/>
      <c r="D23" s="133"/>
      <c r="E23" s="133"/>
      <c r="F23" s="133"/>
      <c r="G23" s="133"/>
      <c r="H23" s="133"/>
      <c r="I23" s="139"/>
      <c r="J23" s="136"/>
      <c r="K23" s="84"/>
      <c r="L23" s="84"/>
    </row>
    <row r="24" spans="1:12" hidden="1" x14ac:dyDescent="0.25">
      <c r="A24" s="135"/>
      <c r="B24" s="133"/>
      <c r="C24" s="133"/>
      <c r="D24" s="133"/>
      <c r="E24" s="133"/>
      <c r="F24" s="133"/>
      <c r="G24" s="133"/>
      <c r="H24" s="133"/>
      <c r="I24" s="137"/>
      <c r="J24" s="136"/>
      <c r="K24" s="84"/>
      <c r="L24" s="84"/>
    </row>
    <row r="25" spans="1:12" hidden="1" x14ac:dyDescent="0.25">
      <c r="A25" s="135"/>
      <c r="B25" s="133"/>
      <c r="C25" s="133"/>
      <c r="D25" s="133"/>
      <c r="E25" s="133"/>
      <c r="F25" s="133"/>
      <c r="G25" s="133"/>
      <c r="H25" s="133"/>
      <c r="I25" s="137"/>
      <c r="J25" s="136"/>
      <c r="K25" s="84"/>
      <c r="L25" s="84"/>
    </row>
    <row r="26" spans="1:12" hidden="1" x14ac:dyDescent="0.25">
      <c r="A26" s="135"/>
      <c r="B26" s="133"/>
      <c r="C26" s="133"/>
      <c r="D26" s="133"/>
      <c r="E26" s="133"/>
      <c r="F26" s="133"/>
      <c r="G26" s="133"/>
      <c r="H26" s="133"/>
      <c r="I26" s="132"/>
      <c r="J26" s="136"/>
      <c r="K26" s="84"/>
      <c r="L26" s="84"/>
    </row>
    <row r="27" spans="1:12" hidden="1" x14ac:dyDescent="0.25">
      <c r="A27" s="135"/>
      <c r="B27" s="133"/>
      <c r="C27" s="133"/>
      <c r="D27" s="133"/>
      <c r="E27" s="133"/>
      <c r="F27" s="133"/>
      <c r="G27" s="133"/>
      <c r="H27" s="133"/>
      <c r="I27" s="137"/>
      <c r="J27" s="136"/>
      <c r="K27" s="84"/>
      <c r="L27" s="84"/>
    </row>
    <row r="28" spans="1:12" hidden="1" x14ac:dyDescent="0.25">
      <c r="A28" s="135"/>
      <c r="B28" s="133"/>
      <c r="C28" s="133"/>
      <c r="D28" s="133"/>
      <c r="E28" s="133"/>
      <c r="F28" s="133"/>
      <c r="G28" s="133"/>
      <c r="H28" s="133"/>
      <c r="I28" s="137"/>
      <c r="J28" s="136"/>
      <c r="K28" s="84"/>
      <c r="L28" s="84"/>
    </row>
    <row r="29" spans="1:12" hidden="1" x14ac:dyDescent="0.25">
      <c r="A29" s="135"/>
      <c r="B29" s="133"/>
      <c r="C29" s="133"/>
      <c r="D29" s="133"/>
      <c r="E29" s="133"/>
      <c r="F29" s="133"/>
      <c r="G29" s="133"/>
      <c r="H29" s="133"/>
      <c r="I29" s="132"/>
      <c r="J29" s="136"/>
      <c r="K29" s="84"/>
      <c r="L29" s="84"/>
    </row>
    <row r="30" spans="1:12" hidden="1" x14ac:dyDescent="0.25">
      <c r="A30" s="135"/>
      <c r="B30" s="140"/>
      <c r="C30" s="140"/>
      <c r="D30" s="140"/>
      <c r="E30" s="140"/>
      <c r="F30" s="140"/>
      <c r="G30" s="140"/>
      <c r="H30" s="140"/>
      <c r="I30" s="290"/>
      <c r="J30" s="136"/>
      <c r="K30" s="84"/>
      <c r="L30" s="84"/>
    </row>
    <row r="31" spans="1:12" hidden="1" x14ac:dyDescent="0.25">
      <c r="A31" s="135"/>
      <c r="B31" s="133"/>
      <c r="C31" s="133"/>
      <c r="D31" s="133"/>
      <c r="E31" s="133"/>
      <c r="F31" s="133"/>
      <c r="G31" s="133"/>
      <c r="H31" s="133"/>
      <c r="I31" s="137"/>
      <c r="J31" s="136"/>
      <c r="K31" s="84"/>
      <c r="L31" s="84"/>
    </row>
    <row r="32" spans="1:12" hidden="1" x14ac:dyDescent="0.25">
      <c r="A32" s="135"/>
      <c r="B32" s="133"/>
      <c r="C32" s="133"/>
      <c r="D32" s="133"/>
      <c r="E32" s="133"/>
      <c r="F32" s="133"/>
      <c r="G32" s="133"/>
      <c r="H32" s="133"/>
      <c r="I32" s="137"/>
      <c r="J32" s="136"/>
      <c r="K32" s="84"/>
      <c r="L32" s="84"/>
    </row>
    <row r="33" spans="1:12" hidden="1" x14ac:dyDescent="0.25">
      <c r="A33" s="135"/>
      <c r="B33" s="133"/>
      <c r="C33" s="133"/>
      <c r="D33" s="133"/>
      <c r="E33" s="133"/>
      <c r="F33" s="133"/>
      <c r="G33" s="133"/>
      <c r="H33" s="133"/>
      <c r="I33" s="137"/>
      <c r="J33" s="136"/>
      <c r="K33" s="84"/>
      <c r="L33" s="84"/>
    </row>
    <row r="34" spans="1:12" hidden="1" x14ac:dyDescent="0.25">
      <c r="A34" s="135"/>
      <c r="B34" s="141"/>
      <c r="C34" s="141"/>
      <c r="D34" s="141"/>
      <c r="E34" s="141"/>
      <c r="F34" s="141"/>
      <c r="G34" s="141"/>
      <c r="H34" s="142"/>
      <c r="I34" s="291"/>
      <c r="J34" s="136"/>
      <c r="K34" s="84"/>
      <c r="L34" s="84"/>
    </row>
    <row r="35" spans="1:12" hidden="1" x14ac:dyDescent="0.25">
      <c r="A35" s="135"/>
      <c r="B35" s="143"/>
      <c r="C35" s="144"/>
      <c r="D35" s="144"/>
      <c r="E35" s="144"/>
      <c r="F35" s="144"/>
      <c r="G35" s="144"/>
      <c r="H35" s="145"/>
      <c r="I35" s="292"/>
      <c r="J35" s="136"/>
      <c r="K35" s="84"/>
      <c r="L35" s="84"/>
    </row>
    <row r="36" spans="1:12" hidden="1" x14ac:dyDescent="0.25">
      <c r="A36" s="135"/>
      <c r="B36" s="143"/>
      <c r="C36" s="144"/>
      <c r="D36" s="144"/>
      <c r="E36" s="144"/>
      <c r="F36" s="144"/>
      <c r="G36" s="144"/>
      <c r="H36" s="145"/>
      <c r="I36" s="146"/>
      <c r="J36" s="136"/>
      <c r="K36" s="84"/>
      <c r="L36" s="84"/>
    </row>
    <row r="37" spans="1:12" x14ac:dyDescent="0.25">
      <c r="A37" s="135"/>
      <c r="B37" s="133"/>
      <c r="C37" s="133"/>
      <c r="D37" s="133"/>
      <c r="E37" s="133"/>
      <c r="F37" s="133"/>
      <c r="G37" s="133"/>
      <c r="H37" s="133"/>
      <c r="I37" s="132"/>
      <c r="J37" s="81"/>
      <c r="K37" s="84"/>
      <c r="L37" s="84"/>
    </row>
    <row r="38" spans="1:12" x14ac:dyDescent="0.25">
      <c r="A38" s="82"/>
      <c r="B38" s="666" t="s">
        <v>526</v>
      </c>
      <c r="C38" s="666"/>
      <c r="D38" s="666"/>
      <c r="E38" s="666"/>
      <c r="F38" s="666"/>
      <c r="G38" s="666"/>
      <c r="H38" s="666"/>
      <c r="I38" s="666"/>
      <c r="J38" s="45">
        <f>SUM(J7:J36)</f>
        <v>0</v>
      </c>
      <c r="K38" s="45">
        <v>0</v>
      </c>
      <c r="L38" s="45">
        <f>SUM(L7:L36)</f>
        <v>0</v>
      </c>
    </row>
    <row r="39" spans="1:12" x14ac:dyDescent="0.25">
      <c r="B39" s="130"/>
      <c r="C39" s="130"/>
      <c r="D39" s="130"/>
      <c r="E39" s="130"/>
      <c r="F39" s="130"/>
      <c r="G39" s="130"/>
    </row>
    <row r="40" spans="1:12" x14ac:dyDescent="0.25">
      <c r="B40" s="649" t="s">
        <v>527</v>
      </c>
      <c r="C40" s="649"/>
      <c r="D40" s="649"/>
      <c r="E40" s="649"/>
      <c r="F40" s="649"/>
      <c r="G40" s="649"/>
      <c r="H40" s="649"/>
      <c r="I40" s="649"/>
      <c r="J40" s="649"/>
    </row>
    <row r="41" spans="1:12" x14ac:dyDescent="0.25">
      <c r="A41" s="667" t="s">
        <v>173</v>
      </c>
      <c r="B41" s="651" t="s">
        <v>121</v>
      </c>
      <c r="C41" s="652"/>
      <c r="D41" s="652"/>
      <c r="E41" s="652"/>
      <c r="F41" s="652"/>
      <c r="G41" s="652"/>
      <c r="H41" s="653"/>
      <c r="I41" s="544" t="s">
        <v>1</v>
      </c>
      <c r="J41" s="548" t="s">
        <v>525</v>
      </c>
      <c r="K41" s="549"/>
      <c r="L41" s="550"/>
    </row>
    <row r="42" spans="1:12" x14ac:dyDescent="0.25">
      <c r="A42" s="668"/>
      <c r="B42" s="654"/>
      <c r="C42" s="655"/>
      <c r="D42" s="655"/>
      <c r="E42" s="655"/>
      <c r="F42" s="655"/>
      <c r="G42" s="655"/>
      <c r="H42" s="656"/>
      <c r="I42" s="545"/>
      <c r="J42" s="317">
        <v>2017</v>
      </c>
      <c r="K42" s="78">
        <v>2018</v>
      </c>
      <c r="L42" s="78">
        <v>2019</v>
      </c>
    </row>
    <row r="43" spans="1:12" x14ac:dyDescent="0.25">
      <c r="A43" s="135"/>
      <c r="B43" s="650"/>
      <c r="C43" s="650"/>
      <c r="D43" s="650"/>
      <c r="E43" s="650"/>
      <c r="F43" s="650"/>
      <c r="G43" s="650"/>
      <c r="H43" s="650"/>
      <c r="I43" s="137"/>
      <c r="J43" s="40"/>
      <c r="K43" s="84"/>
      <c r="L43" s="84"/>
    </row>
    <row r="44" spans="1:12" x14ac:dyDescent="0.25">
      <c r="A44" s="135"/>
      <c r="B44" s="644"/>
      <c r="C44" s="645"/>
      <c r="D44" s="645"/>
      <c r="E44" s="645"/>
      <c r="F44" s="645"/>
      <c r="G44" s="645"/>
      <c r="H44" s="646"/>
      <c r="I44" s="20"/>
      <c r="J44" s="40"/>
      <c r="K44" s="84">
        <v>0</v>
      </c>
      <c r="L44" s="84">
        <v>0</v>
      </c>
    </row>
    <row r="45" spans="1:12" hidden="1" x14ac:dyDescent="0.25">
      <c r="A45" s="135"/>
      <c r="B45" s="644"/>
      <c r="C45" s="645"/>
      <c r="D45" s="645"/>
      <c r="E45" s="645"/>
      <c r="F45" s="645"/>
      <c r="G45" s="645"/>
      <c r="H45" s="646"/>
      <c r="I45" s="137"/>
      <c r="J45" s="40"/>
      <c r="K45" s="84"/>
      <c r="L45" s="84"/>
    </row>
    <row r="46" spans="1:12" hidden="1" x14ac:dyDescent="0.25">
      <c r="A46" s="135"/>
      <c r="B46" s="644"/>
      <c r="C46" s="645"/>
      <c r="D46" s="645"/>
      <c r="E46" s="645"/>
      <c r="F46" s="645"/>
      <c r="G46" s="645"/>
      <c r="H46" s="646"/>
      <c r="I46" s="137"/>
      <c r="J46" s="40"/>
      <c r="K46" s="82"/>
      <c r="L46" s="82"/>
    </row>
    <row r="47" spans="1:12" hidden="1" x14ac:dyDescent="0.25">
      <c r="A47" s="82"/>
      <c r="B47" s="644"/>
      <c r="C47" s="645"/>
      <c r="D47" s="645"/>
      <c r="E47" s="645"/>
      <c r="F47" s="645"/>
      <c r="G47" s="645"/>
      <c r="H47" s="645"/>
      <c r="I47" s="20"/>
      <c r="J47" s="40"/>
      <c r="K47" s="82"/>
      <c r="L47" s="82"/>
    </row>
    <row r="48" spans="1:12" x14ac:dyDescent="0.25">
      <c r="A48" s="82"/>
      <c r="B48" s="663" t="s">
        <v>528</v>
      </c>
      <c r="C48" s="664"/>
      <c r="D48" s="664"/>
      <c r="E48" s="664"/>
      <c r="F48" s="664"/>
      <c r="G48" s="664"/>
      <c r="H48" s="664"/>
      <c r="I48" s="665"/>
      <c r="J48" s="45">
        <f>SUM(J43:J47)</f>
        <v>0</v>
      </c>
      <c r="K48" s="45">
        <f>SUM(K43:K47)</f>
        <v>0</v>
      </c>
      <c r="L48" s="45">
        <f>SUM(L43:L47)</f>
        <v>0</v>
      </c>
    </row>
    <row r="49" spans="1:12" x14ac:dyDescent="0.25">
      <c r="B49" s="130"/>
      <c r="C49" s="130"/>
      <c r="D49" s="130"/>
      <c r="E49" s="130"/>
      <c r="F49" s="130"/>
      <c r="G49" s="130"/>
    </row>
    <row r="50" spans="1:12" x14ac:dyDescent="0.25">
      <c r="B50" s="130"/>
      <c r="C50" s="130"/>
      <c r="D50" s="130"/>
      <c r="E50" s="130"/>
      <c r="F50" s="130"/>
      <c r="G50" s="130"/>
    </row>
    <row r="51" spans="1:12" x14ac:dyDescent="0.25">
      <c r="B51" s="649" t="s">
        <v>529</v>
      </c>
      <c r="C51" s="649"/>
      <c r="D51" s="649"/>
      <c r="E51" s="649"/>
      <c r="F51" s="649"/>
      <c r="G51" s="649"/>
      <c r="H51" s="649"/>
      <c r="I51" s="649"/>
      <c r="J51" s="649"/>
    </row>
    <row r="52" spans="1:12" x14ac:dyDescent="0.25">
      <c r="A52" s="659" t="s">
        <v>173</v>
      </c>
      <c r="B52" s="650" t="s">
        <v>530</v>
      </c>
      <c r="C52" s="650" t="s">
        <v>134</v>
      </c>
      <c r="D52" s="650" t="s">
        <v>279</v>
      </c>
      <c r="E52" s="651" t="s">
        <v>198</v>
      </c>
      <c r="F52" s="652"/>
      <c r="G52" s="653"/>
      <c r="H52" s="650" t="s">
        <v>226</v>
      </c>
      <c r="I52" s="657" t="s">
        <v>1</v>
      </c>
      <c r="J52" s="548" t="s">
        <v>525</v>
      </c>
      <c r="K52" s="549"/>
      <c r="L52" s="550"/>
    </row>
    <row r="53" spans="1:12" x14ac:dyDescent="0.25">
      <c r="A53" s="660"/>
      <c r="B53" s="650"/>
      <c r="C53" s="650"/>
      <c r="D53" s="650"/>
      <c r="E53" s="654"/>
      <c r="F53" s="655"/>
      <c r="G53" s="656"/>
      <c r="H53" s="650"/>
      <c r="I53" s="657"/>
      <c r="J53" s="317">
        <v>2017</v>
      </c>
      <c r="K53" s="78">
        <v>2018</v>
      </c>
      <c r="L53" s="78">
        <v>2019</v>
      </c>
    </row>
    <row r="54" spans="1:12" x14ac:dyDescent="0.25">
      <c r="A54" s="147"/>
      <c r="B54" s="639" t="s">
        <v>531</v>
      </c>
      <c r="C54" s="639"/>
      <c r="D54" s="639"/>
      <c r="E54" s="639"/>
      <c r="F54" s="639"/>
      <c r="G54" s="639"/>
      <c r="H54" s="639"/>
      <c r="I54" s="640"/>
      <c r="J54" s="148">
        <f>SUM(J55:J70)</f>
        <v>0</v>
      </c>
      <c r="K54" s="148">
        <f>SUM(K60:K68)</f>
        <v>0</v>
      </c>
      <c r="L54" s="148">
        <f>SUM(L60:L68)</f>
        <v>0</v>
      </c>
    </row>
    <row r="55" spans="1:12" x14ac:dyDescent="0.25">
      <c r="A55" s="322"/>
      <c r="B55" s="267"/>
      <c r="C55" s="267"/>
      <c r="D55" s="267"/>
      <c r="E55" s="267"/>
      <c r="F55" s="661"/>
      <c r="G55" s="662"/>
      <c r="H55" s="267"/>
      <c r="I55" s="273"/>
      <c r="J55" s="266"/>
      <c r="K55" s="40">
        <v>0</v>
      </c>
      <c r="L55" s="40">
        <v>0</v>
      </c>
    </row>
    <row r="56" spans="1:12" hidden="1" x14ac:dyDescent="0.25">
      <c r="A56" s="322"/>
      <c r="B56" s="293"/>
      <c r="C56" s="293"/>
      <c r="D56" s="293"/>
      <c r="E56" s="293"/>
      <c r="F56" s="693"/>
      <c r="G56" s="694"/>
      <c r="H56" s="294"/>
      <c r="I56" s="295"/>
      <c r="J56" s="40"/>
      <c r="K56" s="40"/>
      <c r="L56" s="40"/>
    </row>
    <row r="57" spans="1:12" ht="0.75" hidden="1" customHeight="1" x14ac:dyDescent="0.25">
      <c r="A57" s="322"/>
      <c r="B57" s="131"/>
      <c r="C57" s="131"/>
      <c r="D57" s="131"/>
      <c r="E57" s="131"/>
      <c r="F57" s="131"/>
      <c r="G57" s="131"/>
      <c r="H57" s="150"/>
      <c r="I57" s="132"/>
      <c r="J57" s="40"/>
      <c r="K57" s="40"/>
      <c r="L57" s="40"/>
    </row>
    <row r="58" spans="1:12" hidden="1" x14ac:dyDescent="0.25">
      <c r="A58" s="322"/>
      <c r="B58" s="131"/>
      <c r="C58" s="131"/>
      <c r="D58" s="131"/>
      <c r="E58" s="131"/>
      <c r="F58" s="131"/>
      <c r="G58" s="131"/>
      <c r="H58" s="131"/>
      <c r="I58" s="295"/>
      <c r="J58" s="40"/>
      <c r="K58" s="40"/>
      <c r="L58" s="40"/>
    </row>
    <row r="59" spans="1:12" hidden="1" x14ac:dyDescent="0.25">
      <c r="A59" s="147"/>
      <c r="B59" s="131"/>
      <c r="C59" s="131"/>
      <c r="D59" s="131"/>
      <c r="E59" s="131"/>
      <c r="F59" s="131"/>
      <c r="G59" s="131"/>
      <c r="H59" s="131"/>
      <c r="I59" s="120"/>
      <c r="J59" s="40"/>
      <c r="K59" s="40"/>
      <c r="L59" s="40"/>
    </row>
    <row r="60" spans="1:12" s="1" customFormat="1" hidden="1" x14ac:dyDescent="0.25">
      <c r="A60" s="135"/>
      <c r="B60" s="131"/>
      <c r="C60" s="131"/>
      <c r="D60" s="131"/>
      <c r="E60" s="131"/>
      <c r="F60" s="131"/>
      <c r="G60" s="131"/>
      <c r="H60" s="149"/>
      <c r="I60" s="116"/>
      <c r="J60" s="40"/>
      <c r="K60" s="108"/>
      <c r="L60" s="108"/>
    </row>
    <row r="61" spans="1:12" s="1" customFormat="1" hidden="1" x14ac:dyDescent="0.25">
      <c r="A61" s="135"/>
      <c r="B61" s="131"/>
      <c r="C61" s="131"/>
      <c r="D61" s="131"/>
      <c r="E61" s="131"/>
      <c r="F61" s="131"/>
      <c r="G61" s="131"/>
      <c r="H61" s="131"/>
      <c r="I61" s="116"/>
      <c r="J61" s="40"/>
      <c r="K61" s="108"/>
      <c r="L61" s="108"/>
    </row>
    <row r="62" spans="1:12" hidden="1" x14ac:dyDescent="0.25">
      <c r="A62" s="135"/>
      <c r="B62" s="131"/>
      <c r="C62" s="131"/>
      <c r="D62" s="131"/>
      <c r="E62" s="131"/>
      <c r="F62" s="131"/>
      <c r="G62" s="131"/>
      <c r="H62" s="149"/>
      <c r="I62" s="116"/>
      <c r="J62" s="40"/>
      <c r="K62" s="84"/>
      <c r="L62" s="84"/>
    </row>
    <row r="63" spans="1:12" hidden="1" x14ac:dyDescent="0.25">
      <c r="A63" s="135"/>
      <c r="B63" s="131"/>
      <c r="C63" s="131"/>
      <c r="D63" s="131"/>
      <c r="E63" s="131"/>
      <c r="F63" s="131"/>
      <c r="G63" s="131"/>
      <c r="H63" s="131"/>
      <c r="I63" s="116"/>
      <c r="J63" s="40"/>
      <c r="K63" s="84"/>
      <c r="L63" s="84"/>
    </row>
    <row r="64" spans="1:12" hidden="1" x14ac:dyDescent="0.25">
      <c r="A64" s="135"/>
      <c r="B64" s="131"/>
      <c r="C64" s="131"/>
      <c r="D64" s="131"/>
      <c r="E64" s="131"/>
      <c r="F64" s="131"/>
      <c r="G64" s="131"/>
      <c r="H64" s="131"/>
      <c r="I64" s="132"/>
      <c r="J64" s="40"/>
      <c r="K64" s="84"/>
      <c r="L64" s="84"/>
    </row>
    <row r="65" spans="1:12" hidden="1" x14ac:dyDescent="0.25">
      <c r="A65" s="296"/>
      <c r="B65" s="131"/>
      <c r="C65" s="131"/>
      <c r="D65" s="131"/>
      <c r="E65" s="131"/>
      <c r="F65" s="131"/>
      <c r="G65" s="131"/>
      <c r="H65" s="131"/>
      <c r="I65" s="132"/>
      <c r="J65" s="40"/>
      <c r="K65" s="84"/>
      <c r="L65" s="84"/>
    </row>
    <row r="66" spans="1:12" hidden="1" x14ac:dyDescent="0.25">
      <c r="A66" s="78"/>
      <c r="B66" s="131"/>
      <c r="C66" s="131"/>
      <c r="D66" s="131"/>
      <c r="E66" s="131"/>
      <c r="F66" s="131"/>
      <c r="G66" s="131"/>
      <c r="H66" s="131"/>
      <c r="I66" s="132"/>
      <c r="J66" s="40"/>
      <c r="K66" s="84"/>
      <c r="L66" s="84"/>
    </row>
    <row r="67" spans="1:12" hidden="1" x14ac:dyDescent="0.25">
      <c r="A67" s="78"/>
      <c r="B67" s="131"/>
      <c r="C67" s="131"/>
      <c r="D67" s="131"/>
      <c r="E67" s="131"/>
      <c r="F67" s="131"/>
      <c r="G67" s="131"/>
      <c r="H67" s="131"/>
      <c r="I67" s="132"/>
      <c r="J67" s="40"/>
      <c r="K67" s="84"/>
      <c r="L67" s="84"/>
    </row>
    <row r="68" spans="1:12" s="1" customFormat="1" hidden="1" x14ac:dyDescent="0.25">
      <c r="A68" s="321"/>
      <c r="B68" s="131"/>
      <c r="C68" s="131"/>
      <c r="D68" s="131"/>
      <c r="E68" s="131"/>
      <c r="F68" s="131"/>
      <c r="G68" s="131"/>
      <c r="H68" s="131"/>
      <c r="I68" s="132"/>
      <c r="J68" s="40"/>
      <c r="K68" s="108"/>
      <c r="L68" s="108"/>
    </row>
    <row r="69" spans="1:12" s="1" customFormat="1" hidden="1" x14ac:dyDescent="0.25">
      <c r="A69" s="321"/>
      <c r="B69" s="131"/>
      <c r="C69" s="131"/>
      <c r="D69" s="131"/>
      <c r="E69" s="131"/>
      <c r="F69" s="131"/>
      <c r="G69" s="131"/>
      <c r="H69" s="131"/>
      <c r="I69" s="132"/>
      <c r="J69" s="40"/>
      <c r="K69" s="108"/>
      <c r="L69" s="108"/>
    </row>
    <row r="70" spans="1:12" s="1" customFormat="1" ht="0.75" hidden="1" customHeight="1" x14ac:dyDescent="0.25">
      <c r="A70" s="321"/>
      <c r="B70" s="131"/>
      <c r="C70" s="131"/>
      <c r="D70" s="131"/>
      <c r="E70" s="131"/>
      <c r="F70" s="131"/>
      <c r="G70" s="131"/>
      <c r="H70" s="131"/>
      <c r="I70" s="132"/>
      <c r="J70" s="40"/>
      <c r="K70" s="108"/>
      <c r="L70" s="108"/>
    </row>
    <row r="71" spans="1:12" s="1" customFormat="1" x14ac:dyDescent="0.25">
      <c r="A71" s="321"/>
      <c r="B71" s="641" t="s">
        <v>532</v>
      </c>
      <c r="C71" s="642"/>
      <c r="D71" s="642"/>
      <c r="E71" s="642"/>
      <c r="F71" s="642"/>
      <c r="G71" s="642"/>
      <c r="H71" s="642"/>
      <c r="I71" s="643"/>
      <c r="J71" s="45">
        <f>J72</f>
        <v>0</v>
      </c>
      <c r="K71" s="45">
        <f>K72</f>
        <v>0</v>
      </c>
      <c r="L71" s="45">
        <f>L72</f>
        <v>0</v>
      </c>
    </row>
    <row r="72" spans="1:12" s="1" customFormat="1" ht="15.75" customHeight="1" x14ac:dyDescent="0.3">
      <c r="A72" s="151"/>
      <c r="B72" s="152"/>
      <c r="C72" s="152"/>
      <c r="D72" s="152"/>
      <c r="E72" s="131"/>
      <c r="F72" s="647"/>
      <c r="G72" s="648"/>
      <c r="H72" s="131"/>
      <c r="I72" s="132"/>
      <c r="J72" s="40"/>
      <c r="K72" s="108"/>
      <c r="L72" s="108"/>
    </row>
    <row r="73" spans="1:12" s="1" customFormat="1" hidden="1" x14ac:dyDescent="0.25">
      <c r="A73" s="25"/>
      <c r="B73" s="96"/>
      <c r="C73" s="96"/>
      <c r="D73" s="96"/>
      <c r="E73" s="96"/>
      <c r="F73" s="691"/>
      <c r="G73" s="692"/>
      <c r="H73" s="36"/>
      <c r="I73" s="35"/>
      <c r="J73" s="40"/>
      <c r="K73" s="108"/>
      <c r="L73" s="108"/>
    </row>
    <row r="74" spans="1:12" s="1" customFormat="1" x14ac:dyDescent="0.25">
      <c r="A74" s="297"/>
      <c r="B74" s="671" t="s">
        <v>533</v>
      </c>
      <c r="C74" s="672"/>
      <c r="D74" s="672"/>
      <c r="E74" s="672"/>
      <c r="F74" s="672"/>
      <c r="G74" s="672"/>
      <c r="H74" s="672"/>
      <c r="I74" s="673"/>
      <c r="J74" s="148">
        <f>SUM(J76:J93)</f>
        <v>0</v>
      </c>
      <c r="K74" s="148">
        <f>SUM(K76:K93)</f>
        <v>0</v>
      </c>
      <c r="L74" s="148">
        <f>SUM(L76:L93)</f>
        <v>0</v>
      </c>
    </row>
    <row r="75" spans="1:12" s="1" customFormat="1" ht="15" customHeight="1" x14ac:dyDescent="0.25">
      <c r="A75" s="297"/>
      <c r="B75" s="298"/>
      <c r="C75" s="171"/>
      <c r="D75" s="171"/>
      <c r="E75" s="171"/>
      <c r="F75" s="691"/>
      <c r="G75" s="692"/>
      <c r="H75" s="171"/>
      <c r="I75" s="171"/>
      <c r="J75" s="45"/>
      <c r="K75" s="45"/>
      <c r="L75" s="45"/>
    </row>
    <row r="76" spans="1:12" s="1" customFormat="1" ht="0.75" hidden="1" customHeight="1" x14ac:dyDescent="0.3">
      <c r="A76" s="153"/>
      <c r="B76" s="299"/>
      <c r="C76" s="299"/>
      <c r="D76" s="299"/>
      <c r="E76" s="299"/>
      <c r="F76" s="299"/>
      <c r="G76" s="300"/>
      <c r="H76" s="299"/>
      <c r="I76" s="227"/>
      <c r="J76" s="301"/>
      <c r="K76" s="302"/>
      <c r="L76" s="302"/>
    </row>
    <row r="77" spans="1:12" s="1" customFormat="1" ht="16.5" hidden="1" x14ac:dyDescent="0.3">
      <c r="A77" s="153"/>
      <c r="B77" s="152"/>
      <c r="C77" s="152"/>
      <c r="D77" s="152"/>
      <c r="E77" s="152"/>
      <c r="F77" s="152"/>
      <c r="G77" s="131"/>
      <c r="H77" s="152"/>
      <c r="I77" s="303"/>
      <c r="J77" s="40"/>
      <c r="K77" s="108"/>
      <c r="L77" s="108"/>
    </row>
    <row r="78" spans="1:12" s="1" customFormat="1" hidden="1" x14ac:dyDescent="0.25">
      <c r="A78" s="153"/>
      <c r="B78" s="131"/>
      <c r="C78" s="131"/>
      <c r="D78" s="131"/>
      <c r="E78" s="131"/>
      <c r="F78" s="131"/>
      <c r="G78" s="131"/>
      <c r="H78" s="131"/>
      <c r="I78" s="116"/>
      <c r="J78" s="40"/>
      <c r="K78" s="40"/>
      <c r="L78" s="40"/>
    </row>
    <row r="79" spans="1:12" s="1" customFormat="1" hidden="1" x14ac:dyDescent="0.25">
      <c r="A79" s="153"/>
      <c r="B79" s="131"/>
      <c r="C79" s="131"/>
      <c r="D79" s="131"/>
      <c r="E79" s="131"/>
      <c r="F79" s="131"/>
      <c r="G79" s="131"/>
      <c r="H79" s="131"/>
      <c r="I79" s="116"/>
      <c r="J79" s="40"/>
      <c r="K79" s="40"/>
      <c r="L79" s="40"/>
    </row>
    <row r="80" spans="1:12" s="1" customFormat="1" ht="16.5" hidden="1" x14ac:dyDescent="0.3">
      <c r="A80" s="153"/>
      <c r="B80" s="152"/>
      <c r="C80" s="152"/>
      <c r="D80" s="152"/>
      <c r="E80" s="152"/>
      <c r="F80" s="152"/>
      <c r="G80" s="131"/>
      <c r="H80" s="152"/>
      <c r="I80" s="116"/>
      <c r="J80" s="40"/>
      <c r="K80" s="108"/>
      <c r="L80" s="108"/>
    </row>
    <row r="81" spans="1:12" s="1" customFormat="1" ht="16.5" hidden="1" x14ac:dyDescent="0.3">
      <c r="A81" s="153"/>
      <c r="B81" s="152"/>
      <c r="C81" s="152"/>
      <c r="D81" s="152"/>
      <c r="E81" s="152"/>
      <c r="F81" s="152"/>
      <c r="G81" s="152"/>
      <c r="H81" s="154"/>
      <c r="I81" s="116"/>
      <c r="J81" s="40"/>
      <c r="K81" s="108"/>
      <c r="L81" s="108"/>
    </row>
    <row r="82" spans="1:12" s="1" customFormat="1" ht="16.5" hidden="1" x14ac:dyDescent="0.3">
      <c r="A82" s="153"/>
      <c r="B82" s="152"/>
      <c r="C82" s="152"/>
      <c r="D82" s="152"/>
      <c r="E82" s="152"/>
      <c r="F82" s="152"/>
      <c r="G82" s="131"/>
      <c r="H82" s="152"/>
      <c r="I82" s="116"/>
      <c r="J82" s="40"/>
      <c r="K82" s="108"/>
      <c r="L82" s="108"/>
    </row>
    <row r="83" spans="1:12" s="1" customFormat="1" ht="16.5" hidden="1" x14ac:dyDescent="0.3">
      <c r="A83" s="153"/>
      <c r="B83" s="152"/>
      <c r="C83" s="152"/>
      <c r="D83" s="152"/>
      <c r="E83" s="152"/>
      <c r="F83" s="152"/>
      <c r="G83" s="131"/>
      <c r="H83" s="152"/>
      <c r="I83" s="120"/>
      <c r="J83" s="40"/>
      <c r="K83" s="108"/>
      <c r="L83" s="108"/>
    </row>
    <row r="84" spans="1:12" s="1" customFormat="1" ht="16.5" hidden="1" x14ac:dyDescent="0.3">
      <c r="A84" s="153"/>
      <c r="B84" s="152"/>
      <c r="C84" s="152"/>
      <c r="D84" s="152"/>
      <c r="E84" s="152"/>
      <c r="F84" s="152"/>
      <c r="G84" s="131"/>
      <c r="H84" s="152"/>
      <c r="I84" s="116"/>
      <c r="J84" s="40"/>
      <c r="K84" s="108"/>
      <c r="L84" s="108"/>
    </row>
    <row r="85" spans="1:12" s="1" customFormat="1" ht="16.5" hidden="1" x14ac:dyDescent="0.3">
      <c r="A85" s="151"/>
      <c r="B85" s="152"/>
      <c r="C85" s="152"/>
      <c r="D85" s="152"/>
      <c r="E85" s="152"/>
      <c r="F85" s="152"/>
      <c r="G85" s="152"/>
      <c r="H85" s="154"/>
      <c r="I85" s="116"/>
      <c r="J85" s="40"/>
      <c r="K85" s="108"/>
      <c r="L85" s="108"/>
    </row>
    <row r="86" spans="1:12" s="1" customFormat="1" ht="16.5" hidden="1" x14ac:dyDescent="0.3">
      <c r="A86" s="151"/>
      <c r="B86" s="152"/>
      <c r="C86" s="152"/>
      <c r="D86" s="152"/>
      <c r="E86" s="152"/>
      <c r="F86" s="152"/>
      <c r="G86" s="152"/>
      <c r="H86" s="154"/>
      <c r="I86" s="304"/>
      <c r="J86" s="40"/>
      <c r="K86" s="108"/>
      <c r="L86" s="108"/>
    </row>
    <row r="87" spans="1:12" s="1" customFormat="1" ht="16.5" hidden="1" x14ac:dyDescent="0.3">
      <c r="A87" s="305"/>
      <c r="B87" s="152"/>
      <c r="C87" s="152"/>
      <c r="D87" s="152"/>
      <c r="E87" s="152"/>
      <c r="F87" s="152"/>
      <c r="G87" s="152"/>
      <c r="H87" s="154"/>
      <c r="I87" s="304"/>
      <c r="J87" s="301"/>
      <c r="K87" s="108"/>
      <c r="L87" s="108"/>
    </row>
    <row r="88" spans="1:12" s="1" customFormat="1" ht="16.5" hidden="1" x14ac:dyDescent="0.3">
      <c r="A88" s="151"/>
      <c r="B88" s="152"/>
      <c r="C88" s="152"/>
      <c r="D88" s="152"/>
      <c r="E88" s="152"/>
      <c r="F88" s="152"/>
      <c r="G88" s="152"/>
      <c r="H88" s="154"/>
      <c r="I88" s="304"/>
      <c r="J88" s="40"/>
      <c r="K88" s="108"/>
      <c r="L88" s="108"/>
    </row>
    <row r="89" spans="1:12" s="1" customFormat="1" ht="16.5" hidden="1" x14ac:dyDescent="0.3">
      <c r="A89" s="151"/>
      <c r="B89" s="152"/>
      <c r="C89" s="152"/>
      <c r="D89" s="152"/>
      <c r="E89" s="152"/>
      <c r="F89" s="152"/>
      <c r="G89" s="152"/>
      <c r="H89" s="154"/>
      <c r="I89" s="304"/>
      <c r="J89" s="40"/>
      <c r="K89" s="108"/>
      <c r="L89" s="108"/>
    </row>
    <row r="90" spans="1:12" s="1" customFormat="1" ht="16.5" hidden="1" x14ac:dyDescent="0.3">
      <c r="A90" s="151"/>
      <c r="B90" s="152"/>
      <c r="C90" s="152"/>
      <c r="D90" s="152"/>
      <c r="E90" s="152"/>
      <c r="F90" s="152"/>
      <c r="G90" s="152"/>
      <c r="H90" s="154"/>
      <c r="I90" s="304"/>
      <c r="J90" s="40"/>
      <c r="K90" s="108"/>
      <c r="L90" s="108"/>
    </row>
    <row r="91" spans="1:12" s="1" customFormat="1" ht="16.5" hidden="1" x14ac:dyDescent="0.3">
      <c r="A91" s="153"/>
      <c r="B91" s="306"/>
      <c r="C91" s="306"/>
      <c r="D91" s="306"/>
      <c r="E91" s="306"/>
      <c r="F91" s="306"/>
      <c r="G91" s="306"/>
      <c r="H91" s="306"/>
      <c r="I91" s="304"/>
      <c r="J91" s="40"/>
      <c r="K91" s="108"/>
      <c r="L91" s="108"/>
    </row>
    <row r="92" spans="1:12" s="1" customFormat="1" ht="16.5" hidden="1" x14ac:dyDescent="0.3">
      <c r="A92" s="153"/>
      <c r="B92" s="152"/>
      <c r="C92" s="152"/>
      <c r="D92" s="152"/>
      <c r="E92" s="152"/>
      <c r="F92" s="152"/>
      <c r="G92" s="152"/>
      <c r="H92" s="152"/>
      <c r="I92" s="304"/>
      <c r="J92" s="40"/>
      <c r="K92" s="108"/>
      <c r="L92" s="108"/>
    </row>
    <row r="93" spans="1:12" s="1" customFormat="1" ht="16.5" hidden="1" x14ac:dyDescent="0.3">
      <c r="A93" s="307"/>
      <c r="B93" s="152"/>
      <c r="C93" s="152"/>
      <c r="D93" s="152"/>
      <c r="E93" s="152"/>
      <c r="F93" s="152"/>
      <c r="G93" s="152"/>
      <c r="H93" s="152"/>
      <c r="I93" s="132"/>
      <c r="J93" s="134"/>
      <c r="K93" s="40"/>
      <c r="L93" s="40"/>
    </row>
    <row r="94" spans="1:12" s="1" customFormat="1" ht="16.5" x14ac:dyDescent="0.3">
      <c r="A94" s="307"/>
      <c r="B94" s="155"/>
      <c r="C94" s="156"/>
      <c r="D94" s="156"/>
      <c r="E94" s="156"/>
      <c r="F94" s="156"/>
      <c r="G94" s="156"/>
      <c r="H94" s="156"/>
      <c r="I94" s="157"/>
      <c r="J94" s="158"/>
      <c r="K94" s="159"/>
      <c r="L94" s="159"/>
    </row>
    <row r="95" spans="1:12" s="1" customFormat="1" x14ac:dyDescent="0.25">
      <c r="A95" s="297"/>
      <c r="B95" s="674" t="s">
        <v>534</v>
      </c>
      <c r="C95" s="675"/>
      <c r="D95" s="675"/>
      <c r="E95" s="675"/>
      <c r="F95" s="675"/>
      <c r="G95" s="675"/>
      <c r="H95" s="675"/>
      <c r="I95" s="676"/>
      <c r="J95" s="148">
        <f>J96+J97+J98+J99+J100+J101+J102+J103+J104+J105</f>
        <v>0</v>
      </c>
      <c r="K95" s="148">
        <f>K96+K97+K98+K99+K100+K101+K102+K103+K104+K105</f>
        <v>0</v>
      </c>
      <c r="L95" s="148">
        <f>L96+L97+L98+L99+L100+L101+L102+L103+L104+L105</f>
        <v>0</v>
      </c>
    </row>
    <row r="96" spans="1:12" s="164" customFormat="1" ht="15" customHeight="1" x14ac:dyDescent="0.25">
      <c r="A96" s="308"/>
      <c r="B96" s="267"/>
      <c r="C96" s="267"/>
      <c r="D96" s="267"/>
      <c r="E96" s="267"/>
      <c r="F96" s="661"/>
      <c r="G96" s="662"/>
      <c r="H96" s="337"/>
      <c r="I96" s="265"/>
      <c r="J96" s="266"/>
      <c r="K96" s="163">
        <v>0</v>
      </c>
      <c r="L96" s="309">
        <v>0</v>
      </c>
    </row>
    <row r="97" spans="1:12" s="164" customFormat="1" hidden="1" x14ac:dyDescent="0.25">
      <c r="A97" s="308"/>
      <c r="B97" s="267"/>
      <c r="C97" s="267"/>
      <c r="D97" s="267"/>
      <c r="E97" s="267"/>
      <c r="F97" s="661" t="s">
        <v>955</v>
      </c>
      <c r="G97" s="662"/>
      <c r="H97" s="337">
        <v>400</v>
      </c>
      <c r="I97" s="265"/>
      <c r="J97" s="266"/>
      <c r="K97" s="163">
        <v>0</v>
      </c>
      <c r="L97" s="163">
        <v>0</v>
      </c>
    </row>
    <row r="98" spans="1:12" s="164" customFormat="1" hidden="1" x14ac:dyDescent="0.25">
      <c r="A98" s="308"/>
      <c r="B98" s="131"/>
      <c r="C98" s="131"/>
      <c r="D98" s="131"/>
      <c r="E98" s="131"/>
      <c r="F98" s="647"/>
      <c r="G98" s="648"/>
      <c r="H98" s="150"/>
      <c r="I98" s="116"/>
      <c r="J98" s="40"/>
      <c r="K98" s="163"/>
      <c r="L98" s="163"/>
    </row>
    <row r="99" spans="1:12" s="164" customFormat="1" hidden="1" x14ac:dyDescent="0.25">
      <c r="A99" s="308"/>
      <c r="B99" s="131"/>
      <c r="C99" s="131"/>
      <c r="D99" s="131"/>
      <c r="E99" s="131"/>
      <c r="F99" s="131"/>
      <c r="G99" s="131"/>
      <c r="H99" s="150"/>
      <c r="I99" s="116"/>
      <c r="J99" s="40"/>
      <c r="K99" s="163"/>
      <c r="L99" s="163"/>
    </row>
    <row r="100" spans="1:12" s="164" customFormat="1" hidden="1" x14ac:dyDescent="0.25">
      <c r="A100" s="308"/>
      <c r="B100" s="131"/>
      <c r="C100" s="131"/>
      <c r="D100" s="131"/>
      <c r="E100" s="131"/>
      <c r="F100" s="131"/>
      <c r="G100" s="131"/>
      <c r="H100" s="150"/>
      <c r="I100" s="116"/>
      <c r="J100" s="40"/>
      <c r="K100" s="163"/>
      <c r="L100" s="163"/>
    </row>
    <row r="101" spans="1:12" s="164" customFormat="1" hidden="1" x14ac:dyDescent="0.25">
      <c r="A101" s="308"/>
      <c r="B101" s="131"/>
      <c r="C101" s="131"/>
      <c r="D101" s="131"/>
      <c r="E101" s="131"/>
      <c r="F101" s="131"/>
      <c r="G101" s="131"/>
      <c r="H101" s="150"/>
      <c r="I101" s="116"/>
      <c r="J101" s="40"/>
      <c r="K101" s="163"/>
      <c r="L101" s="163"/>
    </row>
    <row r="102" spans="1:12" s="164" customFormat="1" hidden="1" x14ac:dyDescent="0.25">
      <c r="A102" s="308"/>
      <c r="B102" s="131"/>
      <c r="C102" s="131"/>
      <c r="D102" s="131"/>
      <c r="E102" s="131"/>
      <c r="F102" s="131"/>
      <c r="G102" s="131"/>
      <c r="H102" s="150"/>
      <c r="I102" s="116"/>
      <c r="J102" s="40"/>
      <c r="K102" s="163"/>
      <c r="L102" s="163"/>
    </row>
    <row r="103" spans="1:12" s="164" customFormat="1" hidden="1" x14ac:dyDescent="0.25">
      <c r="A103" s="308"/>
      <c r="B103" s="131"/>
      <c r="C103" s="131"/>
      <c r="D103" s="131"/>
      <c r="E103" s="131"/>
      <c r="F103" s="131"/>
      <c r="G103" s="131"/>
      <c r="H103" s="150"/>
      <c r="I103" s="116"/>
      <c r="J103" s="40"/>
      <c r="K103" s="163"/>
      <c r="L103" s="163"/>
    </row>
    <row r="104" spans="1:12" s="164" customFormat="1" hidden="1" x14ac:dyDescent="0.25">
      <c r="A104" s="308"/>
      <c r="B104" s="131"/>
      <c r="C104" s="131"/>
      <c r="D104" s="131"/>
      <c r="E104" s="131"/>
      <c r="F104" s="131"/>
      <c r="G104" s="131"/>
      <c r="H104" s="150"/>
      <c r="I104" s="116"/>
      <c r="J104" s="40"/>
      <c r="K104" s="163"/>
      <c r="L104" s="163"/>
    </row>
    <row r="105" spans="1:12" s="164" customFormat="1" hidden="1" x14ac:dyDescent="0.25">
      <c r="A105" s="310"/>
      <c r="B105" s="131"/>
      <c r="C105" s="131"/>
      <c r="D105" s="131"/>
      <c r="E105" s="131"/>
      <c r="F105" s="131"/>
      <c r="G105" s="131"/>
      <c r="H105" s="150"/>
      <c r="I105" s="116"/>
      <c r="J105" s="40"/>
      <c r="K105" s="163"/>
      <c r="L105" s="163"/>
    </row>
    <row r="106" spans="1:12" hidden="1" x14ac:dyDescent="0.25">
      <c r="A106" s="135"/>
      <c r="B106" s="131"/>
      <c r="C106" s="131"/>
      <c r="D106" s="131"/>
      <c r="E106" s="131"/>
      <c r="F106" s="131"/>
      <c r="G106" s="131"/>
      <c r="H106" s="150"/>
      <c r="I106" s="132"/>
      <c r="J106" s="40"/>
      <c r="K106" s="84"/>
      <c r="L106" s="84"/>
    </row>
    <row r="107" spans="1:12" hidden="1" x14ac:dyDescent="0.25">
      <c r="A107" s="135"/>
      <c r="B107" s="131"/>
      <c r="C107" s="131"/>
      <c r="D107" s="131"/>
      <c r="E107" s="131"/>
      <c r="F107" s="131"/>
      <c r="G107" s="165"/>
      <c r="H107" s="150"/>
      <c r="I107" s="132"/>
      <c r="J107" s="40"/>
      <c r="K107" s="84"/>
      <c r="L107" s="84"/>
    </row>
    <row r="108" spans="1:12" ht="0.75" hidden="1" customHeight="1" x14ac:dyDescent="0.25">
      <c r="A108" s="82"/>
      <c r="B108" s="131"/>
      <c r="C108" s="131"/>
      <c r="D108" s="131"/>
      <c r="E108" s="131"/>
      <c r="F108" s="131"/>
      <c r="G108" s="150"/>
      <c r="H108" s="150"/>
      <c r="I108" s="132"/>
      <c r="J108" s="40"/>
      <c r="K108" s="84"/>
      <c r="L108" s="84"/>
    </row>
    <row r="109" spans="1:12" x14ac:dyDescent="0.25">
      <c r="A109" s="82"/>
      <c r="B109" s="641" t="s">
        <v>535</v>
      </c>
      <c r="C109" s="642"/>
      <c r="D109" s="642"/>
      <c r="E109" s="642"/>
      <c r="F109" s="642"/>
      <c r="G109" s="642"/>
      <c r="H109" s="642"/>
      <c r="I109" s="643"/>
      <c r="J109" s="45">
        <f>J110</f>
        <v>0</v>
      </c>
      <c r="K109" s="45">
        <f>K110</f>
        <v>0</v>
      </c>
      <c r="L109" s="45">
        <f>L110</f>
        <v>0</v>
      </c>
    </row>
    <row r="110" spans="1:12" x14ac:dyDescent="0.25">
      <c r="A110" s="135"/>
      <c r="B110" s="131"/>
      <c r="C110" s="131"/>
      <c r="D110" s="131"/>
      <c r="E110" s="131"/>
      <c r="F110" s="647"/>
      <c r="G110" s="648"/>
      <c r="H110" s="150"/>
      <c r="I110" s="132"/>
      <c r="J110" s="134"/>
      <c r="K110" s="163"/>
      <c r="L110" s="163"/>
    </row>
    <row r="111" spans="1:12" hidden="1" x14ac:dyDescent="0.25">
      <c r="A111" s="82"/>
      <c r="B111" s="166"/>
      <c r="C111" s="25"/>
      <c r="D111" s="25"/>
      <c r="E111" s="25"/>
      <c r="F111" s="25"/>
      <c r="G111" s="25"/>
      <c r="H111" s="101"/>
      <c r="I111" s="25"/>
      <c r="J111" s="40"/>
      <c r="K111" s="84"/>
      <c r="L111" s="84"/>
    </row>
    <row r="112" spans="1:12" x14ac:dyDescent="0.25">
      <c r="A112" s="147"/>
      <c r="B112" s="677" t="s">
        <v>536</v>
      </c>
      <c r="C112" s="677"/>
      <c r="D112" s="677"/>
      <c r="E112" s="677"/>
      <c r="F112" s="677"/>
      <c r="G112" s="677"/>
      <c r="H112" s="677"/>
      <c r="I112" s="677"/>
      <c r="J112" s="148">
        <f>SUM(J113:J151)</f>
        <v>0</v>
      </c>
      <c r="K112" s="148">
        <f>SUM(K113:K151)</f>
        <v>0</v>
      </c>
      <c r="L112" s="148">
        <f>SUM(L113:L151)</f>
        <v>0</v>
      </c>
    </row>
    <row r="113" spans="1:13" x14ac:dyDescent="0.25">
      <c r="A113" s="285"/>
      <c r="B113" s="267"/>
      <c r="C113" s="267"/>
      <c r="D113" s="267"/>
      <c r="E113" s="267"/>
      <c r="F113" s="661"/>
      <c r="G113" s="662"/>
      <c r="H113" s="267"/>
      <c r="I113" s="265"/>
      <c r="J113" s="266"/>
      <c r="K113" s="315"/>
      <c r="L113" s="315"/>
    </row>
    <row r="114" spans="1:13" hidden="1" x14ac:dyDescent="0.25">
      <c r="A114" s="285"/>
      <c r="B114" s="267"/>
      <c r="C114" s="267"/>
      <c r="D114" s="267"/>
      <c r="E114" s="267"/>
      <c r="F114" s="661"/>
      <c r="G114" s="662"/>
      <c r="H114" s="267"/>
      <c r="I114" s="265"/>
      <c r="J114" s="266"/>
      <c r="K114" s="315"/>
      <c r="L114" s="315"/>
    </row>
    <row r="115" spans="1:13" hidden="1" x14ac:dyDescent="0.25">
      <c r="A115" s="285"/>
      <c r="B115" s="131"/>
      <c r="C115" s="131"/>
      <c r="D115" s="131"/>
      <c r="E115" s="131"/>
      <c r="F115" s="647"/>
      <c r="G115" s="648"/>
      <c r="H115" s="131"/>
      <c r="I115" s="116"/>
      <c r="J115" s="40"/>
      <c r="K115" s="84"/>
      <c r="L115" s="84"/>
    </row>
    <row r="116" spans="1:13" ht="0.75" hidden="1" customHeight="1" x14ac:dyDescent="0.25">
      <c r="A116" s="285"/>
      <c r="B116" s="131"/>
      <c r="C116" s="131"/>
      <c r="D116" s="131"/>
      <c r="E116" s="131"/>
      <c r="F116" s="131"/>
      <c r="G116" s="131"/>
      <c r="H116" s="131"/>
      <c r="I116" s="120"/>
      <c r="J116" s="40"/>
      <c r="K116" s="84"/>
      <c r="L116" s="84"/>
    </row>
    <row r="117" spans="1:13" hidden="1" x14ac:dyDescent="0.25">
      <c r="A117" s="285"/>
      <c r="B117" s="131"/>
      <c r="C117" s="131"/>
      <c r="D117" s="131"/>
      <c r="E117" s="131"/>
      <c r="F117" s="131"/>
      <c r="G117" s="131"/>
      <c r="H117" s="131"/>
      <c r="I117" s="121"/>
      <c r="J117" s="40"/>
      <c r="K117" s="84"/>
      <c r="L117" s="84"/>
    </row>
    <row r="118" spans="1:13" hidden="1" x14ac:dyDescent="0.25">
      <c r="A118" s="285"/>
      <c r="B118" s="131"/>
      <c r="C118" s="131"/>
      <c r="D118" s="131"/>
      <c r="E118" s="131"/>
      <c r="F118" s="131"/>
      <c r="G118" s="131"/>
      <c r="H118" s="131"/>
      <c r="I118" s="116"/>
      <c r="J118" s="40"/>
      <c r="K118" s="84"/>
      <c r="L118" s="84"/>
    </row>
    <row r="119" spans="1:13" hidden="1" x14ac:dyDescent="0.25">
      <c r="A119" s="285"/>
      <c r="B119" s="131"/>
      <c r="C119" s="131"/>
      <c r="D119" s="131"/>
      <c r="E119" s="131"/>
      <c r="F119" s="131"/>
      <c r="G119" s="131"/>
      <c r="H119" s="131"/>
      <c r="I119" s="116"/>
      <c r="J119" s="40"/>
      <c r="K119" s="84"/>
      <c r="L119" s="84"/>
    </row>
    <row r="120" spans="1:13" hidden="1" x14ac:dyDescent="0.25">
      <c r="A120" s="285"/>
      <c r="B120" s="131"/>
      <c r="C120" s="131"/>
      <c r="D120" s="131"/>
      <c r="E120" s="131"/>
      <c r="F120" s="131"/>
      <c r="G120" s="131"/>
      <c r="H120" s="131"/>
      <c r="I120" s="116"/>
      <c r="J120" s="40"/>
      <c r="K120" s="84"/>
      <c r="L120" s="84"/>
    </row>
    <row r="121" spans="1:13" ht="16.5" hidden="1" thickBot="1" x14ac:dyDescent="0.3">
      <c r="A121" s="285"/>
      <c r="B121" s="131"/>
      <c r="C121" s="131"/>
      <c r="D121" s="131"/>
      <c r="E121" s="131"/>
      <c r="F121" s="131"/>
      <c r="G121" s="131"/>
      <c r="H121" s="131"/>
      <c r="I121" s="311"/>
      <c r="J121" s="40"/>
      <c r="K121" s="84"/>
      <c r="L121" s="84"/>
      <c r="M121" s="3" t="s">
        <v>921</v>
      </c>
    </row>
    <row r="122" spans="1:13" hidden="1" x14ac:dyDescent="0.25">
      <c r="A122" s="285"/>
      <c r="B122" s="131"/>
      <c r="C122" s="131"/>
      <c r="D122" s="131"/>
      <c r="E122" s="131"/>
      <c r="F122" s="131"/>
      <c r="G122" s="131"/>
      <c r="H122" s="131"/>
      <c r="I122" s="132"/>
      <c r="J122" s="40"/>
      <c r="K122" s="40"/>
      <c r="L122" s="40"/>
    </row>
    <row r="123" spans="1:13" hidden="1" x14ac:dyDescent="0.25">
      <c r="A123" s="285"/>
      <c r="B123" s="131"/>
      <c r="C123" s="131"/>
      <c r="D123" s="131"/>
      <c r="E123" s="131"/>
      <c r="F123" s="131"/>
      <c r="G123" s="131"/>
      <c r="H123" s="131"/>
      <c r="I123" s="132"/>
      <c r="J123" s="40"/>
      <c r="K123" s="40"/>
      <c r="L123" s="40"/>
    </row>
    <row r="124" spans="1:13" hidden="1" x14ac:dyDescent="0.25">
      <c r="A124" s="285"/>
      <c r="B124" s="131"/>
      <c r="C124" s="131"/>
      <c r="D124" s="131"/>
      <c r="E124" s="131"/>
      <c r="F124" s="131"/>
      <c r="G124" s="131"/>
      <c r="H124" s="131"/>
      <c r="I124" s="132"/>
      <c r="J124" s="40"/>
      <c r="K124" s="40"/>
      <c r="L124" s="40"/>
    </row>
    <row r="125" spans="1:13" hidden="1" x14ac:dyDescent="0.25">
      <c r="A125" s="285"/>
      <c r="B125" s="131"/>
      <c r="C125" s="131"/>
      <c r="D125" s="131"/>
      <c r="E125" s="131"/>
      <c r="F125" s="131"/>
      <c r="G125" s="131"/>
      <c r="H125" s="131"/>
      <c r="I125" s="132"/>
      <c r="J125" s="40"/>
      <c r="K125" s="40"/>
      <c r="L125" s="40"/>
    </row>
    <row r="126" spans="1:13" hidden="1" x14ac:dyDescent="0.25">
      <c r="A126" s="285"/>
      <c r="B126" s="131"/>
      <c r="C126" s="131"/>
      <c r="D126" s="131"/>
      <c r="E126" s="131"/>
      <c r="F126" s="131"/>
      <c r="G126" s="131"/>
      <c r="H126" s="131"/>
      <c r="I126" s="132"/>
      <c r="J126" s="40"/>
      <c r="K126" s="84"/>
      <c r="L126" s="84"/>
    </row>
    <row r="127" spans="1:13" hidden="1" x14ac:dyDescent="0.25">
      <c r="A127" s="312"/>
      <c r="B127" s="131"/>
      <c r="C127" s="131"/>
      <c r="D127" s="131"/>
      <c r="E127" s="131"/>
      <c r="F127" s="131"/>
      <c r="G127" s="131"/>
      <c r="H127" s="131"/>
      <c r="I127" s="132"/>
      <c r="J127" s="40"/>
      <c r="K127" s="84"/>
      <c r="L127" s="84"/>
    </row>
    <row r="128" spans="1:13" hidden="1" x14ac:dyDescent="0.25">
      <c r="A128" s="135"/>
      <c r="B128" s="131"/>
      <c r="C128" s="131"/>
      <c r="D128" s="131"/>
      <c r="E128" s="131"/>
      <c r="F128" s="131"/>
      <c r="G128" s="131"/>
      <c r="H128" s="131"/>
      <c r="I128" s="132"/>
      <c r="J128" s="40"/>
      <c r="K128" s="84"/>
      <c r="L128" s="84"/>
    </row>
    <row r="129" spans="1:12" hidden="1" x14ac:dyDescent="0.25">
      <c r="A129" s="135"/>
      <c r="B129" s="131"/>
      <c r="C129" s="131"/>
      <c r="D129" s="131"/>
      <c r="E129" s="131"/>
      <c r="F129" s="131"/>
      <c r="G129" s="131"/>
      <c r="H129" s="131"/>
      <c r="I129" s="132"/>
      <c r="J129" s="40"/>
      <c r="K129" s="163"/>
      <c r="L129" s="163"/>
    </row>
    <row r="130" spans="1:12" hidden="1" x14ac:dyDescent="0.25">
      <c r="A130" s="135"/>
      <c r="B130" s="131"/>
      <c r="C130" s="131"/>
      <c r="D130" s="131"/>
      <c r="E130" s="131"/>
      <c r="F130" s="131"/>
      <c r="G130" s="131"/>
      <c r="H130" s="131"/>
      <c r="I130" s="167"/>
      <c r="J130" s="40"/>
      <c r="K130" s="84"/>
      <c r="L130" s="84"/>
    </row>
    <row r="131" spans="1:12" hidden="1" x14ac:dyDescent="0.25">
      <c r="A131" s="285"/>
      <c r="B131" s="131"/>
      <c r="C131" s="131"/>
      <c r="D131" s="131"/>
      <c r="E131" s="131"/>
      <c r="F131" s="131"/>
      <c r="G131" s="131"/>
      <c r="H131" s="131"/>
      <c r="I131" s="132"/>
      <c r="J131" s="40"/>
      <c r="K131" s="163"/>
      <c r="L131" s="163"/>
    </row>
    <row r="132" spans="1:12" hidden="1" x14ac:dyDescent="0.25">
      <c r="A132" s="285"/>
      <c r="B132" s="131"/>
      <c r="C132" s="131"/>
      <c r="D132" s="131"/>
      <c r="E132" s="131"/>
      <c r="F132" s="131"/>
      <c r="G132" s="131"/>
      <c r="H132" s="131"/>
      <c r="I132" s="132"/>
      <c r="J132" s="40"/>
      <c r="K132" s="163"/>
      <c r="L132" s="163"/>
    </row>
    <row r="133" spans="1:12" hidden="1" x14ac:dyDescent="0.25">
      <c r="A133" s="285"/>
      <c r="B133" s="131"/>
      <c r="C133" s="131"/>
      <c r="D133" s="131"/>
      <c r="E133" s="131"/>
      <c r="F133" s="131"/>
      <c r="G133" s="131"/>
      <c r="H133" s="150"/>
      <c r="I133" s="132"/>
      <c r="J133" s="40"/>
      <c r="K133" s="84"/>
      <c r="L133" s="84"/>
    </row>
    <row r="134" spans="1:12" hidden="1" x14ac:dyDescent="0.25">
      <c r="A134" s="285"/>
      <c r="B134" s="131"/>
      <c r="C134" s="131"/>
      <c r="D134" s="131"/>
      <c r="E134" s="131"/>
      <c r="F134" s="131"/>
      <c r="G134" s="131"/>
      <c r="H134" s="131"/>
      <c r="I134" s="132"/>
      <c r="J134" s="40"/>
      <c r="K134" s="84"/>
      <c r="L134" s="84"/>
    </row>
    <row r="135" spans="1:12" hidden="1" x14ac:dyDescent="0.25">
      <c r="A135" s="285"/>
      <c r="B135" s="131"/>
      <c r="C135" s="131"/>
      <c r="D135" s="131"/>
      <c r="E135" s="131"/>
      <c r="F135" s="131"/>
      <c r="G135" s="131"/>
      <c r="H135" s="150"/>
      <c r="I135" s="132"/>
      <c r="J135" s="40"/>
      <c r="K135" s="84"/>
      <c r="L135" s="84"/>
    </row>
    <row r="136" spans="1:12" hidden="1" x14ac:dyDescent="0.25">
      <c r="A136" s="135"/>
      <c r="B136" s="131"/>
      <c r="C136" s="131"/>
      <c r="D136" s="131"/>
      <c r="E136" s="131"/>
      <c r="F136" s="131"/>
      <c r="G136" s="131"/>
      <c r="H136" s="131"/>
      <c r="I136" s="132"/>
      <c r="J136" s="40"/>
      <c r="K136" s="84"/>
      <c r="L136" s="84"/>
    </row>
    <row r="137" spans="1:12" hidden="1" x14ac:dyDescent="0.25">
      <c r="A137" s="285"/>
      <c r="B137" s="131"/>
      <c r="C137" s="131"/>
      <c r="D137" s="131"/>
      <c r="E137" s="131"/>
      <c r="F137" s="131"/>
      <c r="G137" s="131"/>
      <c r="H137" s="131"/>
      <c r="I137" s="132"/>
      <c r="J137" s="40"/>
      <c r="K137" s="84"/>
      <c r="L137" s="84"/>
    </row>
    <row r="138" spans="1:12" hidden="1" x14ac:dyDescent="0.25">
      <c r="A138" s="285"/>
      <c r="B138" s="131"/>
      <c r="C138" s="131"/>
      <c r="D138" s="131"/>
      <c r="E138" s="131"/>
      <c r="F138" s="131"/>
      <c r="G138" s="131"/>
      <c r="H138" s="131"/>
      <c r="I138" s="132"/>
      <c r="J138" s="40"/>
      <c r="K138" s="84"/>
      <c r="L138" s="84"/>
    </row>
    <row r="139" spans="1:12" hidden="1" x14ac:dyDescent="0.25">
      <c r="A139" s="285"/>
      <c r="B139" s="131"/>
      <c r="C139" s="131"/>
      <c r="D139" s="131"/>
      <c r="E139" s="131"/>
      <c r="F139" s="131"/>
      <c r="G139" s="131"/>
      <c r="H139" s="131"/>
      <c r="I139" s="132"/>
      <c r="J139" s="40"/>
      <c r="K139" s="84"/>
      <c r="L139" s="84"/>
    </row>
    <row r="140" spans="1:12" hidden="1" x14ac:dyDescent="0.25">
      <c r="A140" s="285"/>
      <c r="B140" s="131"/>
      <c r="C140" s="131"/>
      <c r="D140" s="131"/>
      <c r="E140" s="131"/>
      <c r="F140" s="131"/>
      <c r="G140" s="131"/>
      <c r="H140" s="131"/>
      <c r="I140" s="132"/>
      <c r="J140" s="40"/>
      <c r="K140" s="84"/>
      <c r="L140" s="84"/>
    </row>
    <row r="141" spans="1:12" hidden="1" x14ac:dyDescent="0.25">
      <c r="A141" s="285"/>
      <c r="B141" s="131"/>
      <c r="C141" s="131"/>
      <c r="D141" s="131"/>
      <c r="E141" s="131"/>
      <c r="F141" s="131"/>
      <c r="G141" s="131"/>
      <c r="H141" s="131"/>
      <c r="I141" s="132"/>
      <c r="J141" s="40"/>
      <c r="K141" s="84"/>
      <c r="L141" s="84"/>
    </row>
    <row r="142" spans="1:12" hidden="1" x14ac:dyDescent="0.25">
      <c r="A142" s="285"/>
      <c r="B142" s="131"/>
      <c r="C142" s="131"/>
      <c r="D142" s="131"/>
      <c r="E142" s="131"/>
      <c r="F142" s="131"/>
      <c r="G142" s="131"/>
      <c r="H142" s="131"/>
      <c r="I142" s="132"/>
      <c r="J142" s="40"/>
      <c r="K142" s="84"/>
      <c r="L142" s="84"/>
    </row>
    <row r="143" spans="1:12" hidden="1" x14ac:dyDescent="0.25">
      <c r="A143" s="135"/>
      <c r="B143" s="131"/>
      <c r="C143" s="131"/>
      <c r="D143" s="131"/>
      <c r="E143" s="131"/>
      <c r="F143" s="131"/>
      <c r="G143" s="131"/>
      <c r="H143" s="131"/>
      <c r="I143" s="132"/>
      <c r="J143" s="40"/>
      <c r="K143" s="84"/>
      <c r="L143" s="84"/>
    </row>
    <row r="144" spans="1:12" hidden="1" x14ac:dyDescent="0.25">
      <c r="A144" s="135"/>
      <c r="B144" s="131"/>
      <c r="C144" s="131"/>
      <c r="D144" s="131"/>
      <c r="E144" s="131"/>
      <c r="F144" s="131"/>
      <c r="G144" s="131"/>
      <c r="H144" s="131"/>
      <c r="I144" s="132"/>
      <c r="J144" s="40"/>
      <c r="K144" s="84"/>
      <c r="L144" s="84"/>
    </row>
    <row r="145" spans="1:12" hidden="1" x14ac:dyDescent="0.25">
      <c r="A145" s="135"/>
      <c r="B145" s="131"/>
      <c r="C145" s="131"/>
      <c r="D145" s="131"/>
      <c r="E145" s="131"/>
      <c r="F145" s="131"/>
      <c r="G145" s="131"/>
      <c r="H145" s="131"/>
      <c r="I145" s="132"/>
      <c r="J145" s="40"/>
      <c r="K145" s="84"/>
      <c r="L145" s="84"/>
    </row>
    <row r="146" spans="1:12" hidden="1" x14ac:dyDescent="0.25">
      <c r="A146" s="135"/>
      <c r="B146" s="131"/>
      <c r="C146" s="131"/>
      <c r="D146" s="131"/>
      <c r="E146" s="131"/>
      <c r="F146" s="131"/>
      <c r="G146" s="131"/>
      <c r="H146" s="131"/>
      <c r="I146" s="132"/>
      <c r="J146" s="40"/>
      <c r="K146" s="84"/>
      <c r="L146" s="84"/>
    </row>
    <row r="147" spans="1:12" hidden="1" x14ac:dyDescent="0.25">
      <c r="A147" s="135"/>
      <c r="B147" s="131"/>
      <c r="C147" s="131"/>
      <c r="D147" s="131"/>
      <c r="E147" s="131"/>
      <c r="F147" s="131"/>
      <c r="G147" s="131"/>
      <c r="H147" s="131"/>
      <c r="I147" s="132"/>
      <c r="J147" s="40"/>
      <c r="K147" s="84"/>
      <c r="L147" s="84"/>
    </row>
    <row r="148" spans="1:12" hidden="1" x14ac:dyDescent="0.25">
      <c r="A148" s="285"/>
      <c r="B148" s="131"/>
      <c r="C148" s="131"/>
      <c r="D148" s="131"/>
      <c r="E148" s="131"/>
      <c r="F148" s="131"/>
      <c r="G148" s="131"/>
      <c r="H148" s="131"/>
      <c r="I148" s="132"/>
      <c r="J148" s="40"/>
      <c r="K148" s="84"/>
      <c r="L148" s="84"/>
    </row>
    <row r="149" spans="1:12" hidden="1" x14ac:dyDescent="0.25">
      <c r="A149" s="285"/>
      <c r="B149" s="131"/>
      <c r="C149" s="131"/>
      <c r="D149" s="131"/>
      <c r="E149" s="131"/>
      <c r="F149" s="131"/>
      <c r="G149" s="131"/>
      <c r="H149" s="165"/>
      <c r="I149" s="132"/>
      <c r="J149" s="40"/>
      <c r="K149" s="84"/>
      <c r="L149" s="84"/>
    </row>
    <row r="150" spans="1:12" hidden="1" x14ac:dyDescent="0.25">
      <c r="A150" s="285"/>
      <c r="B150" s="131"/>
      <c r="C150" s="131"/>
      <c r="D150" s="131"/>
      <c r="E150" s="131"/>
      <c r="F150" s="131"/>
      <c r="G150" s="131"/>
      <c r="H150" s="131"/>
      <c r="I150" s="132"/>
      <c r="J150" s="40"/>
      <c r="K150" s="84"/>
      <c r="L150" s="84"/>
    </row>
    <row r="151" spans="1:12" hidden="1" x14ac:dyDescent="0.25">
      <c r="A151" s="285"/>
      <c r="B151" s="131"/>
      <c r="C151" s="131"/>
      <c r="D151" s="131"/>
      <c r="E151" s="131"/>
      <c r="F151" s="131"/>
      <c r="G151" s="131"/>
      <c r="H151" s="165"/>
      <c r="I151" s="132"/>
      <c r="J151" s="40"/>
      <c r="K151" s="84"/>
      <c r="L151" s="84"/>
    </row>
    <row r="152" spans="1:12" x14ac:dyDescent="0.25">
      <c r="A152" s="82"/>
      <c r="B152" s="688" t="s">
        <v>537</v>
      </c>
      <c r="C152" s="689"/>
      <c r="D152" s="689"/>
      <c r="E152" s="689"/>
      <c r="F152" s="689"/>
      <c r="G152" s="689"/>
      <c r="H152" s="689"/>
      <c r="I152" s="690"/>
      <c r="J152" s="45">
        <f>J162+J163</f>
        <v>0</v>
      </c>
      <c r="K152" s="45">
        <f>K153+K154+K155+K156+K157+K160+K158+K159</f>
        <v>0</v>
      </c>
      <c r="L152" s="45">
        <f>L153+L154+L155+L156+L157+L160+L158+L159</f>
        <v>0</v>
      </c>
    </row>
    <row r="153" spans="1:12" ht="15" customHeight="1" x14ac:dyDescent="0.25">
      <c r="A153" s="135"/>
      <c r="B153" s="131"/>
      <c r="C153" s="131"/>
      <c r="D153" s="131"/>
      <c r="E153" s="131"/>
      <c r="F153" s="647"/>
      <c r="G153" s="648"/>
      <c r="H153" s="131"/>
      <c r="I153" s="132"/>
      <c r="J153" s="40"/>
      <c r="K153" s="84"/>
      <c r="L153" s="84"/>
    </row>
    <row r="154" spans="1:12" hidden="1" x14ac:dyDescent="0.25">
      <c r="A154" s="135"/>
      <c r="B154" s="131"/>
      <c r="C154" s="131"/>
      <c r="D154" s="131"/>
      <c r="E154" s="131"/>
      <c r="F154" s="131"/>
      <c r="G154" s="131"/>
      <c r="H154" s="131"/>
      <c r="I154" s="132"/>
      <c r="J154" s="40"/>
      <c r="K154" s="84"/>
      <c r="L154" s="84"/>
    </row>
    <row r="155" spans="1:12" hidden="1" x14ac:dyDescent="0.25">
      <c r="A155" s="135"/>
      <c r="B155" s="131"/>
      <c r="C155" s="131"/>
      <c r="D155" s="131"/>
      <c r="E155" s="131"/>
      <c r="F155" s="131"/>
      <c r="G155" s="131"/>
      <c r="H155" s="131"/>
      <c r="I155" s="132"/>
      <c r="J155" s="40"/>
      <c r="K155" s="84"/>
      <c r="L155" s="84"/>
    </row>
    <row r="156" spans="1:12" hidden="1" x14ac:dyDescent="0.25">
      <c r="A156" s="135"/>
      <c r="B156" s="131"/>
      <c r="C156" s="131"/>
      <c r="D156" s="131"/>
      <c r="E156" s="131"/>
      <c r="F156" s="131"/>
      <c r="G156" s="131"/>
      <c r="H156" s="150"/>
      <c r="I156" s="132"/>
      <c r="J156" s="40"/>
      <c r="K156" s="84"/>
      <c r="L156" s="84"/>
    </row>
    <row r="157" spans="1:12" hidden="1" x14ac:dyDescent="0.25">
      <c r="A157" s="78"/>
      <c r="B157" s="131"/>
      <c r="C157" s="131"/>
      <c r="D157" s="131"/>
      <c r="E157" s="131"/>
      <c r="F157" s="131"/>
      <c r="G157" s="131"/>
      <c r="H157" s="168"/>
      <c r="I157" s="132"/>
      <c r="J157" s="40"/>
      <c r="K157" s="84"/>
      <c r="L157" s="84"/>
    </row>
    <row r="158" spans="1:12" hidden="1" x14ac:dyDescent="0.25">
      <c r="A158" s="82"/>
      <c r="B158" s="324"/>
      <c r="C158" s="169"/>
      <c r="D158" s="169"/>
      <c r="E158" s="169"/>
      <c r="F158" s="169"/>
      <c r="G158" s="170"/>
      <c r="H158" s="170"/>
      <c r="I158" s="137"/>
      <c r="J158" s="40"/>
      <c r="K158" s="84"/>
      <c r="L158" s="84"/>
    </row>
    <row r="159" spans="1:12" hidden="1" x14ac:dyDescent="0.25">
      <c r="A159" s="82"/>
      <c r="B159" s="324"/>
      <c r="C159" s="169"/>
      <c r="D159" s="169"/>
      <c r="E159" s="169"/>
      <c r="F159" s="169"/>
      <c r="G159" s="170"/>
      <c r="H159" s="170"/>
      <c r="I159" s="137"/>
      <c r="J159" s="40"/>
      <c r="K159" s="84"/>
      <c r="L159" s="84"/>
    </row>
    <row r="160" spans="1:12" hidden="1" x14ac:dyDescent="0.25">
      <c r="A160" s="82"/>
      <c r="B160" s="319"/>
      <c r="C160" s="320"/>
      <c r="D160" s="320"/>
      <c r="E160" s="320"/>
      <c r="F160" s="320"/>
      <c r="G160" s="171"/>
      <c r="H160" s="171"/>
      <c r="I160" s="35"/>
      <c r="J160" s="40"/>
      <c r="K160" s="84"/>
      <c r="L160" s="84"/>
    </row>
    <row r="161" spans="1:12" hidden="1" x14ac:dyDescent="0.25">
      <c r="A161" s="82"/>
      <c r="B161" s="320"/>
      <c r="C161" s="320"/>
      <c r="D161" s="320"/>
      <c r="E161" s="320"/>
      <c r="F161" s="320"/>
      <c r="G161" s="171"/>
      <c r="H161" s="171"/>
      <c r="I161" s="35"/>
      <c r="J161" s="40"/>
      <c r="K161" s="84"/>
      <c r="L161" s="84"/>
    </row>
    <row r="162" spans="1:12" hidden="1" x14ac:dyDescent="0.25">
      <c r="A162" s="82"/>
      <c r="B162" s="320"/>
      <c r="C162" s="320"/>
      <c r="D162" s="320"/>
      <c r="E162" s="320"/>
      <c r="F162" s="320"/>
      <c r="G162" s="171"/>
      <c r="H162" s="171"/>
      <c r="I162" s="116"/>
      <c r="J162" s="40"/>
      <c r="K162" s="84"/>
      <c r="L162" s="84"/>
    </row>
    <row r="163" spans="1:12" hidden="1" x14ac:dyDescent="0.25">
      <c r="A163" s="82"/>
      <c r="B163" s="320"/>
      <c r="C163" s="320"/>
      <c r="D163" s="320"/>
      <c r="E163" s="320"/>
      <c r="F163" s="320"/>
      <c r="G163" s="171"/>
      <c r="H163" s="171"/>
      <c r="I163" s="35"/>
      <c r="J163" s="40"/>
      <c r="K163" s="84"/>
      <c r="L163" s="84"/>
    </row>
    <row r="164" spans="1:12" hidden="1" x14ac:dyDescent="0.25">
      <c r="A164" s="82"/>
      <c r="B164" s="320"/>
      <c r="C164" s="320"/>
      <c r="D164" s="320"/>
      <c r="E164" s="320"/>
      <c r="F164" s="320"/>
      <c r="G164" s="171"/>
      <c r="H164" s="171"/>
      <c r="I164" s="35"/>
      <c r="J164" s="40"/>
      <c r="K164" s="84"/>
      <c r="L164" s="84"/>
    </row>
    <row r="165" spans="1:12" hidden="1" x14ac:dyDescent="0.25">
      <c r="A165" s="82"/>
      <c r="B165" s="320"/>
      <c r="C165" s="320"/>
      <c r="D165" s="320"/>
      <c r="E165" s="320"/>
      <c r="F165" s="320"/>
      <c r="G165" s="171"/>
      <c r="H165" s="171"/>
      <c r="I165" s="35"/>
      <c r="J165" s="40"/>
      <c r="K165" s="84"/>
      <c r="L165" s="84"/>
    </row>
    <row r="166" spans="1:12" x14ac:dyDescent="0.25">
      <c r="A166" s="82"/>
      <c r="B166" s="685" t="s">
        <v>538</v>
      </c>
      <c r="C166" s="686"/>
      <c r="D166" s="686"/>
      <c r="E166" s="686"/>
      <c r="F166" s="686"/>
      <c r="G166" s="686"/>
      <c r="H166" s="686"/>
      <c r="I166" s="687"/>
      <c r="J166" s="45">
        <f>J167+J168+J169</f>
        <v>0</v>
      </c>
      <c r="K166" s="45">
        <f>K167+K168+K169</f>
        <v>0</v>
      </c>
      <c r="L166" s="45">
        <f>L167+L168+L169</f>
        <v>0</v>
      </c>
    </row>
    <row r="167" spans="1:12" ht="15" customHeight="1" x14ac:dyDescent="0.25">
      <c r="A167" s="78"/>
      <c r="B167" s="131"/>
      <c r="C167" s="131"/>
      <c r="D167" s="131"/>
      <c r="E167" s="131"/>
      <c r="F167" s="647"/>
      <c r="G167" s="648"/>
      <c r="H167" s="149"/>
      <c r="I167" s="132"/>
      <c r="J167" s="40"/>
      <c r="K167" s="84"/>
      <c r="L167" s="84"/>
    </row>
    <row r="168" spans="1:12" hidden="1" x14ac:dyDescent="0.25">
      <c r="A168" s="323"/>
      <c r="B168" s="131"/>
      <c r="C168" s="131"/>
      <c r="D168" s="131"/>
      <c r="E168" s="131"/>
      <c r="F168" s="131"/>
      <c r="G168" s="165"/>
      <c r="H168" s="150"/>
      <c r="I168" s="132"/>
      <c r="J168" s="40"/>
      <c r="K168" s="84"/>
      <c r="L168" s="84"/>
    </row>
    <row r="169" spans="1:12" hidden="1" x14ac:dyDescent="0.25">
      <c r="A169" s="78"/>
      <c r="B169" s="131"/>
      <c r="C169" s="131"/>
      <c r="D169" s="131"/>
      <c r="E169" s="131"/>
      <c r="F169" s="131"/>
      <c r="G169" s="165"/>
      <c r="H169" s="150"/>
      <c r="I169" s="132"/>
      <c r="J169" s="40"/>
      <c r="K169" s="84"/>
      <c r="L169" s="84"/>
    </row>
    <row r="170" spans="1:12" hidden="1" x14ac:dyDescent="0.25">
      <c r="A170" s="78"/>
      <c r="B170" s="131"/>
      <c r="C170" s="131"/>
      <c r="D170" s="131"/>
      <c r="E170" s="131"/>
      <c r="F170" s="131"/>
      <c r="G170" s="131"/>
      <c r="H170" s="131"/>
      <c r="I170" s="132"/>
      <c r="J170" s="40"/>
      <c r="K170" s="84"/>
      <c r="L170" s="84"/>
    </row>
    <row r="171" spans="1:12" hidden="1" x14ac:dyDescent="0.25">
      <c r="A171" s="82"/>
      <c r="B171" s="325"/>
      <c r="C171" s="171"/>
      <c r="D171" s="171"/>
      <c r="E171" s="171"/>
      <c r="F171" s="171"/>
      <c r="G171" s="171"/>
      <c r="H171" s="171"/>
      <c r="I171" s="35"/>
      <c r="J171" s="40"/>
      <c r="K171" s="84"/>
      <c r="L171" s="84"/>
    </row>
    <row r="172" spans="1:12" hidden="1" x14ac:dyDescent="0.25">
      <c r="A172" s="82"/>
      <c r="B172" s="325"/>
      <c r="C172" s="171"/>
      <c r="D172" s="171"/>
      <c r="E172" s="171"/>
      <c r="F172" s="171"/>
      <c r="G172" s="171"/>
      <c r="H172" s="171"/>
      <c r="I172" s="35"/>
      <c r="J172" s="40"/>
      <c r="K172" s="84"/>
      <c r="L172" s="84"/>
    </row>
    <row r="173" spans="1:12" x14ac:dyDescent="0.25">
      <c r="A173" s="82"/>
      <c r="B173" s="688" t="s">
        <v>539</v>
      </c>
      <c r="C173" s="689"/>
      <c r="D173" s="689"/>
      <c r="E173" s="689"/>
      <c r="F173" s="689"/>
      <c r="G173" s="689"/>
      <c r="H173" s="689"/>
      <c r="I173" s="690"/>
      <c r="J173" s="45">
        <f>J174+J175+J176+J177+J178+J179+J180+J181</f>
        <v>0</v>
      </c>
      <c r="K173" s="45">
        <f>K175+K176+K177+K181</f>
        <v>0</v>
      </c>
      <c r="L173" s="45">
        <f>L175+L176+L177+L181</f>
        <v>0</v>
      </c>
    </row>
    <row r="174" spans="1:12" ht="24.75" customHeight="1" x14ac:dyDescent="0.25">
      <c r="A174" s="82"/>
      <c r="B174" s="318"/>
      <c r="C174" s="318"/>
      <c r="D174" s="318"/>
      <c r="E174" s="318"/>
      <c r="F174" s="669"/>
      <c r="G174" s="670"/>
      <c r="H174" s="318"/>
      <c r="I174" s="265"/>
      <c r="J174" s="266"/>
      <c r="K174" s="40">
        <v>0</v>
      </c>
      <c r="L174" s="40">
        <v>0</v>
      </c>
    </row>
    <row r="175" spans="1:12" hidden="1" x14ac:dyDescent="0.25">
      <c r="A175" s="82"/>
      <c r="B175" s="300"/>
      <c r="C175" s="300"/>
      <c r="D175" s="300"/>
      <c r="E175" s="300"/>
      <c r="F175" s="300"/>
      <c r="G175" s="300"/>
      <c r="H175" s="313"/>
      <c r="I175" s="116"/>
      <c r="J175" s="40"/>
      <c r="K175" s="302"/>
      <c r="L175" s="302"/>
    </row>
    <row r="176" spans="1:12" hidden="1" x14ac:dyDescent="0.25">
      <c r="A176" s="82"/>
      <c r="B176" s="131"/>
      <c r="C176" s="131"/>
      <c r="D176" s="131"/>
      <c r="E176" s="131"/>
      <c r="F176" s="131"/>
      <c r="G176" s="131"/>
      <c r="H176" s="131"/>
      <c r="I176" s="120"/>
      <c r="J176" s="40"/>
      <c r="K176" s="108"/>
      <c r="L176" s="108"/>
    </row>
    <row r="177" spans="1:12" hidden="1" x14ac:dyDescent="0.25">
      <c r="A177" s="82"/>
      <c r="B177" s="131"/>
      <c r="C177" s="131"/>
      <c r="D177" s="131"/>
      <c r="E177" s="131"/>
      <c r="F177" s="131"/>
      <c r="G177" s="131"/>
      <c r="H177" s="149"/>
      <c r="I177" s="116"/>
      <c r="J177" s="40"/>
      <c r="K177" s="84"/>
      <c r="L177" s="84"/>
    </row>
    <row r="178" spans="1:12" hidden="1" x14ac:dyDescent="0.25">
      <c r="A178" s="82"/>
      <c r="B178" s="131"/>
      <c r="C178" s="131"/>
      <c r="D178" s="131"/>
      <c r="E178" s="131"/>
      <c r="F178" s="131"/>
      <c r="G178" s="131"/>
      <c r="H178" s="149"/>
      <c r="I178" s="116"/>
      <c r="J178" s="40"/>
      <c r="K178" s="84"/>
      <c r="L178" s="84"/>
    </row>
    <row r="179" spans="1:12" hidden="1" x14ac:dyDescent="0.25">
      <c r="A179" s="82"/>
      <c r="B179" s="131"/>
      <c r="C179" s="131"/>
      <c r="D179" s="131"/>
      <c r="E179" s="131"/>
      <c r="F179" s="131"/>
      <c r="G179" s="131"/>
      <c r="H179" s="149"/>
      <c r="I179" s="116"/>
      <c r="J179" s="40"/>
      <c r="K179" s="84"/>
      <c r="L179" s="84"/>
    </row>
    <row r="180" spans="1:12" hidden="1" x14ac:dyDescent="0.25">
      <c r="A180" s="82"/>
      <c r="B180" s="131"/>
      <c r="C180" s="131"/>
      <c r="D180" s="131"/>
      <c r="E180" s="131"/>
      <c r="F180" s="131"/>
      <c r="G180" s="131"/>
      <c r="H180" s="149"/>
      <c r="I180" s="287"/>
      <c r="J180" s="40"/>
      <c r="K180" s="84"/>
      <c r="L180" s="84"/>
    </row>
    <row r="181" spans="1:12" s="1" customFormat="1" hidden="1" x14ac:dyDescent="0.25">
      <c r="A181" s="151"/>
      <c r="B181" s="131"/>
      <c r="C181" s="131"/>
      <c r="D181" s="131"/>
      <c r="E181" s="131"/>
      <c r="F181" s="131"/>
      <c r="G181" s="131"/>
      <c r="H181" s="131"/>
      <c r="I181" s="116"/>
      <c r="J181" s="40"/>
      <c r="K181" s="84"/>
      <c r="L181" s="84"/>
    </row>
    <row r="182" spans="1:12" s="1" customFormat="1" hidden="1" x14ac:dyDescent="0.25">
      <c r="A182" s="314"/>
      <c r="B182" s="131"/>
      <c r="C182" s="131"/>
      <c r="D182" s="131"/>
      <c r="E182" s="131"/>
      <c r="F182" s="131"/>
      <c r="G182" s="131"/>
      <c r="H182" s="131"/>
      <c r="I182" s="132"/>
      <c r="J182" s="40"/>
      <c r="K182" s="84"/>
      <c r="L182" s="84"/>
    </row>
    <row r="183" spans="1:12" hidden="1" x14ac:dyDescent="0.25">
      <c r="A183" s="78"/>
      <c r="B183" s="131"/>
      <c r="C183" s="131"/>
      <c r="D183" s="131"/>
      <c r="E183" s="131"/>
      <c r="F183" s="131"/>
      <c r="G183" s="131"/>
      <c r="H183" s="131"/>
      <c r="I183" s="132"/>
      <c r="J183" s="40"/>
      <c r="K183" s="84"/>
      <c r="L183" s="84"/>
    </row>
    <row r="184" spans="1:12" hidden="1" x14ac:dyDescent="0.25">
      <c r="A184" s="78"/>
      <c r="B184" s="131"/>
      <c r="C184" s="131"/>
      <c r="D184" s="131"/>
      <c r="E184" s="131"/>
      <c r="F184" s="131"/>
      <c r="G184" s="131"/>
      <c r="H184" s="131"/>
      <c r="I184" s="132"/>
      <c r="J184" s="40"/>
      <c r="K184" s="84"/>
      <c r="L184" s="84"/>
    </row>
    <row r="185" spans="1:12" hidden="1" x14ac:dyDescent="0.25">
      <c r="A185" s="82"/>
      <c r="B185" s="324"/>
      <c r="C185" s="169"/>
      <c r="D185" s="169"/>
      <c r="E185" s="169"/>
      <c r="F185" s="169"/>
      <c r="G185" s="170"/>
      <c r="H185" s="170"/>
      <c r="I185" s="137"/>
      <c r="J185" s="40"/>
      <c r="K185" s="84"/>
      <c r="L185" s="84"/>
    </row>
    <row r="186" spans="1:12" hidden="1" x14ac:dyDescent="0.25">
      <c r="A186" s="82"/>
      <c r="B186" s="324"/>
      <c r="C186" s="169"/>
      <c r="D186" s="169"/>
      <c r="E186" s="169"/>
      <c r="F186" s="169"/>
      <c r="G186" s="170"/>
      <c r="H186" s="170"/>
      <c r="I186" s="137"/>
      <c r="J186" s="40"/>
      <c r="K186" s="84"/>
      <c r="L186" s="84"/>
    </row>
    <row r="187" spans="1:12" hidden="1" x14ac:dyDescent="0.25">
      <c r="A187" s="82"/>
      <c r="B187" s="324"/>
      <c r="C187" s="169"/>
      <c r="D187" s="169"/>
      <c r="E187" s="169"/>
      <c r="F187" s="169"/>
      <c r="G187" s="170"/>
      <c r="H187" s="170"/>
      <c r="I187" s="137"/>
      <c r="J187" s="40"/>
      <c r="K187" s="84"/>
      <c r="L187" s="84"/>
    </row>
    <row r="188" spans="1:12" hidden="1" x14ac:dyDescent="0.25">
      <c r="A188" s="82"/>
      <c r="B188" s="324"/>
      <c r="C188" s="169"/>
      <c r="D188" s="169"/>
      <c r="E188" s="169"/>
      <c r="F188" s="169"/>
      <c r="G188" s="170"/>
      <c r="H188" s="170"/>
      <c r="I188" s="137"/>
      <c r="J188" s="40"/>
      <c r="K188" s="84"/>
      <c r="L188" s="84"/>
    </row>
    <row r="189" spans="1:12" x14ac:dyDescent="0.25">
      <c r="A189" s="82"/>
      <c r="B189" s="641" t="s">
        <v>540</v>
      </c>
      <c r="C189" s="642"/>
      <c r="D189" s="642"/>
      <c r="E189" s="642"/>
      <c r="F189" s="642"/>
      <c r="G189" s="642"/>
      <c r="H189" s="642"/>
      <c r="I189" s="643"/>
      <c r="J189" s="45">
        <f>J193+J192+J191+J190</f>
        <v>0</v>
      </c>
      <c r="K189" s="45">
        <f>K193+K192+K191+K190</f>
        <v>0</v>
      </c>
      <c r="L189" s="45">
        <f>L193+L192+L191+L190</f>
        <v>0</v>
      </c>
    </row>
    <row r="190" spans="1:12" x14ac:dyDescent="0.25">
      <c r="A190" s="135"/>
      <c r="B190" s="131"/>
      <c r="C190" s="131"/>
      <c r="D190" s="131"/>
      <c r="E190" s="131"/>
      <c r="F190" s="647"/>
      <c r="G190" s="648"/>
      <c r="H190" s="131"/>
      <c r="I190" s="116"/>
      <c r="J190" s="40"/>
      <c r="K190" s="84"/>
      <c r="L190" s="84"/>
    </row>
    <row r="191" spans="1:12" hidden="1" x14ac:dyDescent="0.25">
      <c r="A191" s="135"/>
      <c r="B191" s="131"/>
      <c r="C191" s="131"/>
      <c r="D191" s="131"/>
      <c r="E191" s="131"/>
      <c r="F191" s="131"/>
      <c r="G191" s="131"/>
      <c r="H191" s="131"/>
      <c r="I191" s="116"/>
      <c r="J191" s="40"/>
      <c r="K191" s="84"/>
      <c r="L191" s="84"/>
    </row>
    <row r="192" spans="1:12" hidden="1" x14ac:dyDescent="0.25">
      <c r="A192" s="82"/>
      <c r="B192" s="131"/>
      <c r="C192" s="131"/>
      <c r="D192" s="131"/>
      <c r="E192" s="131"/>
      <c r="F192" s="131"/>
      <c r="G192" s="131"/>
      <c r="H192" s="131"/>
      <c r="I192" s="132"/>
      <c r="J192" s="40"/>
      <c r="K192" s="84"/>
      <c r="L192" s="84"/>
    </row>
    <row r="193" spans="1:12" hidden="1" x14ac:dyDescent="0.25">
      <c r="A193" s="82"/>
      <c r="B193" s="319"/>
      <c r="C193" s="320"/>
      <c r="D193" s="320"/>
      <c r="E193" s="320"/>
      <c r="F193" s="320"/>
      <c r="G193" s="171"/>
      <c r="H193" s="171"/>
      <c r="I193" s="35"/>
      <c r="J193" s="40"/>
      <c r="K193" s="84"/>
      <c r="L193" s="84"/>
    </row>
    <row r="194" spans="1:12" x14ac:dyDescent="0.25">
      <c r="A194" s="82"/>
      <c r="B194" s="641" t="s">
        <v>541</v>
      </c>
      <c r="C194" s="642"/>
      <c r="D194" s="642"/>
      <c r="E194" s="642"/>
      <c r="F194" s="642"/>
      <c r="G194" s="642"/>
      <c r="H194" s="642"/>
      <c r="I194" s="643"/>
      <c r="J194" s="45">
        <f>J196+J197</f>
        <v>0</v>
      </c>
      <c r="K194" s="45">
        <f>K195</f>
        <v>0</v>
      </c>
      <c r="L194" s="45">
        <f>L195</f>
        <v>0</v>
      </c>
    </row>
    <row r="195" spans="1:12" ht="15" customHeight="1" x14ac:dyDescent="0.25">
      <c r="A195" s="135"/>
      <c r="B195" s="131"/>
      <c r="C195" s="131"/>
      <c r="D195" s="131"/>
      <c r="E195" s="131"/>
      <c r="F195" s="647"/>
      <c r="G195" s="648"/>
      <c r="H195" s="131"/>
      <c r="I195" s="132"/>
      <c r="J195" s="40"/>
      <c r="K195" s="84"/>
      <c r="L195" s="84"/>
    </row>
    <row r="196" spans="1:12" hidden="1" x14ac:dyDescent="0.25">
      <c r="A196" s="135"/>
      <c r="B196" s="160"/>
      <c r="C196" s="160"/>
      <c r="D196" s="160"/>
      <c r="E196" s="160"/>
      <c r="F196" s="160"/>
      <c r="G196" s="160"/>
      <c r="H196" s="160"/>
      <c r="I196" s="161"/>
      <c r="J196" s="162"/>
      <c r="K196" s="84">
        <v>0</v>
      </c>
      <c r="L196" s="84">
        <v>0</v>
      </c>
    </row>
    <row r="197" spans="1:12" hidden="1" x14ac:dyDescent="0.25">
      <c r="A197" s="135"/>
      <c r="B197" s="131"/>
      <c r="C197" s="131"/>
      <c r="D197" s="131"/>
      <c r="E197" s="131"/>
      <c r="F197" s="131"/>
      <c r="G197" s="131"/>
      <c r="H197" s="131"/>
      <c r="I197" s="132"/>
      <c r="J197" s="40"/>
      <c r="K197" s="84"/>
      <c r="L197" s="84"/>
    </row>
    <row r="198" spans="1:12" s="1" customFormat="1" x14ac:dyDescent="0.25">
      <c r="A198" s="25"/>
      <c r="B198" s="678" t="s">
        <v>542</v>
      </c>
      <c r="C198" s="679"/>
      <c r="D198" s="679"/>
      <c r="E198" s="679"/>
      <c r="F198" s="679"/>
      <c r="G198" s="679"/>
      <c r="H198" s="679"/>
      <c r="I198" s="680"/>
      <c r="J198" s="45">
        <f>SUM(J199:J207)</f>
        <v>0</v>
      </c>
      <c r="K198" s="45">
        <f>SUM(K199:K207)</f>
        <v>0</v>
      </c>
      <c r="L198" s="45">
        <f>SUM(L199:L207)</f>
        <v>0</v>
      </c>
    </row>
    <row r="199" spans="1:12" s="1" customFormat="1" x14ac:dyDescent="0.25">
      <c r="A199" s="151"/>
      <c r="B199" s="131"/>
      <c r="C199" s="131"/>
      <c r="D199" s="131"/>
      <c r="E199" s="131"/>
      <c r="F199" s="647"/>
      <c r="G199" s="648"/>
      <c r="H199" s="131"/>
      <c r="I199" s="132"/>
      <c r="J199" s="134"/>
      <c r="K199" s="108"/>
      <c r="L199" s="108"/>
    </row>
    <row r="200" spans="1:12" s="1" customFormat="1" ht="0.75" customHeight="1" x14ac:dyDescent="0.25">
      <c r="A200" s="151"/>
      <c r="B200" s="131"/>
      <c r="C200" s="131"/>
      <c r="D200" s="131"/>
      <c r="E200" s="131"/>
      <c r="F200" s="131"/>
      <c r="G200" s="131"/>
      <c r="H200" s="131"/>
      <c r="I200" s="132"/>
      <c r="J200" s="108"/>
      <c r="K200" s="172"/>
      <c r="L200" s="108"/>
    </row>
    <row r="201" spans="1:12" s="1" customFormat="1" hidden="1" x14ac:dyDescent="0.25">
      <c r="A201" s="153"/>
      <c r="B201" s="131"/>
      <c r="C201" s="131"/>
      <c r="D201" s="131"/>
      <c r="E201" s="131"/>
      <c r="F201" s="131"/>
      <c r="G201" s="131"/>
      <c r="H201" s="131"/>
      <c r="I201" s="35"/>
      <c r="J201" s="40"/>
      <c r="K201" s="108"/>
      <c r="L201" s="108"/>
    </row>
    <row r="202" spans="1:12" hidden="1" x14ac:dyDescent="0.25">
      <c r="A202" s="153"/>
      <c r="B202" s="131"/>
      <c r="C202" s="131"/>
      <c r="D202" s="131"/>
      <c r="E202" s="131"/>
      <c r="F202" s="131"/>
      <c r="G202" s="131"/>
      <c r="H202" s="131"/>
      <c r="I202" s="132"/>
      <c r="J202" s="40"/>
      <c r="K202" s="84"/>
      <c r="L202" s="84"/>
    </row>
    <row r="203" spans="1:12" hidden="1" x14ac:dyDescent="0.25">
      <c r="A203" s="78"/>
      <c r="B203" s="131"/>
      <c r="C203" s="131"/>
      <c r="D203" s="131"/>
      <c r="E203" s="131"/>
      <c r="F203" s="131"/>
      <c r="G203" s="131"/>
      <c r="H203" s="131"/>
      <c r="I203" s="173"/>
      <c r="J203" s="40"/>
      <c r="K203" s="84"/>
      <c r="L203" s="84"/>
    </row>
    <row r="204" spans="1:12" hidden="1" x14ac:dyDescent="0.25">
      <c r="A204" s="78"/>
      <c r="B204" s="131"/>
      <c r="C204" s="131"/>
      <c r="D204" s="131"/>
      <c r="E204" s="131"/>
      <c r="F204" s="131"/>
      <c r="G204" s="131"/>
      <c r="H204" s="131"/>
      <c r="I204" s="132"/>
      <c r="J204" s="40"/>
      <c r="K204" s="84"/>
      <c r="L204" s="84"/>
    </row>
    <row r="205" spans="1:12" hidden="1" x14ac:dyDescent="0.25">
      <c r="A205" s="78"/>
      <c r="B205" s="131"/>
      <c r="C205" s="131"/>
      <c r="D205" s="131"/>
      <c r="E205" s="131"/>
      <c r="F205" s="131"/>
      <c r="G205" s="131"/>
      <c r="H205" s="131"/>
      <c r="I205" s="132"/>
      <c r="J205" s="40"/>
      <c r="K205" s="84"/>
      <c r="L205" s="84"/>
    </row>
    <row r="206" spans="1:12" hidden="1" x14ac:dyDescent="0.25">
      <c r="A206" s="78"/>
      <c r="B206" s="131"/>
      <c r="C206" s="131"/>
      <c r="D206" s="131"/>
      <c r="E206" s="131"/>
      <c r="F206" s="131"/>
      <c r="G206" s="131"/>
      <c r="H206" s="131"/>
      <c r="I206" s="132"/>
      <c r="J206" s="40"/>
      <c r="K206" s="84"/>
      <c r="L206" s="84"/>
    </row>
    <row r="207" spans="1:12" x14ac:dyDescent="0.25">
      <c r="A207" s="174"/>
      <c r="B207" s="175"/>
      <c r="C207" s="175"/>
      <c r="D207" s="175"/>
      <c r="E207" s="175"/>
      <c r="F207" s="683"/>
      <c r="G207" s="684"/>
      <c r="H207" s="175"/>
      <c r="I207" s="176"/>
      <c r="J207" s="177"/>
      <c r="K207" s="178"/>
      <c r="L207" s="178"/>
    </row>
    <row r="208" spans="1:12" x14ac:dyDescent="0.25">
      <c r="A208" s="78"/>
      <c r="B208" s="131"/>
      <c r="C208" s="131"/>
      <c r="D208" s="131"/>
      <c r="E208" s="131"/>
      <c r="F208" s="647"/>
      <c r="G208" s="648"/>
      <c r="H208" s="131"/>
      <c r="I208" s="132"/>
      <c r="J208" s="40"/>
      <c r="K208" s="84"/>
      <c r="L208" s="84"/>
    </row>
    <row r="209" spans="1:12" x14ac:dyDescent="0.25">
      <c r="A209" s="82"/>
      <c r="B209" s="663" t="s">
        <v>543</v>
      </c>
      <c r="C209" s="664"/>
      <c r="D209" s="664"/>
      <c r="E209" s="664"/>
      <c r="F209" s="664"/>
      <c r="G209" s="664"/>
      <c r="H209" s="664"/>
      <c r="I209" s="665"/>
      <c r="J209" s="45">
        <f>J198+J173+J166+J152+J112+J95+J71+J54+J109+J189+J194+J74+J208</f>
        <v>0</v>
      </c>
      <c r="K209" s="45">
        <f>K198+K173+K166+K152+K112+K95+K71+K54+K109+K189+K194+K74+K208</f>
        <v>0</v>
      </c>
      <c r="L209" s="45">
        <f>L198+L173+L166+L152+L112+L95+L71+L54+L109+L189+L194+L74+L208</f>
        <v>0</v>
      </c>
    </row>
    <row r="210" spans="1:12" x14ac:dyDescent="0.25">
      <c r="I210" s="24"/>
      <c r="J210" s="64"/>
    </row>
    <row r="211" spans="1:12" x14ac:dyDescent="0.25">
      <c r="I211" s="24"/>
      <c r="J211" s="64"/>
      <c r="K211" s="64"/>
      <c r="L211" s="64"/>
    </row>
    <row r="212" spans="1:12" x14ac:dyDescent="0.25">
      <c r="I212" s="24"/>
      <c r="J212" s="64"/>
    </row>
    <row r="213" spans="1:12" s="1" customFormat="1" x14ac:dyDescent="0.25">
      <c r="A213" s="631" t="s">
        <v>544</v>
      </c>
      <c r="B213" s="631"/>
      <c r="C213" s="631"/>
      <c r="D213" s="631"/>
      <c r="E213" s="631"/>
      <c r="F213" s="631"/>
      <c r="G213" s="631"/>
      <c r="H213" s="631"/>
      <c r="I213" s="583" t="s">
        <v>545</v>
      </c>
      <c r="J213" s="583"/>
    </row>
    <row r="214" spans="1:12" x14ac:dyDescent="0.25">
      <c r="K214" s="3" t="s">
        <v>897</v>
      </c>
      <c r="L214" s="275">
        <f>'П4ДОХОДЫ '!E61</f>
        <v>649609512.62999988</v>
      </c>
    </row>
    <row r="215" spans="1:12" x14ac:dyDescent="0.25">
      <c r="K215" s="3" t="s">
        <v>927</v>
      </c>
      <c r="L215" s="275">
        <f>П4ВСР!Z478</f>
        <v>1049428555.2409999</v>
      </c>
    </row>
    <row r="216" spans="1:12" x14ac:dyDescent="0.25">
      <c r="K216" s="27" t="s">
        <v>898</v>
      </c>
      <c r="L216" s="275">
        <f>'П4ДОХОДЫ '!E71</f>
        <v>178509913.28999999</v>
      </c>
    </row>
    <row r="217" spans="1:12" x14ac:dyDescent="0.25">
      <c r="A217" s="1" t="s">
        <v>546</v>
      </c>
      <c r="K217" s="27" t="s">
        <v>926</v>
      </c>
      <c r="L217" s="275">
        <f>L214-L215</f>
        <v>-399819042.61100006</v>
      </c>
    </row>
    <row r="218" spans="1:12" x14ac:dyDescent="0.25">
      <c r="A218" s="681" t="s">
        <v>547</v>
      </c>
      <c r="B218" s="681"/>
      <c r="C218" s="76"/>
      <c r="D218" s="76"/>
      <c r="E218" s="76"/>
      <c r="F218" s="76"/>
      <c r="G218" s="76"/>
      <c r="H218" s="76"/>
      <c r="I218" s="76"/>
      <c r="J218" s="76"/>
      <c r="K218" s="27"/>
      <c r="L218" s="275">
        <f>П1ИВФ!C20</f>
        <v>9540959.9600000009</v>
      </c>
    </row>
    <row r="219" spans="1:12" x14ac:dyDescent="0.25">
      <c r="B219" s="682"/>
      <c r="C219" s="682"/>
      <c r="D219" s="682"/>
      <c r="E219" s="682"/>
      <c r="F219" s="682"/>
      <c r="G219" s="682"/>
      <c r="H219" s="682"/>
      <c r="I219" s="682"/>
      <c r="J219" s="179"/>
      <c r="L219" s="3">
        <f>L218/L216*100</f>
        <v>5.3447787767955175</v>
      </c>
    </row>
    <row r="220" spans="1:12" x14ac:dyDescent="0.25">
      <c r="B220" s="583"/>
      <c r="C220" s="583"/>
      <c r="D220" s="583"/>
      <c r="E220" s="583"/>
      <c r="F220" s="583"/>
      <c r="G220" s="583"/>
      <c r="H220" s="583"/>
      <c r="I220" s="583"/>
      <c r="J220" s="5"/>
      <c r="K220" s="5"/>
      <c r="L220" s="5"/>
    </row>
    <row r="221" spans="1:12" x14ac:dyDescent="0.25">
      <c r="B221" s="316"/>
      <c r="C221" s="316"/>
      <c r="D221" s="316"/>
      <c r="E221" s="316"/>
      <c r="F221" s="316"/>
      <c r="G221" s="316"/>
      <c r="H221" s="316"/>
      <c r="I221" s="180"/>
      <c r="J221" s="5"/>
      <c r="K221" s="5"/>
      <c r="L221" s="5"/>
    </row>
    <row r="222" spans="1:12" x14ac:dyDescent="0.25">
      <c r="B222" s="316"/>
      <c r="C222" s="316"/>
      <c r="D222" s="316"/>
      <c r="E222" s="316"/>
      <c r="F222" s="316"/>
      <c r="G222" s="316"/>
      <c r="H222" s="316"/>
      <c r="I222" s="180"/>
      <c r="J222" s="5"/>
      <c r="K222" s="5"/>
      <c r="L222" s="5"/>
    </row>
    <row r="223" spans="1:12" x14ac:dyDescent="0.25">
      <c r="B223" s="316"/>
      <c r="C223" s="316"/>
      <c r="D223" s="316"/>
      <c r="E223" s="316"/>
      <c r="F223" s="316"/>
      <c r="G223" s="316"/>
      <c r="H223" s="316"/>
      <c r="I223" s="180"/>
      <c r="J223" s="5"/>
      <c r="K223" s="5"/>
      <c r="L223" s="5"/>
    </row>
    <row r="224" spans="1:12" x14ac:dyDescent="0.25">
      <c r="B224" s="316"/>
      <c r="C224" s="316"/>
      <c r="D224" s="316"/>
      <c r="E224" s="316"/>
      <c r="F224" s="316"/>
      <c r="G224" s="316"/>
      <c r="H224" s="316"/>
      <c r="I224" s="180"/>
      <c r="J224" s="5"/>
      <c r="K224" s="5"/>
      <c r="L224" s="5"/>
    </row>
    <row r="225" spans="2:12" x14ac:dyDescent="0.25">
      <c r="B225" s="583"/>
      <c r="C225" s="583"/>
      <c r="D225" s="583"/>
      <c r="E225" s="583"/>
      <c r="F225" s="583"/>
      <c r="G225" s="583"/>
      <c r="H225" s="583"/>
      <c r="I225" s="583"/>
      <c r="J225" s="5"/>
      <c r="K225" s="5"/>
      <c r="L225" s="5"/>
    </row>
    <row r="226" spans="2:12" x14ac:dyDescent="0.25">
      <c r="B226" s="316"/>
      <c r="C226" s="316"/>
      <c r="D226" s="316"/>
      <c r="E226" s="316"/>
      <c r="F226" s="316"/>
      <c r="G226" s="316"/>
      <c r="H226" s="316"/>
      <c r="I226" s="180"/>
      <c r="J226" s="5"/>
      <c r="K226" s="5"/>
      <c r="L226" s="5"/>
    </row>
    <row r="227" spans="2:12" x14ac:dyDescent="0.25">
      <c r="B227" s="316"/>
      <c r="C227" s="316"/>
      <c r="D227" s="316"/>
      <c r="E227" s="316"/>
      <c r="F227" s="316"/>
      <c r="G227" s="316"/>
      <c r="H227" s="316"/>
      <c r="I227" s="180"/>
      <c r="J227" s="5"/>
      <c r="K227" s="5"/>
      <c r="L227" s="5"/>
    </row>
    <row r="228" spans="2:12" x14ac:dyDescent="0.25">
      <c r="B228" s="316"/>
      <c r="C228" s="316"/>
      <c r="D228" s="316"/>
      <c r="E228" s="316"/>
      <c r="F228" s="316"/>
      <c r="G228" s="316"/>
      <c r="H228" s="316"/>
      <c r="I228" s="180"/>
      <c r="J228" s="5"/>
      <c r="K228" s="5"/>
      <c r="L228" s="5"/>
    </row>
    <row r="229" spans="2:12" x14ac:dyDescent="0.25">
      <c r="B229" s="316"/>
      <c r="C229" s="316"/>
      <c r="D229" s="316"/>
      <c r="E229" s="316"/>
      <c r="F229" s="316"/>
      <c r="G229" s="316"/>
      <c r="H229" s="316"/>
      <c r="I229" s="180"/>
      <c r="J229" s="5"/>
      <c r="K229" s="5"/>
      <c r="L229" s="5"/>
    </row>
    <row r="230" spans="2:12" x14ac:dyDescent="0.25">
      <c r="B230" s="583"/>
      <c r="C230" s="583"/>
      <c r="D230" s="583"/>
      <c r="E230" s="583"/>
      <c r="F230" s="583"/>
      <c r="G230" s="583"/>
      <c r="H230" s="583"/>
      <c r="I230" s="583"/>
      <c r="J230" s="5"/>
      <c r="K230" s="5"/>
      <c r="L230" s="5"/>
    </row>
    <row r="231" spans="2:12" x14ac:dyDescent="0.25">
      <c r="B231" s="682"/>
      <c r="C231" s="682"/>
      <c r="D231" s="682"/>
      <c r="E231" s="682"/>
      <c r="F231" s="682"/>
      <c r="G231" s="682"/>
      <c r="H231" s="682"/>
      <c r="I231" s="682"/>
      <c r="J231" s="179"/>
    </row>
    <row r="232" spans="2:12" x14ac:dyDescent="0.25">
      <c r="B232" s="583"/>
      <c r="C232" s="583"/>
      <c r="D232" s="583"/>
      <c r="E232" s="583"/>
      <c r="F232" s="583"/>
      <c r="G232" s="583"/>
      <c r="H232" s="583"/>
      <c r="I232" s="583"/>
      <c r="J232" s="5"/>
      <c r="K232" s="5"/>
      <c r="L232" s="5"/>
    </row>
    <row r="233" spans="2:12" x14ac:dyDescent="0.25">
      <c r="B233" s="583"/>
      <c r="C233" s="583"/>
      <c r="D233" s="583"/>
      <c r="E233" s="583"/>
      <c r="F233" s="583"/>
      <c r="G233" s="583"/>
      <c r="H233" s="583"/>
      <c r="I233" s="583"/>
      <c r="J233" s="5"/>
      <c r="K233" s="5"/>
      <c r="L233" s="5"/>
    </row>
    <row r="234" spans="2:12" x14ac:dyDescent="0.25">
      <c r="B234" s="583"/>
      <c r="C234" s="583"/>
      <c r="D234" s="583"/>
      <c r="E234" s="583"/>
      <c r="F234" s="583"/>
      <c r="G234" s="583"/>
      <c r="H234" s="583"/>
      <c r="I234" s="583"/>
      <c r="J234" s="5"/>
      <c r="K234" s="5"/>
      <c r="L234" s="5"/>
    </row>
    <row r="235" spans="2:12" x14ac:dyDescent="0.25">
      <c r="B235" s="583"/>
      <c r="C235" s="583"/>
      <c r="D235" s="583"/>
      <c r="E235" s="583"/>
      <c r="F235" s="583"/>
      <c r="G235" s="583"/>
      <c r="H235" s="583"/>
      <c r="I235" s="583"/>
      <c r="J235" s="5"/>
      <c r="K235" s="5"/>
      <c r="L235" s="5"/>
    </row>
    <row r="236" spans="2:12" x14ac:dyDescent="0.25">
      <c r="B236" s="682"/>
      <c r="C236" s="682"/>
      <c r="D236" s="682"/>
      <c r="E236" s="682"/>
      <c r="F236" s="682"/>
      <c r="G236" s="682"/>
      <c r="H236" s="682"/>
      <c r="I236" s="682"/>
      <c r="J236" s="179"/>
    </row>
    <row r="237" spans="2:12" x14ac:dyDescent="0.25">
      <c r="B237" s="583"/>
      <c r="C237" s="583"/>
      <c r="D237" s="583"/>
      <c r="E237" s="583"/>
      <c r="F237" s="583"/>
      <c r="G237" s="583"/>
      <c r="H237" s="583"/>
      <c r="I237" s="583"/>
      <c r="J237" s="64"/>
      <c r="K237" s="64"/>
      <c r="L237" s="64"/>
    </row>
    <row r="238" spans="2:12" x14ac:dyDescent="0.25">
      <c r="B238" s="583"/>
      <c r="C238" s="583"/>
      <c r="D238" s="583"/>
      <c r="E238" s="583"/>
      <c r="F238" s="583"/>
      <c r="G238" s="583"/>
      <c r="H238" s="583"/>
      <c r="I238" s="583"/>
      <c r="J238" s="64"/>
      <c r="K238" s="64"/>
      <c r="L238" s="64"/>
    </row>
    <row r="239" spans="2:12" x14ac:dyDescent="0.25">
      <c r="B239" s="583"/>
      <c r="C239" s="583"/>
      <c r="D239" s="583"/>
      <c r="E239" s="583"/>
      <c r="F239" s="583"/>
      <c r="G239" s="583"/>
      <c r="H239" s="583"/>
      <c r="I239" s="583"/>
      <c r="J239" s="64"/>
      <c r="K239" s="64"/>
      <c r="L239" s="64"/>
    </row>
    <row r="240" spans="2:12" x14ac:dyDescent="0.25">
      <c r="B240" s="583"/>
      <c r="C240" s="583"/>
      <c r="D240" s="583"/>
      <c r="E240" s="583"/>
      <c r="F240" s="583"/>
      <c r="G240" s="583"/>
      <c r="H240" s="583"/>
      <c r="I240" s="583"/>
      <c r="J240" s="64"/>
      <c r="K240" s="64"/>
      <c r="L240" s="64"/>
    </row>
    <row r="241" spans="2:12" x14ac:dyDescent="0.25">
      <c r="B241" s="583"/>
      <c r="C241" s="583"/>
      <c r="D241" s="583"/>
      <c r="E241" s="583"/>
      <c r="F241" s="583"/>
      <c r="G241" s="583"/>
      <c r="H241" s="583"/>
      <c r="I241" s="583"/>
      <c r="J241" s="64"/>
      <c r="K241" s="64"/>
      <c r="L241" s="64"/>
    </row>
    <row r="242" spans="2:12" x14ac:dyDescent="0.25">
      <c r="B242" s="682"/>
      <c r="C242" s="682"/>
      <c r="D242" s="682"/>
      <c r="E242" s="682"/>
      <c r="F242" s="682"/>
      <c r="G242" s="682"/>
      <c r="H242" s="682"/>
      <c r="I242" s="682"/>
      <c r="J242" s="181"/>
      <c r="K242" s="181"/>
      <c r="L242" s="181"/>
    </row>
    <row r="244" spans="2:12" x14ac:dyDescent="0.25">
      <c r="I244" s="316"/>
    </row>
  </sheetData>
  <mergeCells count="80">
    <mergeCell ref="A1:L1"/>
    <mergeCell ref="A2:L2"/>
    <mergeCell ref="A4:L4"/>
    <mergeCell ref="A5:A6"/>
    <mergeCell ref="B5:H6"/>
    <mergeCell ref="I5:I6"/>
    <mergeCell ref="J5:L5"/>
    <mergeCell ref="B48:I48"/>
    <mergeCell ref="B38:I38"/>
    <mergeCell ref="B40:J40"/>
    <mergeCell ref="A41:A42"/>
    <mergeCell ref="B41:H42"/>
    <mergeCell ref="I41:I42"/>
    <mergeCell ref="J41:L41"/>
    <mergeCell ref="B43:H43"/>
    <mergeCell ref="B44:H44"/>
    <mergeCell ref="B45:H45"/>
    <mergeCell ref="B46:H46"/>
    <mergeCell ref="B47:H47"/>
    <mergeCell ref="F73:G73"/>
    <mergeCell ref="B51:J51"/>
    <mergeCell ref="A52:A53"/>
    <mergeCell ref="B52:B53"/>
    <mergeCell ref="C52:C53"/>
    <mergeCell ref="D52:D53"/>
    <mergeCell ref="E52:G53"/>
    <mergeCell ref="H52:H53"/>
    <mergeCell ref="I52:I53"/>
    <mergeCell ref="J52:L52"/>
    <mergeCell ref="B54:I54"/>
    <mergeCell ref="F55:G55"/>
    <mergeCell ref="F56:G56"/>
    <mergeCell ref="B71:I71"/>
    <mergeCell ref="F72:G72"/>
    <mergeCell ref="F115:G115"/>
    <mergeCell ref="B74:I74"/>
    <mergeCell ref="F75:G75"/>
    <mergeCell ref="B95:I95"/>
    <mergeCell ref="F96:G96"/>
    <mergeCell ref="F97:G97"/>
    <mergeCell ref="F98:G98"/>
    <mergeCell ref="B109:I109"/>
    <mergeCell ref="F110:G110"/>
    <mergeCell ref="B112:I112"/>
    <mergeCell ref="F113:G113"/>
    <mergeCell ref="F114:G114"/>
    <mergeCell ref="F199:G199"/>
    <mergeCell ref="B152:I152"/>
    <mergeCell ref="F153:G153"/>
    <mergeCell ref="B166:I166"/>
    <mergeCell ref="F167:G167"/>
    <mergeCell ref="B173:I173"/>
    <mergeCell ref="F174:G174"/>
    <mergeCell ref="B189:I189"/>
    <mergeCell ref="F190:G190"/>
    <mergeCell ref="B194:I194"/>
    <mergeCell ref="F195:G195"/>
    <mergeCell ref="B198:I198"/>
    <mergeCell ref="B232:I232"/>
    <mergeCell ref="F207:G207"/>
    <mergeCell ref="F208:G208"/>
    <mergeCell ref="B209:I209"/>
    <mergeCell ref="A213:H213"/>
    <mergeCell ref="I213:J213"/>
    <mergeCell ref="A218:B218"/>
    <mergeCell ref="B219:I219"/>
    <mergeCell ref="B220:I220"/>
    <mergeCell ref="B225:I225"/>
    <mergeCell ref="B230:I230"/>
    <mergeCell ref="B231:I231"/>
    <mergeCell ref="B239:I239"/>
    <mergeCell ref="B240:I240"/>
    <mergeCell ref="B241:I241"/>
    <mergeCell ref="B242:I242"/>
    <mergeCell ref="B233:I233"/>
    <mergeCell ref="B234:I234"/>
    <mergeCell ref="B235:I235"/>
    <mergeCell ref="B236:I236"/>
    <mergeCell ref="B237:I237"/>
    <mergeCell ref="B238:I238"/>
  </mergeCells>
  <pageMargins left="0.70866141732283472" right="0.70866141732283472" top="0.74803149606299213" bottom="0.74803149606299213" header="0.31496062992125984" footer="0.31496062992125984"/>
  <pageSetup paperSize="9" scale="54"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229"/>
      <c r="B1" s="230"/>
      <c r="C1" s="230"/>
      <c r="D1" s="228"/>
      <c r="E1" s="228"/>
      <c r="F1" s="76"/>
      <c r="G1" s="228" t="s">
        <v>953</v>
      </c>
      <c r="H1" s="76"/>
      <c r="I1" s="76"/>
      <c r="J1" s="76"/>
    </row>
    <row r="2" spans="1:11" ht="12.75" customHeight="1" x14ac:dyDescent="0.25">
      <c r="A2" s="231"/>
      <c r="B2" s="232"/>
      <c r="C2" s="232"/>
      <c r="D2" s="228"/>
      <c r="E2" s="228"/>
      <c r="F2" s="76"/>
      <c r="G2" s="228" t="s">
        <v>30</v>
      </c>
      <c r="H2" s="76"/>
      <c r="I2" s="76"/>
      <c r="J2" s="76"/>
    </row>
    <row r="3" spans="1:11" ht="15.75" x14ac:dyDescent="0.25">
      <c r="A3" s="231"/>
      <c r="B3" s="232"/>
      <c r="C3" s="232"/>
      <c r="D3" s="228"/>
      <c r="E3" s="228"/>
      <c r="F3" s="76"/>
      <c r="G3" s="228" t="s">
        <v>32</v>
      </c>
      <c r="H3" s="76"/>
      <c r="I3" s="76"/>
      <c r="J3" s="76"/>
    </row>
    <row r="4" spans="1:11" ht="16.5" customHeight="1" x14ac:dyDescent="0.25">
      <c r="A4" s="231"/>
      <c r="B4" s="232"/>
      <c r="C4" s="232"/>
      <c r="D4" s="228"/>
      <c r="E4" s="228"/>
      <c r="F4" s="76"/>
      <c r="G4" s="2" t="s">
        <v>964</v>
      </c>
      <c r="H4" s="76"/>
      <c r="I4" s="76"/>
      <c r="J4" s="76"/>
    </row>
    <row r="5" spans="1:11" x14ac:dyDescent="0.25">
      <c r="A5" s="233"/>
      <c r="B5" s="233"/>
      <c r="C5" s="233"/>
      <c r="D5" s="233"/>
      <c r="E5" s="234"/>
      <c r="F5" s="234"/>
      <c r="G5" s="233"/>
      <c r="H5" s="233"/>
    </row>
    <row r="6" spans="1:11" ht="0.75" customHeight="1" x14ac:dyDescent="0.25">
      <c r="A6" s="233"/>
      <c r="B6" s="233"/>
      <c r="C6" s="233"/>
      <c r="D6" s="233"/>
      <c r="E6" s="233"/>
      <c r="F6" s="233"/>
      <c r="G6" s="233"/>
      <c r="H6" s="233"/>
    </row>
    <row r="7" spans="1:11" ht="15.75" x14ac:dyDescent="0.25">
      <c r="A7" s="552" t="s">
        <v>767</v>
      </c>
      <c r="B7" s="552"/>
      <c r="C7" s="552"/>
      <c r="D7" s="552"/>
      <c r="E7" s="552"/>
      <c r="F7" s="233"/>
      <c r="G7" s="233"/>
      <c r="H7" s="233"/>
    </row>
    <row r="8" spans="1:11" ht="13.15" customHeight="1" x14ac:dyDescent="0.25">
      <c r="A8" s="233"/>
      <c r="B8" s="233"/>
      <c r="C8" s="233"/>
      <c r="D8" s="233"/>
      <c r="E8" s="233"/>
      <c r="F8" s="233"/>
      <c r="G8" s="233"/>
      <c r="H8" s="233"/>
    </row>
    <row r="9" spans="1:11" ht="0.75" customHeight="1" x14ac:dyDescent="0.25">
      <c r="A9" s="235"/>
      <c r="B9" s="236"/>
      <c r="C9" s="236"/>
      <c r="D9" s="236"/>
      <c r="E9" s="236"/>
      <c r="F9" s="233"/>
      <c r="G9" s="233"/>
      <c r="H9" s="233"/>
    </row>
    <row r="10" spans="1:11" ht="15" hidden="1" customHeight="1" x14ac:dyDescent="0.25">
      <c r="A10" s="233"/>
      <c r="B10" s="233"/>
      <c r="C10" s="233"/>
      <c r="D10" s="233"/>
      <c r="E10" s="233"/>
      <c r="F10" s="233"/>
      <c r="G10" s="233"/>
      <c r="H10" s="233"/>
    </row>
    <row r="11" spans="1:11" ht="16.5" customHeight="1" x14ac:dyDescent="0.25">
      <c r="A11" s="233" t="s">
        <v>768</v>
      </c>
      <c r="B11" s="233"/>
      <c r="C11" s="233"/>
      <c r="D11" s="233"/>
      <c r="E11" s="233"/>
      <c r="F11" s="233"/>
      <c r="G11" s="233"/>
      <c r="H11" s="233"/>
    </row>
    <row r="12" spans="1:11" ht="61.9" customHeight="1" x14ac:dyDescent="0.25">
      <c r="A12" s="237" t="s">
        <v>53</v>
      </c>
      <c r="B12" s="553" t="s">
        <v>769</v>
      </c>
      <c r="C12" s="554"/>
      <c r="D12" s="237" t="s">
        <v>770</v>
      </c>
      <c r="E12" s="238" t="s">
        <v>564</v>
      </c>
      <c r="F12" s="238" t="s">
        <v>565</v>
      </c>
      <c r="G12" s="237" t="s">
        <v>566</v>
      </c>
    </row>
    <row r="13" spans="1:11" ht="58.5" customHeight="1" x14ac:dyDescent="0.25">
      <c r="A13" s="239" t="s">
        <v>15</v>
      </c>
      <c r="B13" s="555" t="s">
        <v>959</v>
      </c>
      <c r="C13" s="556"/>
      <c r="D13" s="240" t="s">
        <v>960</v>
      </c>
      <c r="E13" s="241">
        <v>807344</v>
      </c>
      <c r="F13" s="242">
        <v>0</v>
      </c>
      <c r="G13" s="242">
        <v>0</v>
      </c>
    </row>
    <row r="14" spans="1:11" ht="76.5" customHeight="1" x14ac:dyDescent="0.25">
      <c r="A14" s="239" t="s">
        <v>15</v>
      </c>
      <c r="B14" s="555" t="s">
        <v>910</v>
      </c>
      <c r="C14" s="556"/>
      <c r="D14" s="243" t="s">
        <v>818</v>
      </c>
      <c r="E14" s="241">
        <f>1721300-20+1721280</f>
        <v>3442560</v>
      </c>
      <c r="F14" s="242">
        <v>1721300</v>
      </c>
      <c r="G14" s="242">
        <v>1721300</v>
      </c>
    </row>
    <row r="15" spans="1:11" ht="42.75" customHeight="1" x14ac:dyDescent="0.25">
      <c r="A15" s="333" t="s">
        <v>15</v>
      </c>
      <c r="B15" s="555" t="s">
        <v>888</v>
      </c>
      <c r="C15" s="556"/>
      <c r="D15" s="243" t="s">
        <v>186</v>
      </c>
      <c r="E15" s="241">
        <f>584400+21900+87107200+573400+573400+29.82-2.95-24.78-18.95-2.9</f>
        <v>88860280.23999998</v>
      </c>
      <c r="F15" s="242">
        <f>584400+21900+87107200+573400+573400</f>
        <v>88860300</v>
      </c>
      <c r="G15" s="242">
        <f>584400+21900+87107200+573400+573400</f>
        <v>88860300</v>
      </c>
      <c r="I15" s="124"/>
      <c r="J15" s="124"/>
      <c r="K15" s="124"/>
    </row>
    <row r="16" spans="1:11" ht="72" customHeight="1" x14ac:dyDescent="0.25">
      <c r="A16" s="333" t="s">
        <v>15</v>
      </c>
      <c r="B16" s="555" t="s">
        <v>894</v>
      </c>
      <c r="C16" s="556"/>
      <c r="D16" s="243" t="s">
        <v>895</v>
      </c>
      <c r="E16" s="241">
        <f>-348534822.95+344062759</f>
        <v>-4472063.9499999881</v>
      </c>
      <c r="F16" s="242">
        <v>0</v>
      </c>
      <c r="G16" s="242">
        <v>0</v>
      </c>
      <c r="I16" s="124"/>
      <c r="J16" s="124"/>
      <c r="K16" s="124"/>
    </row>
    <row r="17" spans="1:11" ht="53.25" customHeight="1" x14ac:dyDescent="0.25">
      <c r="A17" s="239" t="s">
        <v>16</v>
      </c>
      <c r="B17" s="555" t="s">
        <v>771</v>
      </c>
      <c r="C17" s="556"/>
      <c r="D17" s="243" t="s">
        <v>80</v>
      </c>
      <c r="E17" s="241">
        <v>136300</v>
      </c>
      <c r="F17" s="242">
        <v>50000</v>
      </c>
      <c r="G17" s="242">
        <v>0</v>
      </c>
      <c r="I17" s="124"/>
      <c r="J17" s="124"/>
      <c r="K17" s="124"/>
    </row>
    <row r="18" spans="1:11" ht="83.25" customHeight="1" x14ac:dyDescent="0.25">
      <c r="A18" s="239" t="s">
        <v>16</v>
      </c>
      <c r="B18" s="555" t="s">
        <v>881</v>
      </c>
      <c r="C18" s="556"/>
      <c r="D18" s="334" t="s">
        <v>831</v>
      </c>
      <c r="E18" s="241">
        <f>550000+2340000+50000</f>
        <v>2940000</v>
      </c>
      <c r="F18" s="242">
        <v>550000</v>
      </c>
      <c r="G18" s="242">
        <v>550000</v>
      </c>
      <c r="I18" s="124"/>
      <c r="J18" s="124"/>
      <c r="K18" s="124"/>
    </row>
    <row r="19" spans="1:11" ht="40.5" customHeight="1" x14ac:dyDescent="0.25">
      <c r="A19" s="270" t="s">
        <v>16</v>
      </c>
      <c r="B19" s="557" t="s">
        <v>911</v>
      </c>
      <c r="C19" s="558"/>
      <c r="D19" s="272" t="s">
        <v>276</v>
      </c>
      <c r="E19" s="271">
        <f>153674400-809172-4034178</f>
        <v>148831050</v>
      </c>
      <c r="F19" s="242">
        <v>150973700</v>
      </c>
      <c r="G19" s="242">
        <v>142883600</v>
      </c>
    </row>
    <row r="20" spans="1:11" ht="45.75" customHeight="1" x14ac:dyDescent="0.25">
      <c r="A20" s="270" t="s">
        <v>16</v>
      </c>
      <c r="B20" s="557" t="s">
        <v>912</v>
      </c>
      <c r="C20" s="558"/>
      <c r="D20" s="272" t="s">
        <v>772</v>
      </c>
      <c r="E20" s="271">
        <f>1920500+16433+1096016</f>
        <v>3032949</v>
      </c>
      <c r="F20" s="242">
        <v>2365900</v>
      </c>
      <c r="G20" s="242">
        <v>2846200</v>
      </c>
    </row>
    <row r="21" spans="1:11" ht="114.75" customHeight="1" x14ac:dyDescent="0.25">
      <c r="A21" s="239" t="s">
        <v>18</v>
      </c>
      <c r="B21" s="561" t="s">
        <v>892</v>
      </c>
      <c r="C21" s="562"/>
      <c r="D21" s="243" t="s">
        <v>819</v>
      </c>
      <c r="E21" s="241">
        <f>10826900+38.46</f>
        <v>10826938.460000001</v>
      </c>
      <c r="F21" s="242">
        <v>10826900</v>
      </c>
      <c r="G21" s="242">
        <v>10826900</v>
      </c>
    </row>
    <row r="22" spans="1:11" ht="79.5" customHeight="1" x14ac:dyDescent="0.25">
      <c r="A22" s="239" t="s">
        <v>18</v>
      </c>
      <c r="B22" s="561" t="s">
        <v>888</v>
      </c>
      <c r="C22" s="562"/>
      <c r="D22" s="243" t="s">
        <v>820</v>
      </c>
      <c r="E22" s="241">
        <f>1241900-44</f>
        <v>1241856</v>
      </c>
      <c r="F22" s="242">
        <v>1241900</v>
      </c>
      <c r="G22" s="242">
        <v>1241900</v>
      </c>
    </row>
    <row r="23" spans="1:11" ht="38.25" customHeight="1" x14ac:dyDescent="0.25">
      <c r="A23" s="239" t="s">
        <v>18</v>
      </c>
      <c r="B23" s="561" t="s">
        <v>888</v>
      </c>
      <c r="C23" s="562"/>
      <c r="D23" s="243" t="s">
        <v>186</v>
      </c>
      <c r="E23" s="241">
        <f>1750200+55100-8.85-2.48</f>
        <v>1805288.67</v>
      </c>
      <c r="F23" s="242">
        <f>1750200+55100</f>
        <v>1805300</v>
      </c>
      <c r="G23" s="242">
        <f>1750200+55100</f>
        <v>1805300</v>
      </c>
    </row>
    <row r="24" spans="1:11" ht="69.75" customHeight="1" x14ac:dyDescent="0.3">
      <c r="A24" s="239" t="s">
        <v>18</v>
      </c>
      <c r="B24" s="563" t="s">
        <v>893</v>
      </c>
      <c r="C24" s="564"/>
      <c r="D24" s="334" t="s">
        <v>187</v>
      </c>
      <c r="E24" s="241">
        <f>14076600+2461156.82</f>
        <v>16537756.82</v>
      </c>
      <c r="F24" s="242">
        <v>14076600</v>
      </c>
      <c r="G24" s="242">
        <v>14076600</v>
      </c>
    </row>
    <row r="25" spans="1:11" ht="69.75" customHeight="1" x14ac:dyDescent="0.3">
      <c r="A25" s="239" t="s">
        <v>18</v>
      </c>
      <c r="B25" s="563" t="s">
        <v>888</v>
      </c>
      <c r="C25" s="564"/>
      <c r="D25" s="334" t="s">
        <v>821</v>
      </c>
      <c r="E25" s="241">
        <f>195822100-13459.9</f>
        <v>195808640.09999999</v>
      </c>
      <c r="F25" s="242">
        <v>195822100</v>
      </c>
      <c r="G25" s="242">
        <v>195822100</v>
      </c>
    </row>
    <row r="26" spans="1:11" ht="38.25" customHeight="1" x14ac:dyDescent="0.25">
      <c r="A26" s="239" t="s">
        <v>18</v>
      </c>
      <c r="B26" s="561" t="s">
        <v>891</v>
      </c>
      <c r="C26" s="562"/>
      <c r="D26" s="243" t="s">
        <v>822</v>
      </c>
      <c r="E26" s="241">
        <f>889800+547200</f>
        <v>1437000</v>
      </c>
      <c r="F26" s="242">
        <v>1035200</v>
      </c>
      <c r="G26" s="242">
        <v>1278800</v>
      </c>
    </row>
    <row r="27" spans="1:11" ht="140.25" customHeight="1" x14ac:dyDescent="0.25">
      <c r="A27" s="239" t="s">
        <v>19</v>
      </c>
      <c r="B27" s="555" t="s">
        <v>20</v>
      </c>
      <c r="C27" s="556"/>
      <c r="D27" s="240" t="s">
        <v>773</v>
      </c>
      <c r="E27" s="241">
        <v>729000</v>
      </c>
      <c r="F27" s="242">
        <v>729000</v>
      </c>
      <c r="G27" s="242">
        <v>729000</v>
      </c>
    </row>
    <row r="28" spans="1:11" ht="123.95" customHeight="1" x14ac:dyDescent="0.25">
      <c r="A28" s="239" t="s">
        <v>19</v>
      </c>
      <c r="B28" s="555" t="s">
        <v>21</v>
      </c>
      <c r="C28" s="556"/>
      <c r="D28" s="240" t="s">
        <v>774</v>
      </c>
      <c r="E28" s="241">
        <v>1166400</v>
      </c>
      <c r="F28" s="242">
        <v>1166400</v>
      </c>
      <c r="G28" s="242">
        <v>1166400</v>
      </c>
    </row>
    <row r="29" spans="1:11" ht="116.25" customHeight="1" x14ac:dyDescent="0.25">
      <c r="A29" s="239" t="s">
        <v>19</v>
      </c>
      <c r="B29" s="555" t="s">
        <v>775</v>
      </c>
      <c r="C29" s="556"/>
      <c r="D29" s="240" t="s">
        <v>776</v>
      </c>
      <c r="E29" s="241">
        <v>12684600</v>
      </c>
      <c r="F29" s="242">
        <v>12684600</v>
      </c>
      <c r="G29" s="242">
        <v>12684600</v>
      </c>
    </row>
    <row r="30" spans="1:11" ht="74.45" customHeight="1" x14ac:dyDescent="0.25">
      <c r="A30" s="239" t="s">
        <v>19</v>
      </c>
      <c r="B30" s="555" t="s">
        <v>777</v>
      </c>
      <c r="C30" s="556"/>
      <c r="D30" s="240" t="s">
        <v>22</v>
      </c>
      <c r="E30" s="241">
        <v>204000</v>
      </c>
      <c r="F30" s="242">
        <v>210000</v>
      </c>
      <c r="G30" s="242">
        <v>210000</v>
      </c>
    </row>
    <row r="31" spans="1:11" ht="111.6" customHeight="1" x14ac:dyDescent="0.25">
      <c r="A31" s="239" t="s">
        <v>19</v>
      </c>
      <c r="B31" s="555" t="s">
        <v>23</v>
      </c>
      <c r="C31" s="556"/>
      <c r="D31" s="243" t="s">
        <v>24</v>
      </c>
      <c r="E31" s="241">
        <v>5800000</v>
      </c>
      <c r="F31" s="242">
        <v>5800000</v>
      </c>
      <c r="G31" s="242">
        <v>5800000</v>
      </c>
    </row>
    <row r="32" spans="1:11" ht="49.5" customHeight="1" x14ac:dyDescent="0.25">
      <c r="A32" s="239" t="s">
        <v>19</v>
      </c>
      <c r="B32" s="555" t="s">
        <v>25</v>
      </c>
      <c r="C32" s="556"/>
      <c r="D32" s="243" t="s">
        <v>778</v>
      </c>
      <c r="E32" s="241">
        <v>100000</v>
      </c>
      <c r="F32" s="242">
        <v>100000</v>
      </c>
      <c r="G32" s="242">
        <v>100000</v>
      </c>
    </row>
    <row r="33" spans="1:7" ht="83.25" customHeight="1" x14ac:dyDescent="0.25">
      <c r="A33" s="239" t="s">
        <v>19</v>
      </c>
      <c r="B33" s="555" t="s">
        <v>26</v>
      </c>
      <c r="C33" s="556"/>
      <c r="D33" s="243" t="s">
        <v>779</v>
      </c>
      <c r="E33" s="241">
        <v>30000</v>
      </c>
      <c r="F33" s="242">
        <v>30000</v>
      </c>
      <c r="G33" s="242">
        <v>30000</v>
      </c>
    </row>
    <row r="34" spans="1:7" ht="74.45" customHeight="1" x14ac:dyDescent="0.25">
      <c r="A34" s="239" t="s">
        <v>19</v>
      </c>
      <c r="B34" s="555" t="s">
        <v>27</v>
      </c>
      <c r="C34" s="556"/>
      <c r="D34" s="243" t="s">
        <v>780</v>
      </c>
      <c r="E34" s="241">
        <v>70000</v>
      </c>
      <c r="F34" s="242">
        <v>70000</v>
      </c>
      <c r="G34" s="242">
        <v>70000</v>
      </c>
    </row>
    <row r="35" spans="1:7" ht="63.75" customHeight="1" x14ac:dyDescent="0.25">
      <c r="A35" s="239" t="s">
        <v>19</v>
      </c>
      <c r="B35" s="555" t="s">
        <v>781</v>
      </c>
      <c r="C35" s="556"/>
      <c r="D35" s="243" t="s">
        <v>782</v>
      </c>
      <c r="E35" s="241">
        <v>200000</v>
      </c>
      <c r="F35" s="242">
        <v>200000</v>
      </c>
      <c r="G35" s="242">
        <v>200000</v>
      </c>
    </row>
    <row r="36" spans="1:7" ht="65.25" customHeight="1" x14ac:dyDescent="0.25">
      <c r="A36" s="239" t="s">
        <v>14</v>
      </c>
      <c r="B36" s="555" t="s">
        <v>7</v>
      </c>
      <c r="C36" s="556"/>
      <c r="D36" s="240" t="s">
        <v>783</v>
      </c>
      <c r="E36" s="241">
        <v>16880</v>
      </c>
      <c r="F36" s="242">
        <v>17690</v>
      </c>
      <c r="G36" s="242">
        <v>18451</v>
      </c>
    </row>
    <row r="37" spans="1:7" ht="50.25" customHeight="1" x14ac:dyDescent="0.25">
      <c r="A37" s="239" t="s">
        <v>5</v>
      </c>
      <c r="B37" s="555" t="s">
        <v>784</v>
      </c>
      <c r="C37" s="556"/>
      <c r="D37" s="243" t="s">
        <v>785</v>
      </c>
      <c r="E37" s="241">
        <v>777600</v>
      </c>
      <c r="F37" s="242">
        <v>839808</v>
      </c>
      <c r="G37" s="242">
        <v>906993</v>
      </c>
    </row>
    <row r="38" spans="1:7" ht="46.5" hidden="1" customHeight="1" x14ac:dyDescent="0.25">
      <c r="A38" s="239" t="s">
        <v>5</v>
      </c>
      <c r="B38" s="555" t="s">
        <v>786</v>
      </c>
      <c r="C38" s="556"/>
      <c r="D38" s="243" t="s">
        <v>787</v>
      </c>
      <c r="E38" s="241">
        <v>0</v>
      </c>
      <c r="F38" s="242">
        <v>0</v>
      </c>
      <c r="G38" s="242">
        <v>0</v>
      </c>
    </row>
    <row r="39" spans="1:7" ht="36" customHeight="1" x14ac:dyDescent="0.25">
      <c r="A39" s="239" t="s">
        <v>5</v>
      </c>
      <c r="B39" s="555" t="s">
        <v>788</v>
      </c>
      <c r="C39" s="556"/>
      <c r="D39" s="243" t="s">
        <v>789</v>
      </c>
      <c r="E39" s="241">
        <v>270000</v>
      </c>
      <c r="F39" s="242">
        <v>291600</v>
      </c>
      <c r="G39" s="242">
        <v>314928</v>
      </c>
    </row>
    <row r="40" spans="1:7" ht="39.75" customHeight="1" x14ac:dyDescent="0.25">
      <c r="A40" s="239" t="s">
        <v>5</v>
      </c>
      <c r="B40" s="555" t="s">
        <v>790</v>
      </c>
      <c r="C40" s="556"/>
      <c r="D40" s="243" t="s">
        <v>791</v>
      </c>
      <c r="E40" s="241">
        <v>1512000</v>
      </c>
      <c r="F40" s="242">
        <v>1632960</v>
      </c>
      <c r="G40" s="242">
        <v>1763597</v>
      </c>
    </row>
    <row r="41" spans="1:7" ht="61.9" customHeight="1" x14ac:dyDescent="0.25">
      <c r="A41" s="239" t="s">
        <v>792</v>
      </c>
      <c r="B41" s="555" t="s">
        <v>7</v>
      </c>
      <c r="C41" s="556"/>
      <c r="D41" s="240" t="s">
        <v>8</v>
      </c>
      <c r="E41" s="241">
        <v>88620</v>
      </c>
      <c r="F41" s="242">
        <v>92873</v>
      </c>
      <c r="G41" s="242">
        <v>96867</v>
      </c>
    </row>
    <row r="42" spans="1:7" ht="99.2" customHeight="1" x14ac:dyDescent="0.25">
      <c r="A42" s="270" t="s">
        <v>38</v>
      </c>
      <c r="B42" s="557" t="s">
        <v>10</v>
      </c>
      <c r="C42" s="558"/>
      <c r="D42" s="351" t="s">
        <v>60</v>
      </c>
      <c r="E42" s="271">
        <f>11373614.96+0.01</f>
        <v>11373614.970000001</v>
      </c>
      <c r="F42" s="352">
        <f>11373614.96+0.01</f>
        <v>11373614.970000001</v>
      </c>
      <c r="G42" s="352">
        <f>11373614.96</f>
        <v>11373614.960000001</v>
      </c>
    </row>
    <row r="43" spans="1:7" ht="128.25" customHeight="1" x14ac:dyDescent="0.25">
      <c r="A43" s="239" t="s">
        <v>38</v>
      </c>
      <c r="B43" s="555" t="s">
        <v>11</v>
      </c>
      <c r="C43" s="556"/>
      <c r="D43" s="244" t="s">
        <v>793</v>
      </c>
      <c r="E43" s="241">
        <v>259627.6</v>
      </c>
      <c r="F43" s="242">
        <v>259627.6</v>
      </c>
      <c r="G43" s="242">
        <v>259627.61</v>
      </c>
    </row>
    <row r="44" spans="1:7" ht="105.75" customHeight="1" x14ac:dyDescent="0.25">
      <c r="A44" s="270" t="s">
        <v>38</v>
      </c>
      <c r="B44" s="557" t="s">
        <v>12</v>
      </c>
      <c r="C44" s="558"/>
      <c r="D44" s="269" t="s">
        <v>794</v>
      </c>
      <c r="E44" s="271">
        <f>14229518.72</f>
        <v>14229518.720000001</v>
      </c>
      <c r="F44" s="352">
        <f>14229518.72</f>
        <v>14229518.720000001</v>
      </c>
      <c r="G44" s="352">
        <f>14229518.72</f>
        <v>14229518.720000001</v>
      </c>
    </row>
    <row r="45" spans="1:7" ht="98.25" customHeight="1" x14ac:dyDescent="0.25">
      <c r="A45" s="239" t="s">
        <v>38</v>
      </c>
      <c r="B45" s="555" t="s">
        <v>13</v>
      </c>
      <c r="C45" s="556"/>
      <c r="D45" s="244" t="s">
        <v>795</v>
      </c>
      <c r="E45" s="241">
        <v>100000</v>
      </c>
      <c r="F45" s="242">
        <v>100000</v>
      </c>
      <c r="G45" s="242">
        <v>100000</v>
      </c>
    </row>
    <row r="46" spans="1:7" ht="99" customHeight="1" x14ac:dyDescent="0.25">
      <c r="A46" s="239" t="s">
        <v>796</v>
      </c>
      <c r="B46" s="555" t="s">
        <v>797</v>
      </c>
      <c r="C46" s="556"/>
      <c r="D46" s="240" t="s">
        <v>798</v>
      </c>
      <c r="E46" s="241">
        <v>66465</v>
      </c>
      <c r="F46" s="242">
        <v>69655</v>
      </c>
      <c r="G46" s="242">
        <v>72650</v>
      </c>
    </row>
    <row r="47" spans="1:7" ht="117" customHeight="1" x14ac:dyDescent="0.25">
      <c r="A47" s="239" t="s">
        <v>34</v>
      </c>
      <c r="B47" s="555" t="s">
        <v>799</v>
      </c>
      <c r="C47" s="556"/>
      <c r="D47" s="240" t="s">
        <v>36</v>
      </c>
      <c r="E47" s="241">
        <v>102202974.97</v>
      </c>
      <c r="F47" s="242">
        <v>103440732.12</v>
      </c>
      <c r="G47" s="242">
        <v>104573428.73999999</v>
      </c>
    </row>
    <row r="48" spans="1:7" ht="159.75" customHeight="1" x14ac:dyDescent="0.25">
      <c r="A48" s="239" t="s">
        <v>34</v>
      </c>
      <c r="B48" s="555" t="s">
        <v>800</v>
      </c>
      <c r="C48" s="556"/>
      <c r="D48" s="240" t="s">
        <v>801</v>
      </c>
      <c r="E48" s="241">
        <v>350151.22</v>
      </c>
      <c r="F48" s="242">
        <v>313456.76</v>
      </c>
      <c r="G48" s="242">
        <v>316889</v>
      </c>
    </row>
    <row r="49" spans="1:7" ht="71.25" customHeight="1" x14ac:dyDescent="0.25">
      <c r="A49" s="239" t="s">
        <v>34</v>
      </c>
      <c r="B49" s="555" t="s">
        <v>802</v>
      </c>
      <c r="C49" s="556"/>
      <c r="D49" s="243" t="s">
        <v>803</v>
      </c>
      <c r="E49" s="241">
        <v>432539.81</v>
      </c>
      <c r="F49" s="242">
        <v>731399.12</v>
      </c>
      <c r="G49" s="242">
        <v>739408.26</v>
      </c>
    </row>
    <row r="50" spans="1:7" ht="42.75" customHeight="1" x14ac:dyDescent="0.25">
      <c r="A50" s="239" t="s">
        <v>34</v>
      </c>
      <c r="B50" s="555" t="s">
        <v>804</v>
      </c>
      <c r="C50" s="556"/>
      <c r="D50" s="243" t="s">
        <v>2</v>
      </c>
      <c r="E50" s="241">
        <v>20838000</v>
      </c>
      <c r="F50" s="242">
        <v>21358490</v>
      </c>
      <c r="G50" s="242">
        <v>21742418.100000001</v>
      </c>
    </row>
    <row r="51" spans="1:7" ht="33.75" customHeight="1" x14ac:dyDescent="0.25">
      <c r="A51" s="239" t="s">
        <v>34</v>
      </c>
      <c r="B51" s="555" t="s">
        <v>805</v>
      </c>
      <c r="C51" s="556"/>
      <c r="D51" s="243" t="s">
        <v>806</v>
      </c>
      <c r="E51" s="241">
        <v>20000</v>
      </c>
      <c r="F51" s="242">
        <v>20960</v>
      </c>
      <c r="G51" s="242">
        <v>21862</v>
      </c>
    </row>
    <row r="52" spans="1:7" ht="50.25" customHeight="1" x14ac:dyDescent="0.25">
      <c r="A52" s="239" t="s">
        <v>34</v>
      </c>
      <c r="B52" s="555" t="s">
        <v>807</v>
      </c>
      <c r="C52" s="556"/>
      <c r="D52" s="243" t="s">
        <v>808</v>
      </c>
      <c r="E52" s="241">
        <v>662012</v>
      </c>
      <c r="F52" s="245">
        <v>698422</v>
      </c>
      <c r="G52" s="242">
        <v>710994</v>
      </c>
    </row>
    <row r="53" spans="1:7" ht="63" x14ac:dyDescent="0.25">
      <c r="A53" s="239" t="s">
        <v>34</v>
      </c>
      <c r="B53" s="555" t="s">
        <v>809</v>
      </c>
      <c r="C53" s="556"/>
      <c r="D53" s="243" t="s">
        <v>810</v>
      </c>
      <c r="E53" s="241">
        <v>14000</v>
      </c>
      <c r="F53" s="245">
        <v>14000</v>
      </c>
      <c r="G53" s="242">
        <v>14000</v>
      </c>
    </row>
    <row r="54" spans="1:7" ht="120" customHeight="1" x14ac:dyDescent="0.25">
      <c r="A54" s="239" t="s">
        <v>34</v>
      </c>
      <c r="B54" s="555" t="s">
        <v>811</v>
      </c>
      <c r="C54" s="556"/>
      <c r="D54" s="243" t="s">
        <v>812</v>
      </c>
      <c r="E54" s="241">
        <v>3000000</v>
      </c>
      <c r="F54" s="242">
        <v>3075000</v>
      </c>
      <c r="G54" s="242">
        <v>3130000</v>
      </c>
    </row>
    <row r="55" spans="1:7" ht="110.25" x14ac:dyDescent="0.25">
      <c r="A55" s="239" t="s">
        <v>34</v>
      </c>
      <c r="B55" s="555" t="s">
        <v>813</v>
      </c>
      <c r="C55" s="556"/>
      <c r="D55" s="243" t="s">
        <v>4</v>
      </c>
      <c r="E55" s="241">
        <v>22155</v>
      </c>
      <c r="F55" s="242">
        <v>23218</v>
      </c>
      <c r="G55" s="242">
        <v>24217</v>
      </c>
    </row>
    <row r="56" spans="1:7" ht="78.75" x14ac:dyDescent="0.25">
      <c r="A56" s="239" t="s">
        <v>47</v>
      </c>
      <c r="B56" s="555" t="s">
        <v>814</v>
      </c>
      <c r="C56" s="556"/>
      <c r="D56" s="240" t="s">
        <v>815</v>
      </c>
      <c r="E56" s="241">
        <v>108665</v>
      </c>
      <c r="F56" s="242">
        <v>113881</v>
      </c>
      <c r="G56" s="242">
        <v>118777</v>
      </c>
    </row>
    <row r="57" spans="1:7" ht="63" x14ac:dyDescent="0.25">
      <c r="A57" s="239" t="s">
        <v>47</v>
      </c>
      <c r="B57" s="555" t="s">
        <v>816</v>
      </c>
      <c r="C57" s="556"/>
      <c r="D57" s="240" t="s">
        <v>8</v>
      </c>
      <c r="E57" s="241">
        <v>564636</v>
      </c>
      <c r="F57" s="242">
        <v>578751</v>
      </c>
      <c r="G57" s="242">
        <v>581235.81000000006</v>
      </c>
    </row>
    <row r="58" spans="1:7" ht="94.5" x14ac:dyDescent="0.25">
      <c r="A58" s="239" t="s">
        <v>47</v>
      </c>
      <c r="B58" s="555" t="s">
        <v>817</v>
      </c>
      <c r="C58" s="556"/>
      <c r="D58" s="240" t="s">
        <v>798</v>
      </c>
      <c r="E58" s="241">
        <v>302674</v>
      </c>
      <c r="F58" s="242">
        <v>310240</v>
      </c>
      <c r="G58" s="242">
        <v>315824</v>
      </c>
    </row>
    <row r="59" spans="1:7" ht="0.75" customHeight="1" x14ac:dyDescent="0.25">
      <c r="A59" s="239" t="s">
        <v>48</v>
      </c>
      <c r="B59" s="555" t="s">
        <v>817</v>
      </c>
      <c r="C59" s="556"/>
      <c r="D59" s="240" t="s">
        <v>798</v>
      </c>
      <c r="E59" s="241">
        <v>0</v>
      </c>
      <c r="F59" s="242"/>
      <c r="G59" s="242"/>
    </row>
    <row r="60" spans="1:7" ht="52.5" customHeight="1" x14ac:dyDescent="0.25">
      <c r="A60" s="239" t="s">
        <v>46</v>
      </c>
      <c r="B60" s="555" t="s">
        <v>9</v>
      </c>
      <c r="C60" s="556"/>
      <c r="D60" s="243" t="s">
        <v>45</v>
      </c>
      <c r="E60" s="241">
        <v>177479</v>
      </c>
      <c r="F60" s="242">
        <v>174955</v>
      </c>
      <c r="G60" s="242">
        <v>178104.19</v>
      </c>
    </row>
    <row r="61" spans="1:7" ht="20.25" customHeight="1" x14ac:dyDescent="0.25">
      <c r="A61" s="246" t="s">
        <v>103</v>
      </c>
      <c r="B61" s="559"/>
      <c r="C61" s="560"/>
      <c r="D61" s="247"/>
      <c r="E61" s="248">
        <f>E13+E14+E17+E27+E28+E29+E31+E32+E33+E34+E35+E36+E37+E38+E39+E40+E41+E42+E43+E44+E45+E46+E47+E48+E49+E50+E52+E54+E55+E56+E57+E58+E59+E60+E30+E51+E53+E20+E15+E19+E21+E22+E23+E24+E25+E26+E18+E16</f>
        <v>649609512.62999988</v>
      </c>
      <c r="F61" s="248">
        <f>F13+F14+F17+F27+F28+F29+F31+F32+F33+F34+F35+F36+F37+F38+F39+F40+F41+F42+F43+F44+F45+F46+F47+F48+F49+F50+F52+F54+F55+F56+F57+F58+F59+F60+F30+F51+F53+F20+F15+F19+F21+F22+F23+F24+F25+F26+F18</f>
        <v>650080052.28999996</v>
      </c>
      <c r="G61" s="252">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49"/>
      <c r="B64" s="124"/>
      <c r="C64" s="251" t="s">
        <v>15</v>
      </c>
      <c r="D64" s="124"/>
      <c r="E64" s="124">
        <f>E14+E15+E16+E13</f>
        <v>88638120.289999992</v>
      </c>
      <c r="F64" s="124">
        <f>F14+F15</f>
        <v>90581600</v>
      </c>
      <c r="G64" s="124">
        <f>G14+G15</f>
        <v>90581600</v>
      </c>
    </row>
    <row r="65" spans="1:7" x14ac:dyDescent="0.25">
      <c r="A65" s="249"/>
      <c r="C65" s="251" t="s">
        <v>16</v>
      </c>
      <c r="D65" s="124"/>
      <c r="E65" s="124">
        <f>E17+E18+E19+E20</f>
        <v>154940299</v>
      </c>
      <c r="F65" s="124">
        <f>F17+F18+F19+F20</f>
        <v>153939600</v>
      </c>
      <c r="G65" s="124">
        <f>G17+G18+G19+G20</f>
        <v>146279800</v>
      </c>
    </row>
    <row r="66" spans="1:7" x14ac:dyDescent="0.25">
      <c r="A66" s="249"/>
      <c r="C66" s="251" t="s">
        <v>18</v>
      </c>
      <c r="D66" s="124"/>
      <c r="E66" s="124">
        <f>E21+E22+E23+E24+E25+E26</f>
        <v>227657480.05000001</v>
      </c>
      <c r="F66" s="124">
        <f>F21+F22+F23+F24+F25+F26</f>
        <v>224808000</v>
      </c>
      <c r="G66" s="124">
        <f>G21+G22+G23+G24+G25+G26</f>
        <v>225051600</v>
      </c>
    </row>
    <row r="67" spans="1:7" x14ac:dyDescent="0.25">
      <c r="A67" s="249"/>
      <c r="C67" s="251" t="s">
        <v>19</v>
      </c>
      <c r="D67" s="124"/>
      <c r="E67" s="124">
        <f>E27+E28+E29+E30+E31+E32+E33+E34+E35</f>
        <v>20984000</v>
      </c>
      <c r="F67" s="124">
        <f>F27+F28+F29+F30+F31+F32+F33+F34+F35</f>
        <v>20990000</v>
      </c>
      <c r="G67" s="124">
        <f>G27+G28+G29+G30+G31+G32+G33+G34+G35</f>
        <v>20990000</v>
      </c>
    </row>
    <row r="68" spans="1:7" x14ac:dyDescent="0.25">
      <c r="A68" s="249"/>
      <c r="C68" s="251" t="s">
        <v>832</v>
      </c>
      <c r="D68" s="124"/>
      <c r="E68" s="124">
        <f>E36+E37+E39+E40+E41+E42+E43+E44+E45+E46+E47+E48+E49+E50+E51+E52+E53+E54+E55+E56+E57+E58+E60</f>
        <v>157389613.28999999</v>
      </c>
      <c r="F68" s="124">
        <f>F36+F37+F39+F40+F41+F42+F43+F44+F45+F46+F47+F48+F49+F50+F51+F52+F53+F54+F55+F56+F57+F58+F60</f>
        <v>159760852.29000002</v>
      </c>
      <c r="G68" s="124">
        <f>G36+G37+G39+G40+G41+G42+G43+G44+G45+G46+G47+G48+G49+G50+G51+G52+G53+G54+G55+G56+G57+G58+G60</f>
        <v>161603405.38999999</v>
      </c>
    </row>
    <row r="69" spans="1:7" x14ac:dyDescent="0.25">
      <c r="A69" s="249"/>
      <c r="D69" s="124"/>
      <c r="E69" s="124">
        <f>E64+E65+E66+E67+E68</f>
        <v>649609512.63</v>
      </c>
      <c r="F69" s="124">
        <f>F64+F65+F66+F67+F68</f>
        <v>650080052.28999996</v>
      </c>
      <c r="G69" s="124">
        <f>G64+G65+G66+G67+G68</f>
        <v>644506405.38999999</v>
      </c>
    </row>
    <row r="70" spans="1:7" x14ac:dyDescent="0.25">
      <c r="C70" s="251" t="s">
        <v>834</v>
      </c>
      <c r="D70" s="124"/>
      <c r="E70" s="124">
        <f>E14+E15+E18+E19+E20+E21+E22+E23+E24+E25+E26+E13</f>
        <v>475571663.28999996</v>
      </c>
      <c r="F70" s="124">
        <f>F14+F15+F18+F19+F20+F21+F22+F23+F24+F25+F26</f>
        <v>469279200</v>
      </c>
      <c r="G70" s="124">
        <f>G14+G15+G18+G19+G20+G21+G22+G23+G24+G25+G26</f>
        <v>461913000</v>
      </c>
    </row>
    <row r="71" spans="1:7" x14ac:dyDescent="0.25">
      <c r="C71" s="251" t="s">
        <v>833</v>
      </c>
      <c r="D71" s="124"/>
      <c r="E71" s="124">
        <f>E17+E27+E28+E29+E30+E31+E32+E33+E34+E35+E36+E37+E39+E40+E41+E42+E43+E44+E45+E46+E47+E48+E49+E50+E51+E52+E53+E54+E55+E56+E57+E58+E60</f>
        <v>178509913.28999999</v>
      </c>
      <c r="F71" s="124">
        <f>F17+F27+F28+F29+F30+F31+F32+F33+F34+F35+F36+F37+F39+F40+F41+F42+F43+F44+F45+F46+F47+F48+F49+F50+F51+F52+F53+F54+F55+F56+F57+F58+F60</f>
        <v>180800852.28999999</v>
      </c>
      <c r="G71" s="124">
        <f>G17+G27+G28+G29+G30+G31+G32+G33+G34+G35+G36+G37+G39+G40+G41+G42+G43+G44+G45+G46+G47+G48+G49+G50+G51+G52+G53+G54+G55+G56+G57+G58+G60</f>
        <v>182593405.38999999</v>
      </c>
    </row>
    <row r="72" spans="1:7" x14ac:dyDescent="0.25">
      <c r="C72" s="251" t="s">
        <v>896</v>
      </c>
      <c r="E72" s="124">
        <f>E14+E15+E16+E18+E19+E20+E21+E22+E23+E24+E25+E26+E13</f>
        <v>471099599.34000003</v>
      </c>
    </row>
    <row r="73" spans="1:7" x14ac:dyDescent="0.25">
      <c r="D73" s="124"/>
    </row>
    <row r="74" spans="1:7" x14ac:dyDescent="0.25">
      <c r="E74" s="124"/>
    </row>
    <row r="75" spans="1:7" x14ac:dyDescent="0.25">
      <c r="E75" s="124">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workbookViewId="0">
      <selection activeCell="K12" sqref="K12"/>
    </sheetView>
  </sheetViews>
  <sheetFormatPr defaultColWidth="9.140625" defaultRowHeight="15" x14ac:dyDescent="0.25"/>
  <cols>
    <col min="1" max="1" width="12.140625" style="491" customWidth="1"/>
    <col min="2" max="2" width="18.28515625" style="491" customWidth="1"/>
    <col min="3" max="3" width="10" style="491" customWidth="1"/>
    <col min="4" max="4" width="46.5703125" style="491" customWidth="1"/>
    <col min="5" max="5" width="20.5703125" style="491" customWidth="1"/>
    <col min="6" max="6" width="19.5703125" style="491" customWidth="1"/>
    <col min="7" max="7" width="20" style="491" customWidth="1"/>
    <col min="8" max="8" width="9.140625" style="491"/>
    <col min="9" max="11" width="13.5703125" style="491" bestFit="1" customWidth="1"/>
    <col min="12" max="16384" width="9.140625" style="491"/>
  </cols>
  <sheetData>
    <row r="1" spans="1:10" ht="12.75" customHeight="1" x14ac:dyDescent="0.25">
      <c r="A1" s="367"/>
      <c r="B1" s="368"/>
      <c r="C1" s="368"/>
      <c r="D1" s="487"/>
      <c r="E1" s="487"/>
      <c r="F1" s="76"/>
      <c r="G1" s="487" t="s">
        <v>953</v>
      </c>
      <c r="H1" s="76"/>
      <c r="I1" s="76"/>
      <c r="J1" s="76"/>
    </row>
    <row r="2" spans="1:10" ht="12.75" customHeight="1" x14ac:dyDescent="0.25">
      <c r="A2" s="231"/>
      <c r="B2" s="232"/>
      <c r="C2" s="232"/>
      <c r="D2" s="487"/>
      <c r="E2" s="487"/>
      <c r="F2" s="76"/>
      <c r="G2" s="487" t="s">
        <v>30</v>
      </c>
      <c r="H2" s="76"/>
      <c r="I2" s="76"/>
      <c r="J2" s="76"/>
    </row>
    <row r="3" spans="1:10" ht="15.75" x14ac:dyDescent="0.25">
      <c r="A3" s="231"/>
      <c r="B3" s="232"/>
      <c r="C3" s="232"/>
      <c r="D3" s="487"/>
      <c r="E3" s="487"/>
      <c r="F3" s="76"/>
      <c r="G3" s="487" t="s">
        <v>32</v>
      </c>
      <c r="H3" s="76"/>
      <c r="I3" s="76"/>
      <c r="J3" s="76"/>
    </row>
    <row r="4" spans="1:10" ht="16.5" customHeight="1" x14ac:dyDescent="0.25">
      <c r="A4" s="231"/>
      <c r="B4" s="232"/>
      <c r="C4" s="232"/>
      <c r="D4" s="487"/>
      <c r="E4" s="487"/>
      <c r="F4" s="76"/>
      <c r="G4" s="2" t="s">
        <v>1252</v>
      </c>
      <c r="H4" s="76"/>
      <c r="I4" s="76"/>
      <c r="J4" s="76"/>
    </row>
    <row r="5" spans="1:10" x14ac:dyDescent="0.25">
      <c r="A5" s="233"/>
      <c r="B5" s="233"/>
      <c r="C5" s="233"/>
      <c r="D5" s="233"/>
      <c r="E5" s="234"/>
      <c r="F5" s="234"/>
      <c r="G5" s="233"/>
      <c r="H5" s="233"/>
    </row>
    <row r="6" spans="1:10" ht="0.75" customHeight="1" x14ac:dyDescent="0.25">
      <c r="A6" s="233"/>
      <c r="B6" s="233"/>
      <c r="C6" s="233"/>
      <c r="D6" s="233"/>
      <c r="E6" s="233"/>
      <c r="F6" s="233"/>
      <c r="G6" s="233"/>
      <c r="H6" s="233"/>
    </row>
    <row r="7" spans="1:10" ht="15.75" x14ac:dyDescent="0.25">
      <c r="A7" s="552" t="s">
        <v>767</v>
      </c>
      <c r="B7" s="552"/>
      <c r="C7" s="552"/>
      <c r="D7" s="552"/>
      <c r="E7" s="552"/>
      <c r="F7" s="552"/>
      <c r="G7" s="552"/>
      <c r="H7" s="233"/>
    </row>
    <row r="8" spans="1:10" ht="13.15" customHeight="1" x14ac:dyDescent="0.25">
      <c r="A8" s="233"/>
      <c r="B8" s="233"/>
      <c r="C8" s="233"/>
      <c r="D8" s="233"/>
      <c r="E8" s="233"/>
      <c r="F8" s="233"/>
      <c r="G8" s="233"/>
      <c r="H8" s="233"/>
    </row>
    <row r="9" spans="1:10" ht="0.75" customHeight="1" x14ac:dyDescent="0.25">
      <c r="A9" s="235"/>
      <c r="B9" s="236"/>
      <c r="C9" s="236"/>
      <c r="D9" s="236"/>
      <c r="E9" s="236"/>
      <c r="F9" s="233"/>
      <c r="G9" s="233"/>
      <c r="H9" s="233"/>
    </row>
    <row r="10" spans="1:10" ht="15" hidden="1" customHeight="1" x14ac:dyDescent="0.25">
      <c r="A10" s="233"/>
      <c r="B10" s="233"/>
      <c r="C10" s="233"/>
      <c r="D10" s="233"/>
      <c r="E10" s="233"/>
      <c r="F10" s="233"/>
      <c r="G10" s="233"/>
      <c r="H10" s="233"/>
    </row>
    <row r="11" spans="1:10" ht="16.5" customHeight="1" x14ac:dyDescent="0.25">
      <c r="A11" s="233" t="s">
        <v>768</v>
      </c>
      <c r="B11" s="233"/>
      <c r="C11" s="233"/>
      <c r="D11" s="233"/>
      <c r="E11" s="233"/>
      <c r="F11" s="233"/>
      <c r="G11" s="233"/>
      <c r="H11" s="233"/>
    </row>
    <row r="12" spans="1:10" ht="61.9" customHeight="1" x14ac:dyDescent="0.25">
      <c r="A12" s="237" t="s">
        <v>53</v>
      </c>
      <c r="B12" s="553" t="s">
        <v>769</v>
      </c>
      <c r="C12" s="554"/>
      <c r="D12" s="237" t="s">
        <v>770</v>
      </c>
      <c r="E12" s="486" t="s">
        <v>564</v>
      </c>
      <c r="F12" s="486" t="s">
        <v>565</v>
      </c>
      <c r="G12" s="237" t="s">
        <v>566</v>
      </c>
    </row>
    <row r="13" spans="1:10" ht="33.75" customHeight="1" x14ac:dyDescent="0.25">
      <c r="A13" s="363" t="s">
        <v>519</v>
      </c>
      <c r="B13" s="567" t="s">
        <v>972</v>
      </c>
      <c r="C13" s="568"/>
      <c r="D13" s="363" t="s">
        <v>973</v>
      </c>
      <c r="E13" s="356">
        <f>E14+E19+E25+E30+E33+E36+E47+E54+E64+E52+E87+E62</f>
        <v>184855299.10999998</v>
      </c>
      <c r="F13" s="356">
        <f>F14+F19+F25+F30+F33+F36+F47+F54+F64</f>
        <v>180800852.29000002</v>
      </c>
      <c r="G13" s="357">
        <f>G14+G19+G25+G30+G33+G36+G47+G54+G64</f>
        <v>182593405.38999999</v>
      </c>
    </row>
    <row r="14" spans="1:10" ht="20.25" customHeight="1" x14ac:dyDescent="0.25">
      <c r="A14" s="363" t="s">
        <v>519</v>
      </c>
      <c r="B14" s="567" t="s">
        <v>974</v>
      </c>
      <c r="C14" s="568"/>
      <c r="D14" s="363" t="s">
        <v>1001</v>
      </c>
      <c r="E14" s="356">
        <f>E15</f>
        <v>102977906</v>
      </c>
      <c r="F14" s="356">
        <f>F15</f>
        <v>104485588.00000001</v>
      </c>
      <c r="G14" s="357">
        <f>G15</f>
        <v>105629726</v>
      </c>
    </row>
    <row r="15" spans="1:10" ht="21" customHeight="1" x14ac:dyDescent="0.25">
      <c r="A15" s="363" t="s">
        <v>34</v>
      </c>
      <c r="B15" s="567" t="s">
        <v>975</v>
      </c>
      <c r="C15" s="568"/>
      <c r="D15" s="363" t="s">
        <v>976</v>
      </c>
      <c r="E15" s="356">
        <f>E16+E17+E18</f>
        <v>102977906</v>
      </c>
      <c r="F15" s="356">
        <f>F16+F17+F18</f>
        <v>104485588.00000001</v>
      </c>
      <c r="G15" s="357">
        <f>G16+G17+G18</f>
        <v>105629726</v>
      </c>
    </row>
    <row r="16" spans="1:10" ht="111" customHeight="1" x14ac:dyDescent="0.25">
      <c r="A16" s="239" t="s">
        <v>34</v>
      </c>
      <c r="B16" s="555" t="s">
        <v>799</v>
      </c>
      <c r="C16" s="556"/>
      <c r="D16" s="359" t="s">
        <v>36</v>
      </c>
      <c r="E16" s="241">
        <v>102202974.97</v>
      </c>
      <c r="F16" s="369">
        <v>103440732.12</v>
      </c>
      <c r="G16" s="369">
        <v>104573428.73999999</v>
      </c>
    </row>
    <row r="17" spans="1:7" ht="158.25" customHeight="1" x14ac:dyDescent="0.25">
      <c r="A17" s="239" t="s">
        <v>34</v>
      </c>
      <c r="B17" s="555" t="s">
        <v>800</v>
      </c>
      <c r="C17" s="556"/>
      <c r="D17" s="359" t="s">
        <v>801</v>
      </c>
      <c r="E17" s="241">
        <f>350151.22-7760</f>
        <v>342391.22</v>
      </c>
      <c r="F17" s="369">
        <v>313456.76</v>
      </c>
      <c r="G17" s="369">
        <v>316889</v>
      </c>
    </row>
    <row r="18" spans="1:7" ht="69.75" customHeight="1" x14ac:dyDescent="0.25">
      <c r="A18" s="239" t="s">
        <v>34</v>
      </c>
      <c r="B18" s="555" t="s">
        <v>802</v>
      </c>
      <c r="C18" s="556"/>
      <c r="D18" s="360" t="s">
        <v>803</v>
      </c>
      <c r="E18" s="241">
        <v>432539.81</v>
      </c>
      <c r="F18" s="369">
        <v>731399.12</v>
      </c>
      <c r="G18" s="369">
        <v>739408.26</v>
      </c>
    </row>
    <row r="19" spans="1:7" ht="69.75" customHeight="1" x14ac:dyDescent="0.25">
      <c r="A19" s="362" t="s">
        <v>519</v>
      </c>
      <c r="B19" s="565" t="s">
        <v>995</v>
      </c>
      <c r="C19" s="566"/>
      <c r="D19" s="366" t="s">
        <v>994</v>
      </c>
      <c r="E19" s="355">
        <f>E20</f>
        <v>25962761.289999999</v>
      </c>
      <c r="F19" s="494">
        <f>F20</f>
        <v>25962761.289999999</v>
      </c>
      <c r="G19" s="494">
        <f>G20</f>
        <v>25962761.289999999</v>
      </c>
    </row>
    <row r="20" spans="1:7" ht="69.75" customHeight="1" x14ac:dyDescent="0.25">
      <c r="A20" s="362" t="s">
        <v>519</v>
      </c>
      <c r="B20" s="565" t="s">
        <v>996</v>
      </c>
      <c r="C20" s="566"/>
      <c r="D20" s="366" t="s">
        <v>997</v>
      </c>
      <c r="E20" s="241">
        <f>E21+E22+E23+E24</f>
        <v>25962761.289999999</v>
      </c>
      <c r="F20" s="241">
        <f>F21+F22+F23+F24</f>
        <v>25962761.289999999</v>
      </c>
      <c r="G20" s="354">
        <f>G21+G22+G23+G24</f>
        <v>25962761.289999999</v>
      </c>
    </row>
    <row r="21" spans="1:7" ht="102" customHeight="1" x14ac:dyDescent="0.25">
      <c r="A21" s="239" t="s">
        <v>38</v>
      </c>
      <c r="B21" s="555" t="s">
        <v>10</v>
      </c>
      <c r="C21" s="556"/>
      <c r="D21" s="19" t="s">
        <v>60</v>
      </c>
      <c r="E21" s="241">
        <f>11373614.96+0.01</f>
        <v>11373614.970000001</v>
      </c>
      <c r="F21" s="369">
        <f>11373614.96+0.01</f>
        <v>11373614.970000001</v>
      </c>
      <c r="G21" s="369">
        <f>11373614.96</f>
        <v>11373614.960000001</v>
      </c>
    </row>
    <row r="22" spans="1:7" ht="138.75" customHeight="1" x14ac:dyDescent="0.25">
      <c r="A22" s="239" t="s">
        <v>38</v>
      </c>
      <c r="B22" s="555" t="s">
        <v>11</v>
      </c>
      <c r="C22" s="556"/>
      <c r="D22" s="343" t="s">
        <v>793</v>
      </c>
      <c r="E22" s="241">
        <v>259627.6</v>
      </c>
      <c r="F22" s="369">
        <v>259627.6</v>
      </c>
      <c r="G22" s="369">
        <v>259627.61</v>
      </c>
    </row>
    <row r="23" spans="1:7" ht="102" customHeight="1" x14ac:dyDescent="0.25">
      <c r="A23" s="239" t="s">
        <v>38</v>
      </c>
      <c r="B23" s="555" t="s">
        <v>12</v>
      </c>
      <c r="C23" s="556"/>
      <c r="D23" s="343" t="s">
        <v>794</v>
      </c>
      <c r="E23" s="241">
        <f>14229518.72</f>
        <v>14229518.720000001</v>
      </c>
      <c r="F23" s="369">
        <f>14229518.72</f>
        <v>14229518.720000001</v>
      </c>
      <c r="G23" s="369">
        <f>14229518.72</f>
        <v>14229518.720000001</v>
      </c>
    </row>
    <row r="24" spans="1:7" ht="96" customHeight="1" x14ac:dyDescent="0.25">
      <c r="A24" s="239" t="s">
        <v>38</v>
      </c>
      <c r="B24" s="555" t="s">
        <v>13</v>
      </c>
      <c r="C24" s="556"/>
      <c r="D24" s="343" t="s">
        <v>795</v>
      </c>
      <c r="E24" s="241">
        <v>100000</v>
      </c>
      <c r="F24" s="369">
        <v>100000</v>
      </c>
      <c r="G24" s="369">
        <v>100000</v>
      </c>
    </row>
    <row r="25" spans="1:7" ht="22.5" customHeight="1" x14ac:dyDescent="0.25">
      <c r="A25" s="362" t="s">
        <v>519</v>
      </c>
      <c r="B25" s="565" t="s">
        <v>977</v>
      </c>
      <c r="C25" s="566"/>
      <c r="D25" s="353" t="s">
        <v>978</v>
      </c>
      <c r="E25" s="355">
        <f>E26+E27+E29+E28</f>
        <v>21059265</v>
      </c>
      <c r="F25" s="355">
        <f>F26+F27+F29</f>
        <v>22077872</v>
      </c>
      <c r="G25" s="252">
        <f>G26+G27+G29</f>
        <v>22475274.100000001</v>
      </c>
    </row>
    <row r="26" spans="1:7" ht="36" customHeight="1" x14ac:dyDescent="0.25">
      <c r="A26" s="239" t="s">
        <v>34</v>
      </c>
      <c r="B26" s="555" t="s">
        <v>804</v>
      </c>
      <c r="C26" s="556"/>
      <c r="D26" s="360" t="s">
        <v>2</v>
      </c>
      <c r="E26" s="241">
        <f>20838000-14000</f>
        <v>20824000</v>
      </c>
      <c r="F26" s="369">
        <v>21358490</v>
      </c>
      <c r="G26" s="369">
        <v>21742418.100000001</v>
      </c>
    </row>
    <row r="27" spans="1:7" ht="57" customHeight="1" x14ac:dyDescent="0.25">
      <c r="A27" s="239" t="s">
        <v>34</v>
      </c>
      <c r="B27" s="555" t="s">
        <v>805</v>
      </c>
      <c r="C27" s="556"/>
      <c r="D27" s="360" t="s">
        <v>806</v>
      </c>
      <c r="E27" s="241">
        <f>20000+14000</f>
        <v>34000</v>
      </c>
      <c r="F27" s="369">
        <v>20960</v>
      </c>
      <c r="G27" s="369">
        <v>21862</v>
      </c>
    </row>
    <row r="28" spans="1:7" ht="18" customHeight="1" x14ac:dyDescent="0.25">
      <c r="A28" s="239" t="s">
        <v>34</v>
      </c>
      <c r="B28" s="569" t="s">
        <v>1010</v>
      </c>
      <c r="C28" s="570"/>
      <c r="D28" s="380" t="s">
        <v>3</v>
      </c>
      <c r="E28" s="241">
        <f>243+1022</f>
        <v>1265</v>
      </c>
      <c r="F28" s="369">
        <v>0</v>
      </c>
      <c r="G28" s="369">
        <v>0</v>
      </c>
    </row>
    <row r="29" spans="1:7" ht="63" customHeight="1" x14ac:dyDescent="0.25">
      <c r="A29" s="239" t="s">
        <v>34</v>
      </c>
      <c r="B29" s="555" t="s">
        <v>807</v>
      </c>
      <c r="C29" s="556"/>
      <c r="D29" s="360" t="s">
        <v>1002</v>
      </c>
      <c r="E29" s="241">
        <f>662012-462012</f>
        <v>200000</v>
      </c>
      <c r="F29" s="495">
        <v>698422</v>
      </c>
      <c r="G29" s="369">
        <v>710994</v>
      </c>
    </row>
    <row r="30" spans="1:7" ht="16.5" customHeight="1" x14ac:dyDescent="0.25">
      <c r="A30" s="362" t="s">
        <v>519</v>
      </c>
      <c r="B30" s="565" t="s">
        <v>979</v>
      </c>
      <c r="C30" s="566"/>
      <c r="D30" s="353" t="s">
        <v>980</v>
      </c>
      <c r="E30" s="355">
        <f>E31</f>
        <v>55000</v>
      </c>
      <c r="F30" s="496">
        <f t="shared" ref="E30:G31" si="0">F31</f>
        <v>14000</v>
      </c>
      <c r="G30" s="494">
        <f t="shared" si="0"/>
        <v>14000</v>
      </c>
    </row>
    <row r="31" spans="1:7" ht="15.75" customHeight="1" x14ac:dyDescent="0.25">
      <c r="A31" s="362" t="s">
        <v>34</v>
      </c>
      <c r="B31" s="565" t="s">
        <v>981</v>
      </c>
      <c r="C31" s="566"/>
      <c r="D31" s="353" t="s">
        <v>982</v>
      </c>
      <c r="E31" s="241">
        <f t="shared" si="0"/>
        <v>55000</v>
      </c>
      <c r="F31" s="495">
        <f t="shared" si="0"/>
        <v>14000</v>
      </c>
      <c r="G31" s="369">
        <f t="shared" si="0"/>
        <v>14000</v>
      </c>
    </row>
    <row r="32" spans="1:7" ht="66" customHeight="1" x14ac:dyDescent="0.25">
      <c r="A32" s="239" t="s">
        <v>34</v>
      </c>
      <c r="B32" s="555" t="s">
        <v>809</v>
      </c>
      <c r="C32" s="556"/>
      <c r="D32" s="360" t="s">
        <v>810</v>
      </c>
      <c r="E32" s="241">
        <f>14000+41000</f>
        <v>55000</v>
      </c>
      <c r="F32" s="495">
        <v>14000</v>
      </c>
      <c r="G32" s="369">
        <v>14000</v>
      </c>
    </row>
    <row r="33" spans="1:7" ht="29.25" customHeight="1" x14ac:dyDescent="0.25">
      <c r="A33" s="362" t="s">
        <v>519</v>
      </c>
      <c r="B33" s="565" t="s">
        <v>983</v>
      </c>
      <c r="C33" s="566"/>
      <c r="D33" s="353" t="s">
        <v>984</v>
      </c>
      <c r="E33" s="355">
        <f>E34+E35</f>
        <v>3000000</v>
      </c>
      <c r="F33" s="496">
        <f>F34</f>
        <v>3075000</v>
      </c>
      <c r="G33" s="494">
        <f>G34</f>
        <v>3130000</v>
      </c>
    </row>
    <row r="34" spans="1:7" ht="114" customHeight="1" x14ac:dyDescent="0.25">
      <c r="A34" s="239" t="s">
        <v>34</v>
      </c>
      <c r="B34" s="555" t="s">
        <v>811</v>
      </c>
      <c r="C34" s="556"/>
      <c r="D34" s="360" t="s">
        <v>812</v>
      </c>
      <c r="E34" s="241">
        <f>3000000-5000</f>
        <v>2995000</v>
      </c>
      <c r="F34" s="369">
        <v>3075000</v>
      </c>
      <c r="G34" s="369">
        <v>3130000</v>
      </c>
    </row>
    <row r="35" spans="1:7" ht="53.25" customHeight="1" x14ac:dyDescent="0.25">
      <c r="A35" s="239" t="s">
        <v>19</v>
      </c>
      <c r="B35" s="555" t="s">
        <v>1074</v>
      </c>
      <c r="C35" s="556"/>
      <c r="D35" s="360" t="s">
        <v>1075</v>
      </c>
      <c r="E35" s="241">
        <v>5000</v>
      </c>
      <c r="F35" s="497">
        <v>0</v>
      </c>
      <c r="G35" s="369">
        <v>0</v>
      </c>
    </row>
    <row r="36" spans="1:7" ht="72" customHeight="1" x14ac:dyDescent="0.25">
      <c r="A36" s="362" t="s">
        <v>519</v>
      </c>
      <c r="B36" s="565" t="s">
        <v>985</v>
      </c>
      <c r="C36" s="566"/>
      <c r="D36" s="353" t="s">
        <v>986</v>
      </c>
      <c r="E36" s="355">
        <f>E38+E39+E40+E45+E46+E41+E42+E43+E44+E37</f>
        <v>25039233.82</v>
      </c>
      <c r="F36" s="355">
        <f>F38+F39+F40+F45+F46+F41+F42+F43+F44</f>
        <v>20640000</v>
      </c>
      <c r="G36" s="252">
        <f>G38+G39+G40+G45+G46+G41+G42+G43+G44</f>
        <v>20590000</v>
      </c>
    </row>
    <row r="37" spans="1:7" ht="60.75" customHeight="1" x14ac:dyDescent="0.25">
      <c r="A37" s="239" t="s">
        <v>15</v>
      </c>
      <c r="B37" s="555" t="s">
        <v>1240</v>
      </c>
      <c r="C37" s="556"/>
      <c r="D37" s="536" t="s">
        <v>1155</v>
      </c>
      <c r="E37" s="241">
        <v>1093737.8700000001</v>
      </c>
      <c r="F37" s="241">
        <v>0</v>
      </c>
      <c r="G37" s="354">
        <v>0</v>
      </c>
    </row>
    <row r="38" spans="1:7" ht="59.25" customHeight="1" x14ac:dyDescent="0.25">
      <c r="A38" s="239" t="s">
        <v>16</v>
      </c>
      <c r="B38" s="555" t="s">
        <v>1003</v>
      </c>
      <c r="C38" s="556"/>
      <c r="D38" s="360" t="s">
        <v>80</v>
      </c>
      <c r="E38" s="241">
        <v>136300</v>
      </c>
      <c r="F38" s="369">
        <v>50000</v>
      </c>
      <c r="G38" s="369">
        <v>0</v>
      </c>
    </row>
    <row r="39" spans="1:7" ht="132" customHeight="1" x14ac:dyDescent="0.25">
      <c r="A39" s="239" t="s">
        <v>19</v>
      </c>
      <c r="B39" s="555" t="s">
        <v>20</v>
      </c>
      <c r="C39" s="556"/>
      <c r="D39" s="359" t="s">
        <v>1196</v>
      </c>
      <c r="E39" s="241">
        <f>729000+71000+1166400+13000+1768839-211411.05</f>
        <v>3536827.95</v>
      </c>
      <c r="F39" s="369">
        <f>729000+1166400</f>
        <v>1895400</v>
      </c>
      <c r="G39" s="369">
        <f>729000+1166400</f>
        <v>1895400</v>
      </c>
    </row>
    <row r="40" spans="1:7" ht="114" customHeight="1" x14ac:dyDescent="0.25">
      <c r="A40" s="239" t="s">
        <v>19</v>
      </c>
      <c r="B40" s="555" t="s">
        <v>775</v>
      </c>
      <c r="C40" s="556"/>
      <c r="D40" s="359" t="s">
        <v>776</v>
      </c>
      <c r="E40" s="241">
        <v>12684600</v>
      </c>
      <c r="F40" s="369">
        <v>12684600</v>
      </c>
      <c r="G40" s="369">
        <v>12684600</v>
      </c>
    </row>
    <row r="41" spans="1:7" ht="114" customHeight="1" x14ac:dyDescent="0.25">
      <c r="A41" s="239" t="s">
        <v>1013</v>
      </c>
      <c r="B41" s="555" t="s">
        <v>775</v>
      </c>
      <c r="C41" s="556"/>
      <c r="D41" s="381" t="s">
        <v>776</v>
      </c>
      <c r="E41" s="382">
        <v>89000</v>
      </c>
      <c r="F41" s="369">
        <v>0</v>
      </c>
      <c r="G41" s="369">
        <v>0</v>
      </c>
    </row>
    <row r="42" spans="1:7" ht="114" customHeight="1" x14ac:dyDescent="0.25">
      <c r="A42" s="239" t="s">
        <v>1014</v>
      </c>
      <c r="B42" s="555" t="s">
        <v>775</v>
      </c>
      <c r="C42" s="556"/>
      <c r="D42" s="381" t="s">
        <v>776</v>
      </c>
      <c r="E42" s="382">
        <v>200</v>
      </c>
      <c r="F42" s="369">
        <v>0</v>
      </c>
      <c r="G42" s="369">
        <v>0</v>
      </c>
    </row>
    <row r="43" spans="1:7" ht="114" customHeight="1" x14ac:dyDescent="0.25">
      <c r="A43" s="239" t="s">
        <v>19</v>
      </c>
      <c r="B43" s="555" t="s">
        <v>1015</v>
      </c>
      <c r="C43" s="556"/>
      <c r="D43" s="383" t="s">
        <v>1011</v>
      </c>
      <c r="E43" s="382">
        <f>425000+550000+382122</f>
        <v>1357122</v>
      </c>
      <c r="F43" s="369">
        <v>0</v>
      </c>
      <c r="G43" s="369">
        <v>0</v>
      </c>
    </row>
    <row r="44" spans="1:7" ht="158.25" customHeight="1" x14ac:dyDescent="0.25">
      <c r="A44" s="239" t="s">
        <v>1016</v>
      </c>
      <c r="B44" s="555" t="s">
        <v>1017</v>
      </c>
      <c r="C44" s="556"/>
      <c r="D44" s="390" t="s">
        <v>1012</v>
      </c>
      <c r="E44" s="382">
        <f>116000+21446</f>
        <v>137446</v>
      </c>
      <c r="F44" s="369">
        <v>0</v>
      </c>
      <c r="G44" s="369">
        <v>0</v>
      </c>
    </row>
    <row r="45" spans="1:7" ht="86.25" customHeight="1" x14ac:dyDescent="0.25">
      <c r="A45" s="239" t="s">
        <v>19</v>
      </c>
      <c r="B45" s="555" t="s">
        <v>777</v>
      </c>
      <c r="C45" s="556"/>
      <c r="D45" s="359" t="s">
        <v>22</v>
      </c>
      <c r="E45" s="241">
        <v>204000</v>
      </c>
      <c r="F45" s="369">
        <v>210000</v>
      </c>
      <c r="G45" s="369">
        <v>210000</v>
      </c>
    </row>
    <row r="46" spans="1:7" ht="114" customHeight="1" x14ac:dyDescent="0.25">
      <c r="A46" s="239" t="s">
        <v>19</v>
      </c>
      <c r="B46" s="555" t="s">
        <v>23</v>
      </c>
      <c r="C46" s="556"/>
      <c r="D46" s="360" t="s">
        <v>24</v>
      </c>
      <c r="E46" s="241">
        <v>5800000</v>
      </c>
      <c r="F46" s="369">
        <v>5800000</v>
      </c>
      <c r="G46" s="369">
        <v>5800000</v>
      </c>
    </row>
    <row r="47" spans="1:7" ht="39" customHeight="1" x14ac:dyDescent="0.25">
      <c r="A47" s="362" t="s">
        <v>519</v>
      </c>
      <c r="B47" s="565" t="s">
        <v>987</v>
      </c>
      <c r="C47" s="566"/>
      <c r="D47" s="366" t="s">
        <v>988</v>
      </c>
      <c r="E47" s="355">
        <f>E48+E49+E50+E51</f>
        <v>1988154</v>
      </c>
      <c r="F47" s="355">
        <f>F48+F49+F50+F51</f>
        <v>2764368</v>
      </c>
      <c r="G47" s="252">
        <f>G48+G49+G50+G51</f>
        <v>2985518</v>
      </c>
    </row>
    <row r="48" spans="1:7" ht="49.5" customHeight="1" x14ac:dyDescent="0.25">
      <c r="A48" s="239" t="s">
        <v>5</v>
      </c>
      <c r="B48" s="555" t="s">
        <v>784</v>
      </c>
      <c r="C48" s="556"/>
      <c r="D48" s="360" t="s">
        <v>785</v>
      </c>
      <c r="E48" s="241">
        <f>777600-21446</f>
        <v>756154</v>
      </c>
      <c r="F48" s="369">
        <v>839808</v>
      </c>
      <c r="G48" s="369">
        <v>906993</v>
      </c>
    </row>
    <row r="49" spans="1:7" ht="48.75" customHeight="1" x14ac:dyDescent="0.25">
      <c r="A49" s="239" t="s">
        <v>5</v>
      </c>
      <c r="B49" s="555" t="s">
        <v>786</v>
      </c>
      <c r="C49" s="556"/>
      <c r="D49" s="360" t="s">
        <v>787</v>
      </c>
      <c r="E49" s="241">
        <v>0</v>
      </c>
      <c r="F49" s="369">
        <v>0</v>
      </c>
      <c r="G49" s="369">
        <v>0</v>
      </c>
    </row>
    <row r="50" spans="1:7" ht="44.25" customHeight="1" x14ac:dyDescent="0.25">
      <c r="A50" s="239" t="s">
        <v>5</v>
      </c>
      <c r="B50" s="555" t="s">
        <v>788</v>
      </c>
      <c r="C50" s="556"/>
      <c r="D50" s="360" t="s">
        <v>789</v>
      </c>
      <c r="E50" s="241">
        <v>270000</v>
      </c>
      <c r="F50" s="369">
        <v>291600</v>
      </c>
      <c r="G50" s="369">
        <v>314928</v>
      </c>
    </row>
    <row r="51" spans="1:7" ht="39" customHeight="1" x14ac:dyDescent="0.25">
      <c r="A51" s="239" t="s">
        <v>5</v>
      </c>
      <c r="B51" s="555" t="s">
        <v>790</v>
      </c>
      <c r="C51" s="556"/>
      <c r="D51" s="360" t="s">
        <v>791</v>
      </c>
      <c r="E51" s="241">
        <f>1512000-550000</f>
        <v>962000</v>
      </c>
      <c r="F51" s="369">
        <v>1632960</v>
      </c>
      <c r="G51" s="369">
        <v>1763597</v>
      </c>
    </row>
    <row r="52" spans="1:7" ht="55.5" customHeight="1" x14ac:dyDescent="0.25">
      <c r="A52" s="371" t="s">
        <v>519</v>
      </c>
      <c r="B52" s="571" t="s">
        <v>1018</v>
      </c>
      <c r="C52" s="572"/>
      <c r="D52" s="372" t="s">
        <v>1019</v>
      </c>
      <c r="E52" s="373">
        <f>E53</f>
        <v>214232</v>
      </c>
      <c r="F52" s="497">
        <v>0</v>
      </c>
      <c r="G52" s="369">
        <v>0</v>
      </c>
    </row>
    <row r="53" spans="1:7" ht="39" customHeight="1" x14ac:dyDescent="0.25">
      <c r="A53" s="391" t="s">
        <v>18</v>
      </c>
      <c r="B53" s="569" t="s">
        <v>1020</v>
      </c>
      <c r="C53" s="570"/>
      <c r="D53" s="384" t="s">
        <v>1021</v>
      </c>
      <c r="E53" s="382">
        <f>39000+175232</f>
        <v>214232</v>
      </c>
      <c r="F53" s="497">
        <v>0</v>
      </c>
      <c r="G53" s="369">
        <v>0</v>
      </c>
    </row>
    <row r="54" spans="1:7" ht="51" customHeight="1" x14ac:dyDescent="0.25">
      <c r="A54" s="362" t="s">
        <v>519</v>
      </c>
      <c r="B54" s="565" t="s">
        <v>989</v>
      </c>
      <c r="C54" s="566"/>
      <c r="D54" s="366" t="s">
        <v>990</v>
      </c>
      <c r="E54" s="355">
        <f>E55+E56+E57+E59+E60+E61+E58</f>
        <v>3035123</v>
      </c>
      <c r="F54" s="355">
        <f t="shared" ref="F54:G54" si="1">F55+F56+F57+F59+F60+F61+F58</f>
        <v>400000</v>
      </c>
      <c r="G54" s="355">
        <f t="shared" si="1"/>
        <v>400000</v>
      </c>
    </row>
    <row r="55" spans="1:7" ht="136.5" customHeight="1" x14ac:dyDescent="0.25">
      <c r="A55" s="239" t="s">
        <v>19</v>
      </c>
      <c r="B55" s="555" t="s">
        <v>25</v>
      </c>
      <c r="C55" s="556"/>
      <c r="D55" s="360" t="s">
        <v>778</v>
      </c>
      <c r="E55" s="241">
        <f>100000+2375068</f>
        <v>2475068</v>
      </c>
      <c r="F55" s="369">
        <v>100000</v>
      </c>
      <c r="G55" s="369">
        <v>100000</v>
      </c>
    </row>
    <row r="56" spans="1:7" ht="84" customHeight="1" x14ac:dyDescent="0.25">
      <c r="A56" s="239" t="s">
        <v>19</v>
      </c>
      <c r="B56" s="555" t="s">
        <v>26</v>
      </c>
      <c r="C56" s="556"/>
      <c r="D56" s="360" t="s">
        <v>1197</v>
      </c>
      <c r="E56" s="241">
        <f>30000-30000+70000</f>
        <v>70000</v>
      </c>
      <c r="F56" s="369">
        <f>30000+70000</f>
        <v>100000</v>
      </c>
      <c r="G56" s="369">
        <f>30000+70000</f>
        <v>100000</v>
      </c>
    </row>
    <row r="57" spans="1:7" ht="66" customHeight="1" x14ac:dyDescent="0.25">
      <c r="A57" s="239" t="s">
        <v>19</v>
      </c>
      <c r="B57" s="555" t="s">
        <v>781</v>
      </c>
      <c r="C57" s="556"/>
      <c r="D57" s="360" t="s">
        <v>782</v>
      </c>
      <c r="E57" s="241">
        <f>200000+30000</f>
        <v>230000</v>
      </c>
      <c r="F57" s="369">
        <v>200000</v>
      </c>
      <c r="G57" s="369">
        <v>200000</v>
      </c>
    </row>
    <row r="58" spans="1:7" ht="66" customHeight="1" x14ac:dyDescent="0.25">
      <c r="A58" s="239" t="s">
        <v>1076</v>
      </c>
      <c r="B58" s="555" t="s">
        <v>781</v>
      </c>
      <c r="C58" s="556"/>
      <c r="D58" s="360" t="s">
        <v>1077</v>
      </c>
      <c r="E58" s="241">
        <v>18055</v>
      </c>
      <c r="F58" s="497">
        <v>0</v>
      </c>
      <c r="G58" s="369">
        <v>0</v>
      </c>
    </row>
    <row r="59" spans="1:7" ht="69" customHeight="1" x14ac:dyDescent="0.25">
      <c r="A59" s="239" t="s">
        <v>1013</v>
      </c>
      <c r="B59" s="555" t="s">
        <v>781</v>
      </c>
      <c r="C59" s="556"/>
      <c r="D59" s="380" t="s">
        <v>782</v>
      </c>
      <c r="E59" s="382">
        <f>187000+29000</f>
        <v>216000</v>
      </c>
      <c r="F59" s="497">
        <v>0</v>
      </c>
      <c r="G59" s="369">
        <v>0</v>
      </c>
    </row>
    <row r="60" spans="1:7" ht="66" customHeight="1" x14ac:dyDescent="0.25">
      <c r="A60" s="239" t="s">
        <v>1014</v>
      </c>
      <c r="B60" s="555" t="s">
        <v>781</v>
      </c>
      <c r="C60" s="556"/>
      <c r="D60" s="380" t="s">
        <v>782</v>
      </c>
      <c r="E60" s="382">
        <v>5000</v>
      </c>
      <c r="F60" s="497">
        <v>0</v>
      </c>
      <c r="G60" s="369">
        <v>0</v>
      </c>
    </row>
    <row r="61" spans="1:7" ht="131.25" customHeight="1" x14ac:dyDescent="0.25">
      <c r="A61" s="239" t="s">
        <v>1013</v>
      </c>
      <c r="B61" s="555" t="s">
        <v>1023</v>
      </c>
      <c r="C61" s="556"/>
      <c r="D61" s="383" t="s">
        <v>1022</v>
      </c>
      <c r="E61" s="382">
        <v>21000</v>
      </c>
      <c r="F61" s="497">
        <v>0</v>
      </c>
      <c r="G61" s="369">
        <v>0</v>
      </c>
    </row>
    <row r="62" spans="1:7" ht="37.5" customHeight="1" x14ac:dyDescent="0.25">
      <c r="A62" s="239" t="s">
        <v>519</v>
      </c>
      <c r="B62" s="555" t="s">
        <v>1078</v>
      </c>
      <c r="C62" s="556"/>
      <c r="D62" s="386" t="s">
        <v>1079</v>
      </c>
      <c r="E62" s="373">
        <v>850</v>
      </c>
      <c r="F62" s="497">
        <v>0</v>
      </c>
      <c r="G62" s="369">
        <v>0</v>
      </c>
    </row>
    <row r="63" spans="1:7" ht="62.25" customHeight="1" x14ac:dyDescent="0.25">
      <c r="A63" s="239" t="s">
        <v>19</v>
      </c>
      <c r="B63" s="555" t="s">
        <v>1078</v>
      </c>
      <c r="C63" s="556"/>
      <c r="D63" s="383" t="s">
        <v>44</v>
      </c>
      <c r="E63" s="382">
        <v>850</v>
      </c>
      <c r="F63" s="497">
        <v>0</v>
      </c>
      <c r="G63" s="369">
        <v>0</v>
      </c>
    </row>
    <row r="64" spans="1:7" ht="40.5" customHeight="1" x14ac:dyDescent="0.25">
      <c r="A64" s="362" t="s">
        <v>519</v>
      </c>
      <c r="B64" s="565" t="s">
        <v>991</v>
      </c>
      <c r="C64" s="566"/>
      <c r="D64" s="366" t="s">
        <v>992</v>
      </c>
      <c r="E64" s="355">
        <f>E69+E70+E73+E74+E77+E80+E81+E82+E83+E65+E66+E67+E68+E71+E72+E76+E78+E79+E84+E85+E86+E75</f>
        <v>1470174</v>
      </c>
      <c r="F64" s="355">
        <f>F69+F70+F73+F74+F77+F80+F81+F82+F83</f>
        <v>1381263</v>
      </c>
      <c r="G64" s="252">
        <f>G69+G70+G73+G74+G77+G80+G81+G82+G83</f>
        <v>1406126</v>
      </c>
    </row>
    <row r="65" spans="1:7" ht="70.5" customHeight="1" x14ac:dyDescent="0.25">
      <c r="A65" s="239" t="s">
        <v>15</v>
      </c>
      <c r="B65" s="555" t="s">
        <v>7</v>
      </c>
      <c r="C65" s="556"/>
      <c r="D65" s="381" t="s">
        <v>783</v>
      </c>
      <c r="E65" s="382">
        <v>8400</v>
      </c>
      <c r="F65" s="241">
        <v>0</v>
      </c>
      <c r="G65" s="354">
        <v>0</v>
      </c>
    </row>
    <row r="66" spans="1:7" ht="71.25" customHeight="1" x14ac:dyDescent="0.25">
      <c r="A66" s="239" t="s">
        <v>16</v>
      </c>
      <c r="B66" s="555" t="s">
        <v>7</v>
      </c>
      <c r="C66" s="556"/>
      <c r="D66" s="381" t="s">
        <v>783</v>
      </c>
      <c r="E66" s="382">
        <f>39000-39000</f>
        <v>0</v>
      </c>
      <c r="F66" s="241">
        <v>0</v>
      </c>
      <c r="G66" s="354">
        <v>0</v>
      </c>
    </row>
    <row r="67" spans="1:7" ht="66.75" customHeight="1" x14ac:dyDescent="0.25">
      <c r="A67" s="239" t="s">
        <v>19</v>
      </c>
      <c r="B67" s="555" t="s">
        <v>7</v>
      </c>
      <c r="C67" s="556"/>
      <c r="D67" s="381" t="s">
        <v>783</v>
      </c>
      <c r="E67" s="382">
        <v>28000</v>
      </c>
      <c r="F67" s="241">
        <v>0</v>
      </c>
      <c r="G67" s="354">
        <v>0</v>
      </c>
    </row>
    <row r="68" spans="1:7" ht="97.5" customHeight="1" x14ac:dyDescent="0.25">
      <c r="A68" s="239" t="s">
        <v>1025</v>
      </c>
      <c r="B68" s="555" t="s">
        <v>1026</v>
      </c>
      <c r="C68" s="556"/>
      <c r="D68" s="384" t="s">
        <v>1024</v>
      </c>
      <c r="E68" s="382">
        <v>51300</v>
      </c>
      <c r="F68" s="241">
        <v>0</v>
      </c>
      <c r="G68" s="354">
        <v>0</v>
      </c>
    </row>
    <row r="69" spans="1:7" ht="66.75" customHeight="1" x14ac:dyDescent="0.25">
      <c r="A69" s="239" t="s">
        <v>14</v>
      </c>
      <c r="B69" s="555" t="s">
        <v>7</v>
      </c>
      <c r="C69" s="556"/>
      <c r="D69" s="359" t="s">
        <v>783</v>
      </c>
      <c r="E69" s="241">
        <v>16880</v>
      </c>
      <c r="F69" s="369">
        <v>17690</v>
      </c>
      <c r="G69" s="369">
        <v>18451</v>
      </c>
    </row>
    <row r="70" spans="1:7" ht="66" customHeight="1" x14ac:dyDescent="0.25">
      <c r="A70" s="239" t="s">
        <v>792</v>
      </c>
      <c r="B70" s="555" t="s">
        <v>7</v>
      </c>
      <c r="C70" s="556"/>
      <c r="D70" s="359" t="s">
        <v>8</v>
      </c>
      <c r="E70" s="241">
        <v>88620</v>
      </c>
      <c r="F70" s="369">
        <v>92873</v>
      </c>
      <c r="G70" s="369">
        <v>96867</v>
      </c>
    </row>
    <row r="71" spans="1:7" ht="66" customHeight="1" x14ac:dyDescent="0.25">
      <c r="A71" s="239" t="s">
        <v>1027</v>
      </c>
      <c r="B71" s="555" t="s">
        <v>7</v>
      </c>
      <c r="C71" s="556"/>
      <c r="D71" s="381" t="s">
        <v>8</v>
      </c>
      <c r="E71" s="382">
        <v>15600</v>
      </c>
      <c r="F71" s="369">
        <v>0</v>
      </c>
      <c r="G71" s="369">
        <v>0</v>
      </c>
    </row>
    <row r="72" spans="1:7" ht="66" customHeight="1" x14ac:dyDescent="0.25">
      <c r="A72" s="239" t="s">
        <v>1028</v>
      </c>
      <c r="B72" s="555" t="s">
        <v>7</v>
      </c>
      <c r="C72" s="556"/>
      <c r="D72" s="381" t="s">
        <v>8</v>
      </c>
      <c r="E72" s="382">
        <v>2000</v>
      </c>
      <c r="F72" s="369">
        <v>0</v>
      </c>
      <c r="G72" s="369">
        <v>0</v>
      </c>
    </row>
    <row r="73" spans="1:7" ht="99" customHeight="1" x14ac:dyDescent="0.25">
      <c r="A73" s="239" t="s">
        <v>796</v>
      </c>
      <c r="B73" s="555" t="s">
        <v>1004</v>
      </c>
      <c r="C73" s="556"/>
      <c r="D73" s="359" t="s">
        <v>798</v>
      </c>
      <c r="E73" s="241">
        <v>66465</v>
      </c>
      <c r="F73" s="369">
        <v>69655</v>
      </c>
      <c r="G73" s="369">
        <v>72650</v>
      </c>
    </row>
    <row r="74" spans="1:7" ht="126" customHeight="1" x14ac:dyDescent="0.25">
      <c r="A74" s="239" t="s">
        <v>34</v>
      </c>
      <c r="B74" s="555" t="s">
        <v>813</v>
      </c>
      <c r="C74" s="556"/>
      <c r="D74" s="360" t="s">
        <v>1005</v>
      </c>
      <c r="E74" s="241">
        <f>22155+14845+6500</f>
        <v>43500</v>
      </c>
      <c r="F74" s="369">
        <v>23218</v>
      </c>
      <c r="G74" s="369">
        <v>24217</v>
      </c>
    </row>
    <row r="75" spans="1:7" ht="83.25" customHeight="1" x14ac:dyDescent="0.25">
      <c r="A75" s="239" t="s">
        <v>34</v>
      </c>
      <c r="B75" s="555" t="s">
        <v>1080</v>
      </c>
      <c r="C75" s="556"/>
      <c r="D75" s="360" t="s">
        <v>1081</v>
      </c>
      <c r="E75" s="241">
        <v>2950</v>
      </c>
      <c r="F75" s="369">
        <v>0</v>
      </c>
      <c r="G75" s="369">
        <v>0</v>
      </c>
    </row>
    <row r="76" spans="1:7" ht="81" customHeight="1" x14ac:dyDescent="0.25">
      <c r="A76" s="239" t="s">
        <v>34</v>
      </c>
      <c r="B76" s="555" t="s">
        <v>1030</v>
      </c>
      <c r="C76" s="556"/>
      <c r="D76" s="384" t="s">
        <v>1029</v>
      </c>
      <c r="E76" s="241">
        <v>4000</v>
      </c>
      <c r="F76" s="369">
        <v>0</v>
      </c>
      <c r="G76" s="369">
        <v>0</v>
      </c>
    </row>
    <row r="77" spans="1:7" ht="99" customHeight="1" x14ac:dyDescent="0.25">
      <c r="A77" s="239" t="s">
        <v>47</v>
      </c>
      <c r="B77" s="555" t="s">
        <v>814</v>
      </c>
      <c r="C77" s="556"/>
      <c r="D77" s="359" t="s">
        <v>815</v>
      </c>
      <c r="E77" s="241">
        <f>108665-47905</f>
        <v>60760</v>
      </c>
      <c r="F77" s="369">
        <v>113881</v>
      </c>
      <c r="G77" s="369">
        <v>118777</v>
      </c>
    </row>
    <row r="78" spans="1:7" ht="88.5" customHeight="1" x14ac:dyDescent="0.25">
      <c r="A78" s="239" t="s">
        <v>47</v>
      </c>
      <c r="B78" s="555" t="s">
        <v>1033</v>
      </c>
      <c r="C78" s="556"/>
      <c r="D78" s="385" t="s">
        <v>1031</v>
      </c>
      <c r="E78" s="382">
        <f>15600+12460</f>
        <v>28060</v>
      </c>
      <c r="F78" s="369">
        <v>0</v>
      </c>
      <c r="G78" s="369">
        <v>0</v>
      </c>
    </row>
    <row r="79" spans="1:7" ht="57.75" customHeight="1" x14ac:dyDescent="0.25">
      <c r="A79" s="239" t="s">
        <v>47</v>
      </c>
      <c r="B79" s="555" t="s">
        <v>1034</v>
      </c>
      <c r="C79" s="556"/>
      <c r="D79" s="385" t="s">
        <v>1032</v>
      </c>
      <c r="E79" s="382">
        <v>38000</v>
      </c>
      <c r="F79" s="369">
        <v>0</v>
      </c>
      <c r="G79" s="369">
        <v>0</v>
      </c>
    </row>
    <row r="80" spans="1:7" ht="71.25" customHeight="1" x14ac:dyDescent="0.25">
      <c r="A80" s="239" t="s">
        <v>47</v>
      </c>
      <c r="B80" s="555" t="s">
        <v>816</v>
      </c>
      <c r="C80" s="556"/>
      <c r="D80" s="359" t="s">
        <v>8</v>
      </c>
      <c r="E80" s="241">
        <f>564636-30640</f>
        <v>533996</v>
      </c>
      <c r="F80" s="369">
        <v>578751</v>
      </c>
      <c r="G80" s="369">
        <v>581235.81000000006</v>
      </c>
    </row>
    <row r="81" spans="1:7" ht="99" customHeight="1" x14ac:dyDescent="0.25">
      <c r="A81" s="239" t="s">
        <v>47</v>
      </c>
      <c r="B81" s="555" t="s">
        <v>817</v>
      </c>
      <c r="C81" s="556"/>
      <c r="D81" s="359" t="s">
        <v>798</v>
      </c>
      <c r="E81" s="241">
        <v>302674</v>
      </c>
      <c r="F81" s="369">
        <v>310240</v>
      </c>
      <c r="G81" s="369">
        <v>315824</v>
      </c>
    </row>
    <row r="82" spans="1:7" ht="99" hidden="1" customHeight="1" x14ac:dyDescent="0.25">
      <c r="A82" s="239" t="s">
        <v>48</v>
      </c>
      <c r="B82" s="555" t="s">
        <v>817</v>
      </c>
      <c r="C82" s="556"/>
      <c r="D82" s="359" t="s">
        <v>798</v>
      </c>
      <c r="E82" s="241">
        <v>0</v>
      </c>
      <c r="F82" s="369">
        <v>0</v>
      </c>
      <c r="G82" s="369">
        <v>0</v>
      </c>
    </row>
    <row r="83" spans="1:7" ht="52.5" customHeight="1" x14ac:dyDescent="0.25">
      <c r="A83" s="239" t="s">
        <v>46</v>
      </c>
      <c r="B83" s="555" t="s">
        <v>9</v>
      </c>
      <c r="C83" s="556"/>
      <c r="D83" s="360" t="s">
        <v>45</v>
      </c>
      <c r="E83" s="241">
        <f>177479-35510</f>
        <v>141969</v>
      </c>
      <c r="F83" s="369">
        <v>174955</v>
      </c>
      <c r="G83" s="369">
        <v>178104.19</v>
      </c>
    </row>
    <row r="84" spans="1:7" ht="52.5" customHeight="1" x14ac:dyDescent="0.25">
      <c r="A84" s="239" t="s">
        <v>1036</v>
      </c>
      <c r="B84" s="555" t="s">
        <v>1037</v>
      </c>
      <c r="C84" s="556"/>
      <c r="D84" s="384" t="s">
        <v>1035</v>
      </c>
      <c r="E84" s="382">
        <v>2500</v>
      </c>
      <c r="F84" s="497">
        <v>0</v>
      </c>
      <c r="G84" s="369">
        <v>0</v>
      </c>
    </row>
    <row r="85" spans="1:7" ht="69.75" customHeight="1" x14ac:dyDescent="0.25">
      <c r="A85" s="239" t="s">
        <v>1038</v>
      </c>
      <c r="B85" s="555" t="s">
        <v>816</v>
      </c>
      <c r="C85" s="556"/>
      <c r="D85" s="381" t="s">
        <v>8</v>
      </c>
      <c r="E85" s="382">
        <v>4500</v>
      </c>
      <c r="F85" s="497">
        <v>0</v>
      </c>
      <c r="G85" s="369">
        <v>0</v>
      </c>
    </row>
    <row r="86" spans="1:7" ht="71.25" customHeight="1" x14ac:dyDescent="0.25">
      <c r="A86" s="239" t="s">
        <v>1039</v>
      </c>
      <c r="B86" s="555" t="s">
        <v>816</v>
      </c>
      <c r="C86" s="556"/>
      <c r="D86" s="381" t="s">
        <v>8</v>
      </c>
      <c r="E86" s="382">
        <v>30000</v>
      </c>
      <c r="F86" s="497">
        <v>0</v>
      </c>
      <c r="G86" s="369">
        <v>0</v>
      </c>
    </row>
    <row r="87" spans="1:7" ht="36" customHeight="1" x14ac:dyDescent="0.25">
      <c r="A87" s="371" t="s">
        <v>519</v>
      </c>
      <c r="B87" s="571" t="s">
        <v>1040</v>
      </c>
      <c r="C87" s="572"/>
      <c r="D87" s="374" t="s">
        <v>1041</v>
      </c>
      <c r="E87" s="373">
        <f>E88</f>
        <v>52600</v>
      </c>
      <c r="F87" s="497">
        <v>0</v>
      </c>
      <c r="G87" s="369">
        <v>0</v>
      </c>
    </row>
    <row r="88" spans="1:7" ht="35.25" customHeight="1" x14ac:dyDescent="0.25">
      <c r="A88" s="391" t="s">
        <v>1042</v>
      </c>
      <c r="B88" s="569" t="s">
        <v>1043</v>
      </c>
      <c r="C88" s="570"/>
      <c r="D88" s="384" t="s">
        <v>17</v>
      </c>
      <c r="E88" s="382">
        <f>11900+40700</f>
        <v>52600</v>
      </c>
      <c r="F88" s="497">
        <v>0</v>
      </c>
      <c r="G88" s="369">
        <v>0</v>
      </c>
    </row>
    <row r="89" spans="1:7" ht="29.25" customHeight="1" x14ac:dyDescent="0.25">
      <c r="A89" s="239"/>
      <c r="B89" s="555"/>
      <c r="C89" s="556"/>
      <c r="D89" s="353" t="s">
        <v>993</v>
      </c>
      <c r="E89" s="355">
        <f>E15+E19+E25+E30+E33+E36+E47+E54+E64+E87+E52+E62</f>
        <v>184855299.10999998</v>
      </c>
      <c r="F89" s="355">
        <f>F15+F19+F25+F30+F33+F36+F47+F54+F64</f>
        <v>180800852.29000002</v>
      </c>
      <c r="G89" s="252">
        <f>G15+G19+G25+G30+G33+G36+G47+G54+G64</f>
        <v>182593405.38999999</v>
      </c>
    </row>
    <row r="90" spans="1:7" ht="32.25" hidden="1" customHeight="1" x14ac:dyDescent="0.25">
      <c r="A90" s="239"/>
      <c r="B90" s="555"/>
      <c r="C90" s="556"/>
      <c r="D90" s="353"/>
      <c r="E90" s="241"/>
      <c r="F90" s="369"/>
      <c r="G90" s="369"/>
    </row>
    <row r="91" spans="1:7" ht="32.25" customHeight="1" x14ac:dyDescent="0.25">
      <c r="A91" s="362" t="s">
        <v>519</v>
      </c>
      <c r="B91" s="565" t="s">
        <v>998</v>
      </c>
      <c r="C91" s="566"/>
      <c r="D91" s="353" t="s">
        <v>999</v>
      </c>
      <c r="E91" s="241">
        <f>E92+E93+E95+E97+E99+E101+E102+E103+E104+E105+E106+E108+E96+E110+E100</f>
        <v>481777317.42999995</v>
      </c>
      <c r="F91" s="241">
        <f>F92+F93+F95+F97+F99+F101+F102+F103+F104+F105+F106+F108+F112</f>
        <v>469279200</v>
      </c>
      <c r="G91" s="354">
        <f>G92+G93+G95+G97+G99+G101+G102+G103+G104+G105+G106+G108+G112</f>
        <v>461913000</v>
      </c>
    </row>
    <row r="92" spans="1:7" ht="36.75" customHeight="1" x14ac:dyDescent="0.25">
      <c r="A92" s="239" t="s">
        <v>16</v>
      </c>
      <c r="B92" s="555" t="s">
        <v>912</v>
      </c>
      <c r="C92" s="556"/>
      <c r="D92" s="243" t="s">
        <v>772</v>
      </c>
      <c r="E92" s="241">
        <f>1920500+16433+1096016</f>
        <v>3032949</v>
      </c>
      <c r="F92" s="369">
        <v>2365900</v>
      </c>
      <c r="G92" s="369">
        <v>2846200</v>
      </c>
    </row>
    <row r="93" spans="1:7" ht="47.25" customHeight="1" x14ac:dyDescent="0.25">
      <c r="A93" s="239" t="s">
        <v>16</v>
      </c>
      <c r="B93" s="555" t="s">
        <v>911</v>
      </c>
      <c r="C93" s="556"/>
      <c r="D93" s="360" t="s">
        <v>1006</v>
      </c>
      <c r="E93" s="241">
        <f>153674400-809172-4034178+4327300</f>
        <v>153158350</v>
      </c>
      <c r="F93" s="369">
        <v>150973700</v>
      </c>
      <c r="G93" s="369">
        <v>142883600</v>
      </c>
    </row>
    <row r="94" spans="1:7" ht="18" customHeight="1" x14ac:dyDescent="0.25">
      <c r="A94" s="239"/>
      <c r="B94" s="555"/>
      <c r="C94" s="556"/>
      <c r="D94" s="243" t="s">
        <v>1008</v>
      </c>
      <c r="E94" s="364">
        <f>E92+E93</f>
        <v>156191299</v>
      </c>
      <c r="F94" s="364">
        <f>F92+F93</f>
        <v>153339600</v>
      </c>
      <c r="G94" s="365">
        <f>G92+G93</f>
        <v>145729800</v>
      </c>
    </row>
    <row r="95" spans="1:7" ht="48.75" customHeight="1" x14ac:dyDescent="0.25">
      <c r="A95" s="239" t="s">
        <v>15</v>
      </c>
      <c r="B95" s="555" t="s">
        <v>959</v>
      </c>
      <c r="C95" s="556"/>
      <c r="D95" s="359" t="s">
        <v>960</v>
      </c>
      <c r="E95" s="241">
        <v>807344</v>
      </c>
      <c r="F95" s="369">
        <v>0</v>
      </c>
      <c r="G95" s="369">
        <v>0</v>
      </c>
    </row>
    <row r="96" spans="1:7" ht="66.75" customHeight="1" x14ac:dyDescent="0.25">
      <c r="A96" s="239" t="s">
        <v>15</v>
      </c>
      <c r="B96" s="555" t="s">
        <v>1054</v>
      </c>
      <c r="C96" s="556"/>
      <c r="D96" s="359" t="s">
        <v>1055</v>
      </c>
      <c r="E96" s="241">
        <v>128277.02</v>
      </c>
      <c r="F96" s="369">
        <v>0</v>
      </c>
      <c r="G96" s="369">
        <v>0</v>
      </c>
    </row>
    <row r="97" spans="1:7" ht="32.25" customHeight="1" x14ac:dyDescent="0.25">
      <c r="A97" s="239" t="s">
        <v>18</v>
      </c>
      <c r="B97" s="555" t="s">
        <v>891</v>
      </c>
      <c r="C97" s="556"/>
      <c r="D97" s="360" t="s">
        <v>822</v>
      </c>
      <c r="E97" s="241">
        <f>889800+547200</f>
        <v>1437000</v>
      </c>
      <c r="F97" s="369">
        <v>1035200</v>
      </c>
      <c r="G97" s="369">
        <v>1278800</v>
      </c>
    </row>
    <row r="98" spans="1:7" ht="25.5" customHeight="1" x14ac:dyDescent="0.25">
      <c r="A98" s="239"/>
      <c r="B98" s="561"/>
      <c r="C98" s="562"/>
      <c r="D98" s="360" t="s">
        <v>1008</v>
      </c>
      <c r="E98" s="364">
        <f>E95+E97+E96</f>
        <v>2372621.02</v>
      </c>
      <c r="F98" s="364">
        <f>F95+F97</f>
        <v>1035200</v>
      </c>
      <c r="G98" s="365">
        <f>G95+G97</f>
        <v>1278800</v>
      </c>
    </row>
    <row r="99" spans="1:7" ht="102.75" customHeight="1" x14ac:dyDescent="0.25">
      <c r="A99" s="270" t="s">
        <v>15</v>
      </c>
      <c r="B99" s="557" t="s">
        <v>910</v>
      </c>
      <c r="C99" s="558"/>
      <c r="D99" s="358" t="s">
        <v>818</v>
      </c>
      <c r="E99" s="271">
        <f>1721300-20+1721280-1436.49-1171.51</f>
        <v>3439952</v>
      </c>
      <c r="F99" s="369">
        <v>1721300</v>
      </c>
      <c r="G99" s="369">
        <v>1721300</v>
      </c>
    </row>
    <row r="100" spans="1:7" ht="81.75" customHeight="1" x14ac:dyDescent="0.25">
      <c r="A100" s="270" t="s">
        <v>15</v>
      </c>
      <c r="B100" s="557" t="s">
        <v>1244</v>
      </c>
      <c r="C100" s="558"/>
      <c r="D100" s="358" t="s">
        <v>1245</v>
      </c>
      <c r="E100" s="271">
        <v>8790</v>
      </c>
      <c r="F100" s="369">
        <v>0</v>
      </c>
      <c r="G100" s="369">
        <v>0</v>
      </c>
    </row>
    <row r="101" spans="1:7" ht="32.25" customHeight="1" x14ac:dyDescent="0.25">
      <c r="A101" s="333" t="s">
        <v>15</v>
      </c>
      <c r="B101" s="555" t="s">
        <v>888</v>
      </c>
      <c r="C101" s="556"/>
      <c r="D101" s="243" t="s">
        <v>186</v>
      </c>
      <c r="E101" s="241">
        <f>584400+21900+87107200+573400+573400+29.82-2.95-24.78-18.95-2.9-2568384.26</f>
        <v>86291895.979999974</v>
      </c>
      <c r="F101" s="369">
        <f>584400+21900+87107200+573400+573400</f>
        <v>88860300</v>
      </c>
      <c r="G101" s="369">
        <f>584400+21900+87107200+573400+573400</f>
        <v>88860300</v>
      </c>
    </row>
    <row r="102" spans="1:7" ht="113.25" customHeight="1" x14ac:dyDescent="0.25">
      <c r="A102" s="270" t="s">
        <v>18</v>
      </c>
      <c r="B102" s="573" t="s">
        <v>892</v>
      </c>
      <c r="C102" s="574"/>
      <c r="D102" s="358" t="s">
        <v>819</v>
      </c>
      <c r="E102" s="271">
        <f>10826900+38.46+159110</f>
        <v>10986048.460000001</v>
      </c>
      <c r="F102" s="369">
        <v>10826900</v>
      </c>
      <c r="G102" s="369">
        <v>10826900</v>
      </c>
    </row>
    <row r="103" spans="1:7" ht="81" customHeight="1" x14ac:dyDescent="0.25">
      <c r="A103" s="239" t="s">
        <v>18</v>
      </c>
      <c r="B103" s="561" t="s">
        <v>888</v>
      </c>
      <c r="C103" s="562"/>
      <c r="D103" s="360" t="s">
        <v>820</v>
      </c>
      <c r="E103" s="241">
        <f>1241900-44</f>
        <v>1241856</v>
      </c>
      <c r="F103" s="369">
        <v>1241900</v>
      </c>
      <c r="G103" s="369">
        <v>1241900</v>
      </c>
    </row>
    <row r="104" spans="1:7" ht="32.25" customHeight="1" x14ac:dyDescent="0.25">
      <c r="A104" s="270" t="s">
        <v>18</v>
      </c>
      <c r="B104" s="573" t="s">
        <v>888</v>
      </c>
      <c r="C104" s="574"/>
      <c r="D104" s="272" t="s">
        <v>186</v>
      </c>
      <c r="E104" s="271">
        <f>1750200+55100-8.85-2.48+66117.02</f>
        <v>1871405.69</v>
      </c>
      <c r="F104" s="369">
        <f>1750200+55100</f>
        <v>1805300</v>
      </c>
      <c r="G104" s="369">
        <f>1750200+55100</f>
        <v>1805300</v>
      </c>
    </row>
    <row r="105" spans="1:7" ht="65.25" customHeight="1" x14ac:dyDescent="0.3">
      <c r="A105" s="239" t="s">
        <v>18</v>
      </c>
      <c r="B105" s="563" t="s">
        <v>893</v>
      </c>
      <c r="C105" s="564"/>
      <c r="D105" s="334" t="s">
        <v>187</v>
      </c>
      <c r="E105" s="241">
        <f>14076600+2461156.82</f>
        <v>16537756.82</v>
      </c>
      <c r="F105" s="369">
        <v>14076600</v>
      </c>
      <c r="G105" s="369">
        <v>14076600</v>
      </c>
    </row>
    <row r="106" spans="1:7" ht="62.25" customHeight="1" x14ac:dyDescent="0.3">
      <c r="A106" s="239" t="s">
        <v>18</v>
      </c>
      <c r="B106" s="563" t="s">
        <v>888</v>
      </c>
      <c r="C106" s="564"/>
      <c r="D106" s="361" t="s">
        <v>821</v>
      </c>
      <c r="E106" s="241">
        <f>195822100-13459.9</f>
        <v>195808640.09999999</v>
      </c>
      <c r="F106" s="369">
        <v>195822100</v>
      </c>
      <c r="G106" s="369">
        <v>195822100</v>
      </c>
    </row>
    <row r="107" spans="1:7" ht="17.25" customHeight="1" x14ac:dyDescent="0.3">
      <c r="A107" s="239"/>
      <c r="B107" s="563"/>
      <c r="C107" s="564"/>
      <c r="D107" s="361" t="s">
        <v>1008</v>
      </c>
      <c r="E107" s="364">
        <f>E99+E101+E102+E103+E104+E105+E106+E100</f>
        <v>316186345.04999995</v>
      </c>
      <c r="F107" s="364">
        <f>F99+F101+F102+F103+F104+F105+F106</f>
        <v>314354400</v>
      </c>
      <c r="G107" s="365">
        <f>G99+G101+G102+G103+G104+G105+G106</f>
        <v>314354400</v>
      </c>
    </row>
    <row r="108" spans="1:7" ht="84" customHeight="1" x14ac:dyDescent="0.25">
      <c r="A108" s="239" t="s">
        <v>16</v>
      </c>
      <c r="B108" s="555" t="s">
        <v>881</v>
      </c>
      <c r="C108" s="556"/>
      <c r="D108" s="361" t="s">
        <v>831</v>
      </c>
      <c r="E108" s="241">
        <f>550000+2340000+50000+1639789.36+50000+35553</f>
        <v>4665342.3600000003</v>
      </c>
      <c r="F108" s="369">
        <v>550000</v>
      </c>
      <c r="G108" s="369">
        <v>550000</v>
      </c>
    </row>
    <row r="109" spans="1:7" ht="15" customHeight="1" x14ac:dyDescent="0.25">
      <c r="A109" s="239"/>
      <c r="B109" s="555"/>
      <c r="C109" s="556"/>
      <c r="D109" s="361" t="s">
        <v>1007</v>
      </c>
      <c r="E109" s="364">
        <f>E108</f>
        <v>4665342.3600000003</v>
      </c>
      <c r="F109" s="498">
        <f>F108</f>
        <v>550000</v>
      </c>
      <c r="G109" s="498">
        <f>G108</f>
        <v>550000</v>
      </c>
    </row>
    <row r="110" spans="1:7" ht="34.5" customHeight="1" x14ac:dyDescent="0.25">
      <c r="A110" s="239" t="s">
        <v>15</v>
      </c>
      <c r="B110" s="555" t="s">
        <v>1052</v>
      </c>
      <c r="C110" s="556"/>
      <c r="D110" s="361" t="s">
        <v>1053</v>
      </c>
      <c r="E110" s="241">
        <f>405000+1956710</f>
        <v>2361710</v>
      </c>
      <c r="F110" s="369">
        <v>0</v>
      </c>
      <c r="G110" s="369">
        <v>0</v>
      </c>
    </row>
    <row r="111" spans="1:7" ht="15.75" customHeight="1" x14ac:dyDescent="0.25">
      <c r="A111" s="239"/>
      <c r="B111" s="555"/>
      <c r="C111" s="556"/>
      <c r="D111" s="361" t="s">
        <v>1007</v>
      </c>
      <c r="E111" s="364">
        <f>E110</f>
        <v>2361710</v>
      </c>
      <c r="F111" s="498">
        <v>0</v>
      </c>
      <c r="G111" s="498">
        <v>0</v>
      </c>
    </row>
    <row r="112" spans="1:7" ht="71.25" customHeight="1" x14ac:dyDescent="0.25">
      <c r="A112" s="333" t="s">
        <v>15</v>
      </c>
      <c r="B112" s="555" t="s">
        <v>894</v>
      </c>
      <c r="C112" s="556"/>
      <c r="D112" s="360" t="s">
        <v>895</v>
      </c>
      <c r="E112" s="241">
        <f>-348534822.95+344062759-94128292+35095941.87</f>
        <v>-63504414.079999991</v>
      </c>
      <c r="F112" s="369">
        <v>0</v>
      </c>
      <c r="G112" s="369">
        <v>0</v>
      </c>
    </row>
    <row r="113" spans="1:7" ht="18.75" customHeight="1" x14ac:dyDescent="0.25">
      <c r="A113" s="333"/>
      <c r="B113" s="555"/>
      <c r="C113" s="556"/>
      <c r="D113" s="353" t="s">
        <v>999</v>
      </c>
      <c r="E113" s="241">
        <f>E92+E93+E95+E97+E99+E101+E102+E103+E104+E105+E106+E108+E112+E110+E96+E100</f>
        <v>418272903.34999996</v>
      </c>
      <c r="F113" s="241">
        <f>F92+F93+F95+F97+F99+F101+F102+F103+F104+F105+F106+F108+F112</f>
        <v>469279200</v>
      </c>
      <c r="G113" s="354">
        <f>G92+G93+G95+G97+G99+G101+G102+G103+G104+G105+G106+G108+G112</f>
        <v>461913000</v>
      </c>
    </row>
    <row r="114" spans="1:7" ht="17.25" customHeight="1" x14ac:dyDescent="0.25">
      <c r="A114" s="239"/>
      <c r="B114" s="561"/>
      <c r="C114" s="562"/>
      <c r="D114" s="353" t="s">
        <v>1000</v>
      </c>
      <c r="E114" s="252">
        <f>E13+E113</f>
        <v>603128202.45999992</v>
      </c>
      <c r="F114" s="252">
        <f>F13+F113</f>
        <v>650080052.28999996</v>
      </c>
      <c r="G114" s="252">
        <f>G13+G113</f>
        <v>644506405.38999999</v>
      </c>
    </row>
    <row r="115" spans="1:7" ht="17.25" customHeight="1" x14ac:dyDescent="0.25"/>
    <row r="116" spans="1:7" ht="17.25" customHeight="1" x14ac:dyDescent="0.25"/>
    <row r="117" spans="1:7" x14ac:dyDescent="0.25">
      <c r="A117" s="249"/>
      <c r="B117" s="499"/>
      <c r="C117" s="500" t="s">
        <v>15</v>
      </c>
      <c r="D117" s="499"/>
      <c r="E117" s="499">
        <f>E95+E99+E101+E112+E65+E88+E96+E110+E37+E100</f>
        <v>30688292.789999984</v>
      </c>
      <c r="F117" s="499">
        <f>F95+F99+F101+F112</f>
        <v>90581600</v>
      </c>
      <c r="G117" s="499">
        <f>G95+G99+G101+G112</f>
        <v>90581600</v>
      </c>
    </row>
    <row r="118" spans="1:7" x14ac:dyDescent="0.25">
      <c r="A118" s="249"/>
      <c r="C118" s="500" t="s">
        <v>16</v>
      </c>
      <c r="D118" s="499"/>
      <c r="E118" s="499">
        <f>E92+E93+E38+E108+E66</f>
        <v>160992941.36000001</v>
      </c>
      <c r="F118" s="499">
        <f>F92+F93+F38+F108</f>
        <v>153939600</v>
      </c>
      <c r="G118" s="499">
        <f>G92+G93+G38+G108</f>
        <v>146279800</v>
      </c>
    </row>
    <row r="119" spans="1:7" x14ac:dyDescent="0.25">
      <c r="A119" s="249"/>
      <c r="C119" s="500" t="s">
        <v>18</v>
      </c>
      <c r="D119" s="499"/>
      <c r="E119" s="499">
        <f>E97+E102+E103+E104+E105+E106+E53</f>
        <v>228096939.06999999</v>
      </c>
      <c r="F119" s="499">
        <f>F97+F102+F103+F104+F105+F106</f>
        <v>224808000</v>
      </c>
      <c r="G119" s="499">
        <f>G97+G102+G103+G104+G105+G106</f>
        <v>225051600</v>
      </c>
    </row>
    <row r="120" spans="1:7" x14ac:dyDescent="0.25">
      <c r="A120" s="249"/>
      <c r="C120" s="500" t="s">
        <v>19</v>
      </c>
      <c r="D120" s="499"/>
      <c r="E120" s="499">
        <f>E39+E40+E45+E46+E55+E56+E57+E67+E43+E63</f>
        <v>26386467.949999999</v>
      </c>
      <c r="F120" s="499">
        <f>F39+F40+F45+F46+F55+F56+F57</f>
        <v>20990000</v>
      </c>
      <c r="G120" s="499">
        <f>G39+G40+G45+G46+G55+G56+G57</f>
        <v>20990000</v>
      </c>
    </row>
    <row r="121" spans="1:7" x14ac:dyDescent="0.25">
      <c r="A121" s="249"/>
      <c r="C121" s="500" t="s">
        <v>832</v>
      </c>
      <c r="D121" s="499"/>
      <c r="E121" s="499">
        <f>E16+E17+E18+E21+E22+E23+E24+E26+E27+E29+E32+E34+E48+E49+E50+E51+E69+E70+E73+E74+E77+E80+E81+E82+E83+E28+E41+E42+E44+E59+E60+E61+E68+E71+E72+E76+E78+E79+E84+E85+E86+E35+E58+E75</f>
        <v>156963561.28999999</v>
      </c>
      <c r="F121" s="499">
        <f>F16+F17+F18+F21+F22+F23+F24+F26+F27+F29+F32+F34+F48+F49+F50+F51+F69+F70+F73+F74+F77+F80+F81+F82+F83</f>
        <v>159760852.29000002</v>
      </c>
      <c r="G121" s="499">
        <f>G16+G17+G18+G21+G22+G23+G24+G26+G27+G29+G32+G34+G48+G49+G50+G51+G69+G70+G73+G74+G77+G80+G81+G82+G83</f>
        <v>161603405.39000002</v>
      </c>
    </row>
    <row r="122" spans="1:7" x14ac:dyDescent="0.25">
      <c r="A122" s="249"/>
      <c r="D122" s="499"/>
      <c r="E122" s="499">
        <f>E117+E118+E119+E120+E121</f>
        <v>603128202.46000004</v>
      </c>
      <c r="F122" s="499">
        <f>F117+F118+F119+F120+F121</f>
        <v>650080052.28999996</v>
      </c>
      <c r="G122" s="499">
        <f>G117+G118+G119+G120+G121</f>
        <v>644506405.38999999</v>
      </c>
    </row>
    <row r="123" spans="1:7" x14ac:dyDescent="0.25">
      <c r="C123" s="500" t="s">
        <v>834</v>
      </c>
      <c r="D123" s="499"/>
      <c r="E123" s="499">
        <f>E92+E93+E95+E97+E99+E101+E102+E103+E104+E105+E106+E108+E110+E96</f>
        <v>481768527.42999995</v>
      </c>
      <c r="F123" s="499">
        <f>F92+F93+F95+F97+F99+F101+F102+F103+F104+F105+F106+F108</f>
        <v>469279200</v>
      </c>
      <c r="G123" s="499">
        <f>G92+G93+G95+G97+G99+G101+G102+G103+G104+G105+G106+G108</f>
        <v>461913000</v>
      </c>
    </row>
    <row r="124" spans="1:7" x14ac:dyDescent="0.25">
      <c r="C124" s="500" t="s">
        <v>1009</v>
      </c>
      <c r="D124" s="499"/>
      <c r="E124" s="499">
        <f>E13</f>
        <v>184855299.10999998</v>
      </c>
      <c r="F124" s="499">
        <f>F13</f>
        <v>180800852.29000002</v>
      </c>
      <c r="G124" s="499">
        <f>G13</f>
        <v>182593405.38999999</v>
      </c>
    </row>
    <row r="125" spans="1:7" x14ac:dyDescent="0.25">
      <c r="C125" s="500" t="s">
        <v>896</v>
      </c>
      <c r="E125" s="499">
        <f>E123+E112</f>
        <v>418264113.34999996</v>
      </c>
      <c r="F125" s="499">
        <f>F123+F112</f>
        <v>469279200</v>
      </c>
      <c r="G125" s="499">
        <f>G123+G112</f>
        <v>461913000</v>
      </c>
    </row>
    <row r="126" spans="1:7" x14ac:dyDescent="0.25">
      <c r="D126" s="499"/>
    </row>
    <row r="127" spans="1:7" x14ac:dyDescent="0.25">
      <c r="E127" s="499"/>
    </row>
    <row r="128" spans="1:7" x14ac:dyDescent="0.25">
      <c r="E128" s="499">
        <f>E118+E121</f>
        <v>317956502.64999998</v>
      </c>
    </row>
    <row r="130" spans="2:5" hidden="1" x14ac:dyDescent="0.25">
      <c r="B130" s="491">
        <v>2</v>
      </c>
      <c r="E130" s="499">
        <f>E112+E110+E108+E106+E105+E104+E103+E102+E101+E99+E97+E96+E95+E93+E92</f>
        <v>418264113.35000002</v>
      </c>
    </row>
    <row r="131" spans="2:5" hidden="1" x14ac:dyDescent="0.25">
      <c r="B131" s="491">
        <v>202</v>
      </c>
      <c r="E131" s="499">
        <f>E108+E106+E105+E104+E103+E102+E101+E99+E97+E96+E95+E93+E92</f>
        <v>479406817.42999995</v>
      </c>
    </row>
  </sheetData>
  <mergeCells count="104">
    <mergeCell ref="A7:G7"/>
    <mergeCell ref="B96:C96"/>
    <mergeCell ref="B58:C58"/>
    <mergeCell ref="B63:C63"/>
    <mergeCell ref="B62:C62"/>
    <mergeCell ref="B75:C75"/>
    <mergeCell ref="B87:C87"/>
    <mergeCell ref="B88:C88"/>
    <mergeCell ref="B78:C78"/>
    <mergeCell ref="B79:C79"/>
    <mergeCell ref="B84:C84"/>
    <mergeCell ref="B85:C85"/>
    <mergeCell ref="B86:C86"/>
    <mergeCell ref="B81:C81"/>
    <mergeCell ref="B82:C82"/>
    <mergeCell ref="B67:C67"/>
    <mergeCell ref="B68:C68"/>
    <mergeCell ref="B71:C71"/>
    <mergeCell ref="B72:C72"/>
    <mergeCell ref="B76:C76"/>
    <mergeCell ref="B59:C59"/>
    <mergeCell ref="B83:C83"/>
    <mergeCell ref="B65:C65"/>
    <mergeCell ref="B66:C66"/>
    <mergeCell ref="B114:C114"/>
    <mergeCell ref="B105:C105"/>
    <mergeCell ref="B106:C106"/>
    <mergeCell ref="B108:C108"/>
    <mergeCell ref="B112:C112"/>
    <mergeCell ref="B113:C113"/>
    <mergeCell ref="B110:C110"/>
    <mergeCell ref="B111:C111"/>
    <mergeCell ref="B89:C89"/>
    <mergeCell ref="B94:C94"/>
    <mergeCell ref="B98:C98"/>
    <mergeCell ref="B107:C107"/>
    <mergeCell ref="B109:C109"/>
    <mergeCell ref="B90:C90"/>
    <mergeCell ref="B99:C99"/>
    <mergeCell ref="B101:C101"/>
    <mergeCell ref="B102:C102"/>
    <mergeCell ref="B103:C103"/>
    <mergeCell ref="B104:C104"/>
    <mergeCell ref="B91:C91"/>
    <mergeCell ref="B97:C97"/>
    <mergeCell ref="B92:C92"/>
    <mergeCell ref="B93:C93"/>
    <mergeCell ref="B95:C95"/>
    <mergeCell ref="B38:C38"/>
    <mergeCell ref="B35:C35"/>
    <mergeCell ref="B37:C37"/>
    <mergeCell ref="B69:C69"/>
    <mergeCell ref="B70:C70"/>
    <mergeCell ref="B73:C73"/>
    <mergeCell ref="B74:C74"/>
    <mergeCell ref="B77:C77"/>
    <mergeCell ref="B80:C80"/>
    <mergeCell ref="B51:C51"/>
    <mergeCell ref="B49:C49"/>
    <mergeCell ref="B50:C50"/>
    <mergeCell ref="B43:C43"/>
    <mergeCell ref="B44:C44"/>
    <mergeCell ref="B54:C54"/>
    <mergeCell ref="B55:C55"/>
    <mergeCell ref="B56:C56"/>
    <mergeCell ref="B57:C57"/>
    <mergeCell ref="B64:C64"/>
    <mergeCell ref="B52:C52"/>
    <mergeCell ref="B53:C53"/>
    <mergeCell ref="B60:C60"/>
    <mergeCell ref="B61:C61"/>
    <mergeCell ref="B21:C21"/>
    <mergeCell ref="B22:C22"/>
    <mergeCell ref="B24:C24"/>
    <mergeCell ref="B23:C23"/>
    <mergeCell ref="B14:C14"/>
    <mergeCell ref="B15:C15"/>
    <mergeCell ref="B18:C18"/>
    <mergeCell ref="B16:C16"/>
    <mergeCell ref="B17:C17"/>
    <mergeCell ref="B100:C100"/>
    <mergeCell ref="B12:C12"/>
    <mergeCell ref="B48:C48"/>
    <mergeCell ref="B31:C31"/>
    <mergeCell ref="B32:C32"/>
    <mergeCell ref="B33:C33"/>
    <mergeCell ref="B34:C34"/>
    <mergeCell ref="B36:C36"/>
    <mergeCell ref="B39:C39"/>
    <mergeCell ref="B40:C40"/>
    <mergeCell ref="B45:C45"/>
    <mergeCell ref="B46:C46"/>
    <mergeCell ref="B25:C25"/>
    <mergeCell ref="B26:C26"/>
    <mergeCell ref="B13:C13"/>
    <mergeCell ref="B27:C27"/>
    <mergeCell ref="B30:C30"/>
    <mergeCell ref="B47:C47"/>
    <mergeCell ref="B29:C29"/>
    <mergeCell ref="B28:C28"/>
    <mergeCell ref="B41:C41"/>
    <mergeCell ref="B42:C42"/>
    <mergeCell ref="B19:C19"/>
    <mergeCell ref="B20:C20"/>
  </mergeCells>
  <pageMargins left="0.70866141732283472" right="0.70866141732283472" top="0.74803149606299213" bottom="0.74803149606299213"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2"/>
  <sheetViews>
    <sheetView topLeftCell="B1" zoomScale="80" zoomScaleNormal="80" workbookViewId="0">
      <selection activeCell="W5" sqref="W5"/>
    </sheetView>
  </sheetViews>
  <sheetFormatPr defaultRowHeight="15" x14ac:dyDescent="0.25"/>
  <cols>
    <col min="1" max="1" width="8.85546875" hidden="1" customWidth="1"/>
    <col min="2" max="2" width="5.140625" customWidth="1"/>
    <col min="3" max="3" width="5.42578125" customWidth="1"/>
    <col min="4" max="4" width="16.7109375" customWidth="1"/>
    <col min="5" max="18" width="8.85546875" hidden="1" customWidth="1"/>
    <col min="19" max="19" width="5.5703125" customWidth="1"/>
    <col min="20" max="20" width="80.140625" style="392" customWidth="1"/>
    <col min="21" max="21" width="20.7109375" customWidth="1"/>
    <col min="22" max="22" width="16.85546875" customWidth="1"/>
    <col min="23" max="23" width="17.425781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77" t="s">
        <v>1072</v>
      </c>
    </row>
    <row r="2" spans="1:24" x14ac:dyDescent="0.25">
      <c r="W2" s="277" t="s">
        <v>30</v>
      </c>
    </row>
    <row r="3" spans="1:24" x14ac:dyDescent="0.25">
      <c r="W3" s="277" t="s">
        <v>258</v>
      </c>
    </row>
    <row r="4" spans="1:24" ht="15.75" x14ac:dyDescent="0.25">
      <c r="W4" s="2" t="s">
        <v>1252</v>
      </c>
    </row>
    <row r="5" spans="1:24" ht="15.75" x14ac:dyDescent="0.25">
      <c r="W5" s="2"/>
    </row>
    <row r="6" spans="1:24" ht="54" customHeight="1" x14ac:dyDescent="0.25">
      <c r="A6" s="122"/>
      <c r="B6" s="575" t="s">
        <v>1217</v>
      </c>
      <c r="C6" s="575"/>
      <c r="D6" s="575"/>
      <c r="E6" s="575"/>
      <c r="F6" s="575"/>
      <c r="G6" s="575"/>
      <c r="H6" s="575"/>
      <c r="I6" s="575"/>
      <c r="J6" s="575"/>
      <c r="K6" s="575"/>
      <c r="L6" s="575"/>
      <c r="M6" s="575"/>
      <c r="N6" s="575"/>
      <c r="O6" s="575"/>
      <c r="P6" s="575"/>
      <c r="Q6" s="575"/>
      <c r="R6" s="575"/>
      <c r="S6" s="575"/>
      <c r="T6" s="575"/>
      <c r="U6" s="575"/>
      <c r="V6" s="575"/>
      <c r="W6" s="575"/>
      <c r="X6" s="575"/>
    </row>
    <row r="8" spans="1:24" ht="21.75" customHeight="1" x14ac:dyDescent="0.25">
      <c r="A8" s="109"/>
      <c r="B8" s="109"/>
      <c r="C8" s="109"/>
      <c r="D8" s="109"/>
      <c r="E8" s="109"/>
      <c r="F8" s="109"/>
      <c r="G8" s="109"/>
      <c r="H8" s="109"/>
      <c r="I8" s="109"/>
      <c r="J8" s="109"/>
      <c r="K8" s="109"/>
      <c r="L8" s="109"/>
      <c r="M8" s="109"/>
      <c r="N8" s="109"/>
      <c r="O8" s="109"/>
      <c r="P8" s="109"/>
      <c r="Q8" s="109"/>
      <c r="R8" s="109"/>
      <c r="S8" s="109"/>
      <c r="T8" s="393"/>
      <c r="U8" s="109"/>
      <c r="V8" s="109"/>
      <c r="W8" s="109" t="s">
        <v>277</v>
      </c>
      <c r="X8" s="109"/>
    </row>
    <row r="9" spans="1:24" x14ac:dyDescent="0.25">
      <c r="A9" s="576" t="s">
        <v>1</v>
      </c>
      <c r="B9" s="576" t="s">
        <v>278</v>
      </c>
      <c r="C9" s="576" t="s">
        <v>279</v>
      </c>
      <c r="D9" s="576" t="s">
        <v>198</v>
      </c>
      <c r="E9" s="576" t="s">
        <v>198</v>
      </c>
      <c r="F9" s="576" t="s">
        <v>198</v>
      </c>
      <c r="G9" s="576" t="s">
        <v>198</v>
      </c>
      <c r="H9" s="576" t="s">
        <v>198</v>
      </c>
      <c r="I9" s="576" t="s">
        <v>198</v>
      </c>
      <c r="J9" s="576" t="s">
        <v>198</v>
      </c>
      <c r="K9" s="576" t="s">
        <v>198</v>
      </c>
      <c r="L9" s="576" t="s">
        <v>198</v>
      </c>
      <c r="M9" s="576" t="s">
        <v>198</v>
      </c>
      <c r="N9" s="576" t="s">
        <v>198</v>
      </c>
      <c r="O9" s="576" t="s">
        <v>198</v>
      </c>
      <c r="P9" s="576" t="s">
        <v>198</v>
      </c>
      <c r="Q9" s="576" t="s">
        <v>198</v>
      </c>
      <c r="R9" s="576" t="s">
        <v>198</v>
      </c>
      <c r="S9" s="576" t="s">
        <v>226</v>
      </c>
      <c r="T9" s="577" t="s">
        <v>1</v>
      </c>
      <c r="U9" s="578" t="s">
        <v>564</v>
      </c>
      <c r="V9" s="578" t="s">
        <v>565</v>
      </c>
      <c r="W9" s="578" t="s">
        <v>566</v>
      </c>
      <c r="X9" s="579" t="s">
        <v>1</v>
      </c>
    </row>
    <row r="10" spans="1:24" x14ac:dyDescent="0.25">
      <c r="A10" s="576"/>
      <c r="B10" s="576" t="s">
        <v>513</v>
      </c>
      <c r="C10" s="576" t="s">
        <v>514</v>
      </c>
      <c r="D10" s="576" t="s">
        <v>515</v>
      </c>
      <c r="E10" s="576" t="s">
        <v>515</v>
      </c>
      <c r="F10" s="576" t="s">
        <v>515</v>
      </c>
      <c r="G10" s="576" t="s">
        <v>515</v>
      </c>
      <c r="H10" s="576" t="s">
        <v>515</v>
      </c>
      <c r="I10" s="576" t="s">
        <v>515</v>
      </c>
      <c r="J10" s="576" t="s">
        <v>515</v>
      </c>
      <c r="K10" s="576" t="s">
        <v>515</v>
      </c>
      <c r="L10" s="576" t="s">
        <v>515</v>
      </c>
      <c r="M10" s="576" t="s">
        <v>515</v>
      </c>
      <c r="N10" s="576" t="s">
        <v>515</v>
      </c>
      <c r="O10" s="576" t="s">
        <v>515</v>
      </c>
      <c r="P10" s="576" t="s">
        <v>515</v>
      </c>
      <c r="Q10" s="576" t="s">
        <v>515</v>
      </c>
      <c r="R10" s="576" t="s">
        <v>515</v>
      </c>
      <c r="S10" s="576" t="s">
        <v>516</v>
      </c>
      <c r="T10" s="577"/>
      <c r="U10" s="576"/>
      <c r="V10" s="576" t="s">
        <v>283</v>
      </c>
      <c r="W10" s="576" t="s">
        <v>283</v>
      </c>
      <c r="X10" s="579"/>
    </row>
    <row r="11" spans="1:24" hidden="1" x14ac:dyDescent="0.25">
      <c r="A11" s="111"/>
      <c r="B11" s="111"/>
      <c r="C11" s="111"/>
      <c r="D11" s="111"/>
      <c r="E11" s="111"/>
      <c r="F11" s="111"/>
      <c r="G11" s="111"/>
      <c r="H11" s="111"/>
      <c r="I11" s="111"/>
      <c r="J11" s="111"/>
      <c r="K11" s="111"/>
      <c r="L11" s="111"/>
      <c r="M11" s="111"/>
      <c r="N11" s="111"/>
      <c r="O11" s="111"/>
      <c r="P11" s="111"/>
      <c r="Q11" s="111"/>
      <c r="R11" s="111"/>
      <c r="S11" s="111"/>
      <c r="T11" s="394"/>
      <c r="U11" s="111"/>
      <c r="V11" s="111"/>
      <c r="W11" s="111"/>
      <c r="X11" s="113"/>
    </row>
    <row r="12" spans="1:24" ht="23.25" customHeight="1" x14ac:dyDescent="0.25">
      <c r="A12" s="114" t="s">
        <v>285</v>
      </c>
      <c r="B12" s="123" t="s">
        <v>122</v>
      </c>
      <c r="C12" s="123" t="s">
        <v>133</v>
      </c>
      <c r="D12" s="123"/>
      <c r="E12" s="123"/>
      <c r="F12" s="123"/>
      <c r="G12" s="123"/>
      <c r="H12" s="123"/>
      <c r="I12" s="123"/>
      <c r="J12" s="123"/>
      <c r="K12" s="123"/>
      <c r="L12" s="123"/>
      <c r="M12" s="123"/>
      <c r="N12" s="123"/>
      <c r="O12" s="123"/>
      <c r="P12" s="123"/>
      <c r="Q12" s="123"/>
      <c r="R12" s="123"/>
      <c r="S12" s="123"/>
      <c r="T12" s="395" t="s">
        <v>285</v>
      </c>
      <c r="U12" s="115">
        <f>U13+U16+U23+U35+U38+U49+U52+U47</f>
        <v>78630984.001000002</v>
      </c>
      <c r="V12" s="115">
        <f>V13+V16+V23+V35+V38+V49+V52+V47</f>
        <v>67950725.560000002</v>
      </c>
      <c r="W12" s="115">
        <f>W13+W16+W23+W35+W38+W49+W52+W47</f>
        <v>67950725.460000008</v>
      </c>
      <c r="X12" s="114" t="s">
        <v>285</v>
      </c>
    </row>
    <row r="13" spans="1:24" ht="41.25" customHeight="1" x14ac:dyDescent="0.25">
      <c r="A13" s="116" t="s">
        <v>248</v>
      </c>
      <c r="B13" s="221" t="s">
        <v>122</v>
      </c>
      <c r="C13" s="221" t="s">
        <v>132</v>
      </c>
      <c r="D13" s="221"/>
      <c r="E13" s="221"/>
      <c r="F13" s="221"/>
      <c r="G13" s="221"/>
      <c r="H13" s="221"/>
      <c r="I13" s="221"/>
      <c r="J13" s="221"/>
      <c r="K13" s="221"/>
      <c r="L13" s="221"/>
      <c r="M13" s="221"/>
      <c r="N13" s="221"/>
      <c r="O13" s="221"/>
      <c r="P13" s="221"/>
      <c r="Q13" s="221"/>
      <c r="R13" s="221"/>
      <c r="S13" s="221"/>
      <c r="T13" s="396" t="s">
        <v>248</v>
      </c>
      <c r="U13" s="216">
        <f t="shared" ref="U13:W14" si="0">U14</f>
        <v>1494696</v>
      </c>
      <c r="V13" s="216">
        <f t="shared" si="0"/>
        <v>1494696</v>
      </c>
      <c r="W13" s="216">
        <f t="shared" si="0"/>
        <v>1494696</v>
      </c>
      <c r="X13" s="116" t="s">
        <v>248</v>
      </c>
    </row>
    <row r="14" spans="1:24" ht="52.5" customHeight="1" x14ac:dyDescent="0.25">
      <c r="A14" s="116" t="s">
        <v>237</v>
      </c>
      <c r="B14" s="117" t="s">
        <v>122</v>
      </c>
      <c r="C14" s="117" t="s">
        <v>132</v>
      </c>
      <c r="D14" s="183" t="s">
        <v>567</v>
      </c>
      <c r="E14" s="117"/>
      <c r="F14" s="117"/>
      <c r="G14" s="117"/>
      <c r="H14" s="117"/>
      <c r="I14" s="117"/>
      <c r="J14" s="117"/>
      <c r="K14" s="117"/>
      <c r="L14" s="117"/>
      <c r="M14" s="117"/>
      <c r="N14" s="117"/>
      <c r="O14" s="117"/>
      <c r="P14" s="117"/>
      <c r="Q14" s="117"/>
      <c r="R14" s="117"/>
      <c r="S14" s="117"/>
      <c r="T14" s="397" t="s">
        <v>237</v>
      </c>
      <c r="U14" s="118">
        <f t="shared" si="0"/>
        <v>1494696</v>
      </c>
      <c r="V14" s="118">
        <f t="shared" si="0"/>
        <v>1494696</v>
      </c>
      <c r="W14" s="118">
        <f t="shared" si="0"/>
        <v>1494696</v>
      </c>
      <c r="X14" s="116" t="s">
        <v>237</v>
      </c>
    </row>
    <row r="15" spans="1:24" ht="107.25" customHeight="1" x14ac:dyDescent="0.25">
      <c r="A15" s="121" t="s">
        <v>286</v>
      </c>
      <c r="B15" s="117" t="s">
        <v>122</v>
      </c>
      <c r="C15" s="117" t="s">
        <v>132</v>
      </c>
      <c r="D15" s="183" t="s">
        <v>567</v>
      </c>
      <c r="E15" s="117"/>
      <c r="F15" s="117"/>
      <c r="G15" s="117"/>
      <c r="H15" s="117"/>
      <c r="I15" s="117"/>
      <c r="J15" s="117"/>
      <c r="K15" s="117"/>
      <c r="L15" s="117"/>
      <c r="M15" s="117"/>
      <c r="N15" s="117"/>
      <c r="O15" s="117"/>
      <c r="P15" s="117"/>
      <c r="Q15" s="117"/>
      <c r="R15" s="117"/>
      <c r="S15" s="117" t="s">
        <v>38</v>
      </c>
      <c r="T15" s="398" t="s">
        <v>286</v>
      </c>
      <c r="U15" s="118">
        <f>П4ВСР!Z15</f>
        <v>1494696</v>
      </c>
      <c r="V15" s="118">
        <f>П4ВСР!AA15</f>
        <v>1494696</v>
      </c>
      <c r="W15" s="118">
        <f>П4ВСР!AB15</f>
        <v>1494696</v>
      </c>
      <c r="X15" s="121" t="s">
        <v>286</v>
      </c>
    </row>
    <row r="16" spans="1:24" ht="53.25" customHeight="1" x14ac:dyDescent="0.25">
      <c r="A16" s="116" t="s">
        <v>249</v>
      </c>
      <c r="B16" s="221" t="s">
        <v>122</v>
      </c>
      <c r="C16" s="221" t="s">
        <v>123</v>
      </c>
      <c r="D16" s="221"/>
      <c r="E16" s="221"/>
      <c r="F16" s="221"/>
      <c r="G16" s="221"/>
      <c r="H16" s="221"/>
      <c r="I16" s="221"/>
      <c r="J16" s="221"/>
      <c r="K16" s="221"/>
      <c r="L16" s="221"/>
      <c r="M16" s="221"/>
      <c r="N16" s="221"/>
      <c r="O16" s="221"/>
      <c r="P16" s="221"/>
      <c r="Q16" s="221"/>
      <c r="R16" s="221"/>
      <c r="S16" s="221"/>
      <c r="T16" s="396" t="s">
        <v>249</v>
      </c>
      <c r="U16" s="216">
        <f>U17+U19</f>
        <v>2902134.2199999997</v>
      </c>
      <c r="V16" s="216">
        <f>V17+V19</f>
        <v>2838921.7199999997</v>
      </c>
      <c r="W16" s="216">
        <f>W17+W19</f>
        <v>2838921.62</v>
      </c>
      <c r="X16" s="116" t="s">
        <v>249</v>
      </c>
    </row>
    <row r="17" spans="1:24" ht="71.25" customHeight="1" x14ac:dyDescent="0.25">
      <c r="A17" s="116" t="s">
        <v>238</v>
      </c>
      <c r="B17" s="117" t="s">
        <v>122</v>
      </c>
      <c r="C17" s="117" t="s">
        <v>123</v>
      </c>
      <c r="D17" s="183" t="s">
        <v>568</v>
      </c>
      <c r="E17" s="117"/>
      <c r="F17" s="117"/>
      <c r="G17" s="117"/>
      <c r="H17" s="117"/>
      <c r="I17" s="117"/>
      <c r="J17" s="117"/>
      <c r="K17" s="117"/>
      <c r="L17" s="117"/>
      <c r="M17" s="117"/>
      <c r="N17" s="117"/>
      <c r="O17" s="117"/>
      <c r="P17" s="117"/>
      <c r="Q17" s="117"/>
      <c r="R17" s="117"/>
      <c r="S17" s="117"/>
      <c r="T17" s="397" t="s">
        <v>238</v>
      </c>
      <c r="U17" s="118">
        <f>U18</f>
        <v>1344604</v>
      </c>
      <c r="V17" s="118">
        <f>V18</f>
        <v>1344604</v>
      </c>
      <c r="W17" s="118">
        <f>W18</f>
        <v>1344604</v>
      </c>
      <c r="X17" s="116" t="s">
        <v>238</v>
      </c>
    </row>
    <row r="18" spans="1:24" ht="117" customHeight="1" x14ac:dyDescent="0.25">
      <c r="A18" s="121" t="s">
        <v>287</v>
      </c>
      <c r="B18" s="119" t="s">
        <v>122</v>
      </c>
      <c r="C18" s="119" t="s">
        <v>123</v>
      </c>
      <c r="D18" s="183" t="s">
        <v>568</v>
      </c>
      <c r="E18" s="119"/>
      <c r="F18" s="119"/>
      <c r="G18" s="119"/>
      <c r="H18" s="119"/>
      <c r="I18" s="119"/>
      <c r="J18" s="119"/>
      <c r="K18" s="119"/>
      <c r="L18" s="119"/>
      <c r="M18" s="119"/>
      <c r="N18" s="119"/>
      <c r="O18" s="119"/>
      <c r="P18" s="119"/>
      <c r="Q18" s="119"/>
      <c r="R18" s="119"/>
      <c r="S18" s="119" t="s">
        <v>38</v>
      </c>
      <c r="T18" s="399" t="s">
        <v>287</v>
      </c>
      <c r="U18" s="118">
        <f>П4ВСР!Z18</f>
        <v>1344604</v>
      </c>
      <c r="V18" s="118">
        <f>П4ВСР!AA18</f>
        <v>1344604</v>
      </c>
      <c r="W18" s="118">
        <f>П4ВСР!AB18</f>
        <v>1344604</v>
      </c>
      <c r="X18" s="121" t="s">
        <v>287</v>
      </c>
    </row>
    <row r="19" spans="1:24" ht="56.25" customHeight="1" x14ac:dyDescent="0.25">
      <c r="A19" s="116" t="s">
        <v>239</v>
      </c>
      <c r="B19" s="117" t="s">
        <v>122</v>
      </c>
      <c r="C19" s="117" t="s">
        <v>123</v>
      </c>
      <c r="D19" s="183" t="s">
        <v>569</v>
      </c>
      <c r="E19" s="117"/>
      <c r="F19" s="117"/>
      <c r="G19" s="117"/>
      <c r="H19" s="117"/>
      <c r="I19" s="117"/>
      <c r="J19" s="117"/>
      <c r="K19" s="117"/>
      <c r="L19" s="117"/>
      <c r="M19" s="117"/>
      <c r="N19" s="117"/>
      <c r="O19" s="117"/>
      <c r="P19" s="117"/>
      <c r="Q19" s="117"/>
      <c r="R19" s="117"/>
      <c r="S19" s="117"/>
      <c r="T19" s="397" t="s">
        <v>239</v>
      </c>
      <c r="U19" s="118">
        <f>U20+U21+U22</f>
        <v>1557530.22</v>
      </c>
      <c r="V19" s="118">
        <f>V20+V21+V22</f>
        <v>1494317.72</v>
      </c>
      <c r="W19" s="118">
        <f>W20+W21+W22</f>
        <v>1494317.6199999999</v>
      </c>
      <c r="X19" s="116" t="s">
        <v>239</v>
      </c>
    </row>
    <row r="20" spans="1:24" ht="99.75" customHeight="1" x14ac:dyDescent="0.25">
      <c r="A20" s="121" t="s">
        <v>288</v>
      </c>
      <c r="B20" s="119" t="s">
        <v>122</v>
      </c>
      <c r="C20" s="119" t="s">
        <v>123</v>
      </c>
      <c r="D20" s="183" t="s">
        <v>569</v>
      </c>
      <c r="E20" s="119"/>
      <c r="F20" s="119"/>
      <c r="G20" s="119"/>
      <c r="H20" s="119"/>
      <c r="I20" s="119"/>
      <c r="J20" s="119"/>
      <c r="K20" s="119"/>
      <c r="L20" s="119"/>
      <c r="M20" s="119"/>
      <c r="N20" s="119"/>
      <c r="O20" s="119"/>
      <c r="P20" s="119"/>
      <c r="Q20" s="119"/>
      <c r="R20" s="119"/>
      <c r="S20" s="119" t="s">
        <v>38</v>
      </c>
      <c r="T20" s="399" t="s">
        <v>288</v>
      </c>
      <c r="U20" s="118">
        <f>П4ВСР!Z20</f>
        <v>1326960.25</v>
      </c>
      <c r="V20" s="118">
        <f>П4ВСР!AA20</f>
        <v>1263747.75</v>
      </c>
      <c r="W20" s="118">
        <f>П4ВСР!AB20</f>
        <v>1263747.75</v>
      </c>
      <c r="X20" s="121" t="s">
        <v>288</v>
      </c>
    </row>
    <row r="21" spans="1:24" ht="67.5" customHeight="1" x14ac:dyDescent="0.25">
      <c r="A21" s="116" t="s">
        <v>289</v>
      </c>
      <c r="B21" s="185" t="s">
        <v>122</v>
      </c>
      <c r="C21" s="185" t="s">
        <v>123</v>
      </c>
      <c r="D21" s="183" t="s">
        <v>569</v>
      </c>
      <c r="E21" s="185"/>
      <c r="F21" s="185"/>
      <c r="G21" s="185"/>
      <c r="H21" s="185"/>
      <c r="I21" s="185"/>
      <c r="J21" s="185"/>
      <c r="K21" s="185"/>
      <c r="L21" s="185"/>
      <c r="M21" s="185"/>
      <c r="N21" s="185"/>
      <c r="O21" s="185"/>
      <c r="P21" s="185"/>
      <c r="Q21" s="185"/>
      <c r="R21" s="185"/>
      <c r="S21" s="185" t="s">
        <v>290</v>
      </c>
      <c r="T21" s="400" t="s">
        <v>289</v>
      </c>
      <c r="U21" s="118">
        <f>П4ВСР!Z21</f>
        <v>222573.32</v>
      </c>
      <c r="V21" s="118">
        <f>П4ВСР!AA21</f>
        <v>222573.32</v>
      </c>
      <c r="W21" s="118">
        <f>П4ВСР!AB21</f>
        <v>222573.22</v>
      </c>
      <c r="X21" s="116" t="s">
        <v>289</v>
      </c>
    </row>
    <row r="22" spans="1:24" ht="53.25" customHeight="1" x14ac:dyDescent="0.25">
      <c r="A22" s="116" t="s">
        <v>291</v>
      </c>
      <c r="B22" s="185" t="s">
        <v>122</v>
      </c>
      <c r="C22" s="185" t="s">
        <v>123</v>
      </c>
      <c r="D22" s="183" t="s">
        <v>569</v>
      </c>
      <c r="E22" s="185"/>
      <c r="F22" s="185"/>
      <c r="G22" s="185"/>
      <c r="H22" s="185"/>
      <c r="I22" s="185"/>
      <c r="J22" s="185"/>
      <c r="K22" s="185"/>
      <c r="L22" s="185"/>
      <c r="M22" s="185"/>
      <c r="N22" s="185"/>
      <c r="O22" s="185"/>
      <c r="P22" s="185"/>
      <c r="Q22" s="185"/>
      <c r="R22" s="185"/>
      <c r="S22" s="185" t="s">
        <v>244</v>
      </c>
      <c r="T22" s="401" t="s">
        <v>291</v>
      </c>
      <c r="U22" s="118">
        <f>П4ВСР!Z22</f>
        <v>7996.65</v>
      </c>
      <c r="V22" s="118">
        <f>П4ВСР!AA22</f>
        <v>7996.65</v>
      </c>
      <c r="W22" s="118">
        <f>П4ВСР!AB22</f>
        <v>7996.65</v>
      </c>
      <c r="X22" s="116" t="s">
        <v>291</v>
      </c>
    </row>
    <row r="23" spans="1:24" ht="61.5" customHeight="1" x14ac:dyDescent="0.25">
      <c r="A23" s="116" t="s">
        <v>250</v>
      </c>
      <c r="B23" s="221" t="s">
        <v>122</v>
      </c>
      <c r="C23" s="221" t="s">
        <v>136</v>
      </c>
      <c r="D23" s="187"/>
      <c r="E23" s="222"/>
      <c r="F23" s="222"/>
      <c r="G23" s="222"/>
      <c r="H23" s="222"/>
      <c r="I23" s="222"/>
      <c r="J23" s="222"/>
      <c r="K23" s="222"/>
      <c r="L23" s="222"/>
      <c r="M23" s="222"/>
      <c r="N23" s="222"/>
      <c r="O23" s="222"/>
      <c r="P23" s="222"/>
      <c r="Q23" s="222"/>
      <c r="R23" s="222"/>
      <c r="S23" s="222"/>
      <c r="T23" s="396" t="s">
        <v>250</v>
      </c>
      <c r="U23" s="216">
        <f>U24+U26+U32+U30</f>
        <v>29593778.750000004</v>
      </c>
      <c r="V23" s="216">
        <f t="shared" ref="V23:W23" si="1">V24+V26+V32+V30</f>
        <v>28187774.07</v>
      </c>
      <c r="W23" s="216">
        <f t="shared" si="1"/>
        <v>28187774.07</v>
      </c>
      <c r="X23" s="116" t="s">
        <v>250</v>
      </c>
    </row>
    <row r="24" spans="1:24" ht="66.75" customHeight="1" x14ac:dyDescent="0.25">
      <c r="A24" s="116" t="s">
        <v>292</v>
      </c>
      <c r="B24" s="117" t="s">
        <v>122</v>
      </c>
      <c r="C24" s="117" t="s">
        <v>136</v>
      </c>
      <c r="D24" s="183" t="s">
        <v>570</v>
      </c>
      <c r="E24" s="117"/>
      <c r="F24" s="117"/>
      <c r="G24" s="117"/>
      <c r="H24" s="117"/>
      <c r="I24" s="117"/>
      <c r="J24" s="117"/>
      <c r="K24" s="117"/>
      <c r="L24" s="117"/>
      <c r="M24" s="117"/>
      <c r="N24" s="117"/>
      <c r="O24" s="117"/>
      <c r="P24" s="117"/>
      <c r="Q24" s="117"/>
      <c r="R24" s="117"/>
      <c r="S24" s="117"/>
      <c r="T24" s="402" t="s">
        <v>655</v>
      </c>
      <c r="U24" s="118">
        <f>U25</f>
        <v>178508.96000000002</v>
      </c>
      <c r="V24" s="118">
        <f>V25</f>
        <v>150000</v>
      </c>
      <c r="W24" s="118">
        <f>W25</f>
        <v>150000</v>
      </c>
      <c r="X24" s="116" t="s">
        <v>292</v>
      </c>
    </row>
    <row r="25" spans="1:24" ht="63" customHeight="1" x14ac:dyDescent="0.25">
      <c r="A25" s="116" t="s">
        <v>293</v>
      </c>
      <c r="B25" s="119" t="s">
        <v>122</v>
      </c>
      <c r="C25" s="119" t="s">
        <v>136</v>
      </c>
      <c r="D25" s="183" t="s">
        <v>570</v>
      </c>
      <c r="E25" s="119"/>
      <c r="F25" s="119"/>
      <c r="G25" s="119"/>
      <c r="H25" s="119"/>
      <c r="I25" s="119"/>
      <c r="J25" s="119"/>
      <c r="K25" s="119"/>
      <c r="L25" s="119"/>
      <c r="M25" s="119"/>
      <c r="N25" s="119"/>
      <c r="O25" s="119"/>
      <c r="P25" s="119"/>
      <c r="Q25" s="119"/>
      <c r="R25" s="119"/>
      <c r="S25" s="119" t="s">
        <v>290</v>
      </c>
      <c r="T25" s="400" t="s">
        <v>293</v>
      </c>
      <c r="U25" s="118">
        <f>П4ВСР!Z25</f>
        <v>178508.96000000002</v>
      </c>
      <c r="V25" s="118">
        <f>П4ВСР!AA25</f>
        <v>150000</v>
      </c>
      <c r="W25" s="118">
        <f>П4ВСР!AB25</f>
        <v>150000</v>
      </c>
      <c r="X25" s="116" t="s">
        <v>293</v>
      </c>
    </row>
    <row r="26" spans="1:24" ht="89.25" customHeight="1" x14ac:dyDescent="0.25">
      <c r="A26" s="116" t="s">
        <v>294</v>
      </c>
      <c r="B26" s="117" t="s">
        <v>122</v>
      </c>
      <c r="C26" s="117" t="s">
        <v>136</v>
      </c>
      <c r="D26" s="183" t="s">
        <v>571</v>
      </c>
      <c r="E26" s="117"/>
      <c r="F26" s="117"/>
      <c r="G26" s="117"/>
      <c r="H26" s="117"/>
      <c r="I26" s="117"/>
      <c r="J26" s="117"/>
      <c r="K26" s="117"/>
      <c r="L26" s="117"/>
      <c r="M26" s="117"/>
      <c r="N26" s="117"/>
      <c r="O26" s="117"/>
      <c r="P26" s="117"/>
      <c r="Q26" s="117"/>
      <c r="R26" s="117"/>
      <c r="S26" s="117"/>
      <c r="T26" s="402" t="s">
        <v>656</v>
      </c>
      <c r="U26" s="118">
        <f>U27+U28+U29</f>
        <v>29111898.690000001</v>
      </c>
      <c r="V26" s="118">
        <f>V27+V28+V29</f>
        <v>27779774.07</v>
      </c>
      <c r="W26" s="118">
        <f>W27+W28+W29</f>
        <v>27779774.07</v>
      </c>
      <c r="X26" s="116" t="s">
        <v>294</v>
      </c>
    </row>
    <row r="27" spans="1:24" ht="83.25" customHeight="1" x14ac:dyDescent="0.25">
      <c r="A27" s="121" t="s">
        <v>295</v>
      </c>
      <c r="B27" s="119" t="s">
        <v>122</v>
      </c>
      <c r="C27" s="119" t="s">
        <v>136</v>
      </c>
      <c r="D27" s="183" t="s">
        <v>571</v>
      </c>
      <c r="E27" s="119"/>
      <c r="F27" s="119"/>
      <c r="G27" s="119"/>
      <c r="H27" s="119"/>
      <c r="I27" s="119"/>
      <c r="J27" s="119"/>
      <c r="K27" s="119"/>
      <c r="L27" s="119"/>
      <c r="M27" s="119"/>
      <c r="N27" s="119"/>
      <c r="O27" s="119"/>
      <c r="P27" s="119"/>
      <c r="Q27" s="119"/>
      <c r="R27" s="119"/>
      <c r="S27" s="119" t="s">
        <v>38</v>
      </c>
      <c r="T27" s="403" t="s">
        <v>295</v>
      </c>
      <c r="U27" s="118">
        <f>П4ВСР!Z27</f>
        <v>24452581.010000002</v>
      </c>
      <c r="V27" s="118">
        <f>П4ВСР!AA27</f>
        <v>23170456.399999999</v>
      </c>
      <c r="W27" s="118">
        <f>П4ВСР!AB27</f>
        <v>23170456.399999999</v>
      </c>
      <c r="X27" s="121" t="s">
        <v>295</v>
      </c>
    </row>
    <row r="28" spans="1:24" ht="56.25" customHeight="1" x14ac:dyDescent="0.25">
      <c r="A28" s="116" t="s">
        <v>296</v>
      </c>
      <c r="B28" s="119" t="s">
        <v>122</v>
      </c>
      <c r="C28" s="119" t="s">
        <v>136</v>
      </c>
      <c r="D28" s="183" t="s">
        <v>571</v>
      </c>
      <c r="E28" s="119"/>
      <c r="F28" s="119"/>
      <c r="G28" s="119"/>
      <c r="H28" s="119"/>
      <c r="I28" s="119"/>
      <c r="J28" s="119"/>
      <c r="K28" s="119"/>
      <c r="L28" s="119"/>
      <c r="M28" s="119"/>
      <c r="N28" s="119"/>
      <c r="O28" s="119"/>
      <c r="P28" s="119"/>
      <c r="Q28" s="119"/>
      <c r="R28" s="119"/>
      <c r="S28" s="119" t="s">
        <v>290</v>
      </c>
      <c r="T28" s="400" t="s">
        <v>296</v>
      </c>
      <c r="U28" s="118">
        <f>П4ВСР!Z28</f>
        <v>4393266.4799999995</v>
      </c>
      <c r="V28" s="118">
        <f>П4ВСР!AA28</f>
        <v>4343266.4799999995</v>
      </c>
      <c r="W28" s="118">
        <f>П4ВСР!AB28</f>
        <v>4343266.4799999995</v>
      </c>
      <c r="X28" s="116" t="s">
        <v>296</v>
      </c>
    </row>
    <row r="29" spans="1:24" ht="43.5" customHeight="1" x14ac:dyDescent="0.25">
      <c r="A29" s="116" t="s">
        <v>297</v>
      </c>
      <c r="B29" s="119" t="s">
        <v>122</v>
      </c>
      <c r="C29" s="119" t="s">
        <v>136</v>
      </c>
      <c r="D29" s="183" t="s">
        <v>571</v>
      </c>
      <c r="E29" s="119"/>
      <c r="F29" s="119"/>
      <c r="G29" s="119"/>
      <c r="H29" s="119"/>
      <c r="I29" s="119"/>
      <c r="J29" s="119"/>
      <c r="K29" s="119"/>
      <c r="L29" s="119"/>
      <c r="M29" s="119"/>
      <c r="N29" s="119"/>
      <c r="O29" s="119"/>
      <c r="P29" s="119"/>
      <c r="Q29" s="119"/>
      <c r="R29" s="119"/>
      <c r="S29" s="119" t="s">
        <v>244</v>
      </c>
      <c r="T29" s="401" t="s">
        <v>297</v>
      </c>
      <c r="U29" s="118">
        <f>П4ВСР!Z29</f>
        <v>266051.20000000001</v>
      </c>
      <c r="V29" s="118">
        <f>П4ВСР!AA29</f>
        <v>266051.19</v>
      </c>
      <c r="W29" s="118">
        <f>П4ВСР!AB29</f>
        <v>266051.19</v>
      </c>
      <c r="X29" s="116" t="s">
        <v>297</v>
      </c>
    </row>
    <row r="30" spans="1:24" s="375" customFormat="1" ht="49.5" customHeight="1" x14ac:dyDescent="0.25">
      <c r="A30" s="265"/>
      <c r="B30" s="185" t="s">
        <v>122</v>
      </c>
      <c r="C30" s="185" t="s">
        <v>136</v>
      </c>
      <c r="D30" s="276" t="s">
        <v>1045</v>
      </c>
      <c r="E30" s="185"/>
      <c r="F30" s="185"/>
      <c r="G30" s="185"/>
      <c r="H30" s="185"/>
      <c r="I30" s="185"/>
      <c r="J30" s="185"/>
      <c r="K30" s="185"/>
      <c r="L30" s="185"/>
      <c r="M30" s="185"/>
      <c r="N30" s="185"/>
      <c r="O30" s="185"/>
      <c r="P30" s="185"/>
      <c r="Q30" s="185"/>
      <c r="R30" s="185"/>
      <c r="S30" s="185"/>
      <c r="T30" s="402" t="s">
        <v>1046</v>
      </c>
      <c r="U30" s="258">
        <f>U31</f>
        <v>50000</v>
      </c>
      <c r="V30" s="258">
        <f t="shared" ref="V30:W30" si="2">V31</f>
        <v>0</v>
      </c>
      <c r="W30" s="258">
        <f t="shared" si="2"/>
        <v>0</v>
      </c>
      <c r="X30" s="265"/>
    </row>
    <row r="31" spans="1:24" s="375" customFormat="1" ht="51" customHeight="1" x14ac:dyDescent="0.25">
      <c r="A31" s="265"/>
      <c r="B31" s="185" t="s">
        <v>122</v>
      </c>
      <c r="C31" s="185" t="s">
        <v>136</v>
      </c>
      <c r="D31" s="276" t="s">
        <v>1045</v>
      </c>
      <c r="E31" s="185"/>
      <c r="F31" s="185"/>
      <c r="G31" s="185"/>
      <c r="H31" s="185"/>
      <c r="I31" s="185"/>
      <c r="J31" s="185"/>
      <c r="K31" s="185"/>
      <c r="L31" s="185"/>
      <c r="M31" s="185"/>
      <c r="N31" s="185"/>
      <c r="O31" s="185"/>
      <c r="P31" s="185"/>
      <c r="Q31" s="185"/>
      <c r="R31" s="185"/>
      <c r="S31" s="185" t="s">
        <v>290</v>
      </c>
      <c r="T31" s="400" t="s">
        <v>296</v>
      </c>
      <c r="U31" s="258">
        <v>50000</v>
      </c>
      <c r="V31" s="258">
        <v>0</v>
      </c>
      <c r="W31" s="258">
        <v>0</v>
      </c>
      <c r="X31" s="265"/>
    </row>
    <row r="32" spans="1:24" ht="51.75" customHeight="1" x14ac:dyDescent="0.25">
      <c r="A32" s="116" t="s">
        <v>298</v>
      </c>
      <c r="B32" s="117" t="s">
        <v>122</v>
      </c>
      <c r="C32" s="117" t="s">
        <v>136</v>
      </c>
      <c r="D32" s="183" t="s">
        <v>572</v>
      </c>
      <c r="E32" s="117"/>
      <c r="F32" s="117"/>
      <c r="G32" s="117"/>
      <c r="H32" s="117"/>
      <c r="I32" s="117"/>
      <c r="J32" s="117"/>
      <c r="K32" s="117"/>
      <c r="L32" s="117"/>
      <c r="M32" s="117"/>
      <c r="N32" s="117"/>
      <c r="O32" s="117"/>
      <c r="P32" s="117"/>
      <c r="Q32" s="117"/>
      <c r="R32" s="117"/>
      <c r="S32" s="117"/>
      <c r="T32" s="397" t="s">
        <v>298</v>
      </c>
      <c r="U32" s="118">
        <f>U33+U34</f>
        <v>253371.1</v>
      </c>
      <c r="V32" s="118">
        <f>V33+V34</f>
        <v>258000</v>
      </c>
      <c r="W32" s="118">
        <f>W33+W34</f>
        <v>258000</v>
      </c>
      <c r="X32" s="116" t="s">
        <v>298</v>
      </c>
    </row>
    <row r="33" spans="1:24" ht="99" customHeight="1" x14ac:dyDescent="0.25">
      <c r="A33" s="121" t="s">
        <v>299</v>
      </c>
      <c r="B33" s="119" t="s">
        <v>122</v>
      </c>
      <c r="C33" s="119" t="s">
        <v>136</v>
      </c>
      <c r="D33" s="183" t="s">
        <v>572</v>
      </c>
      <c r="E33" s="119"/>
      <c r="F33" s="119"/>
      <c r="G33" s="119"/>
      <c r="H33" s="119"/>
      <c r="I33" s="119"/>
      <c r="J33" s="119"/>
      <c r="K33" s="119"/>
      <c r="L33" s="119"/>
      <c r="M33" s="119"/>
      <c r="N33" s="119"/>
      <c r="O33" s="119"/>
      <c r="P33" s="119"/>
      <c r="Q33" s="119"/>
      <c r="R33" s="119"/>
      <c r="S33" s="119" t="s">
        <v>38</v>
      </c>
      <c r="T33" s="403" t="s">
        <v>299</v>
      </c>
      <c r="U33" s="118">
        <f>П4ВСР!Z33</f>
        <v>119871.1</v>
      </c>
      <c r="V33" s="118">
        <f>П4ВСР!AA33</f>
        <v>160000</v>
      </c>
      <c r="W33" s="118">
        <f>П4ВСР!AB33</f>
        <v>160000</v>
      </c>
      <c r="X33" s="121" t="s">
        <v>299</v>
      </c>
    </row>
    <row r="34" spans="1:24" ht="68.25" customHeight="1" x14ac:dyDescent="0.25">
      <c r="A34" s="116" t="s">
        <v>300</v>
      </c>
      <c r="B34" s="119" t="s">
        <v>122</v>
      </c>
      <c r="C34" s="119" t="s">
        <v>136</v>
      </c>
      <c r="D34" s="183" t="s">
        <v>572</v>
      </c>
      <c r="E34" s="119"/>
      <c r="F34" s="119"/>
      <c r="G34" s="119"/>
      <c r="H34" s="119"/>
      <c r="I34" s="119"/>
      <c r="J34" s="119"/>
      <c r="K34" s="119"/>
      <c r="L34" s="119"/>
      <c r="M34" s="119"/>
      <c r="N34" s="119"/>
      <c r="O34" s="119"/>
      <c r="P34" s="119"/>
      <c r="Q34" s="119"/>
      <c r="R34" s="119"/>
      <c r="S34" s="119" t="s">
        <v>290</v>
      </c>
      <c r="T34" s="400" t="s">
        <v>300</v>
      </c>
      <c r="U34" s="118">
        <f>П4ВСР!Z34</f>
        <v>133500</v>
      </c>
      <c r="V34" s="118">
        <f>П4ВСР!AA34</f>
        <v>98000</v>
      </c>
      <c r="W34" s="118">
        <f>П4ВСР!AB34</f>
        <v>98000</v>
      </c>
      <c r="X34" s="116" t="s">
        <v>300</v>
      </c>
    </row>
    <row r="35" spans="1:24" ht="25.5" customHeight="1" x14ac:dyDescent="0.25">
      <c r="A35" s="116" t="s">
        <v>137</v>
      </c>
      <c r="B35" s="117" t="s">
        <v>122</v>
      </c>
      <c r="C35" s="117" t="s">
        <v>124</v>
      </c>
      <c r="D35" s="117"/>
      <c r="E35" s="117"/>
      <c r="F35" s="117"/>
      <c r="G35" s="117"/>
      <c r="H35" s="117"/>
      <c r="I35" s="117"/>
      <c r="J35" s="117"/>
      <c r="K35" s="117"/>
      <c r="L35" s="117"/>
      <c r="M35" s="117"/>
      <c r="N35" s="117"/>
      <c r="O35" s="117"/>
      <c r="P35" s="117"/>
      <c r="Q35" s="117"/>
      <c r="R35" s="117"/>
      <c r="S35" s="117"/>
      <c r="T35" s="395" t="s">
        <v>137</v>
      </c>
      <c r="U35" s="118">
        <f t="shared" ref="U35:W36" si="3">U36</f>
        <v>8790</v>
      </c>
      <c r="V35" s="118">
        <f t="shared" si="3"/>
        <v>0</v>
      </c>
      <c r="W35" s="118">
        <f t="shared" si="3"/>
        <v>0</v>
      </c>
      <c r="X35" s="116" t="s">
        <v>137</v>
      </c>
    </row>
    <row r="36" spans="1:24" ht="39.75" customHeight="1" x14ac:dyDescent="0.25">
      <c r="A36" s="116" t="s">
        <v>231</v>
      </c>
      <c r="B36" s="208" t="s">
        <v>122</v>
      </c>
      <c r="C36" s="208" t="s">
        <v>124</v>
      </c>
      <c r="D36" s="208" t="s">
        <v>759</v>
      </c>
      <c r="E36" s="208"/>
      <c r="F36" s="208"/>
      <c r="G36" s="208"/>
      <c r="H36" s="208"/>
      <c r="I36" s="208"/>
      <c r="J36" s="208"/>
      <c r="K36" s="208"/>
      <c r="L36" s="208"/>
      <c r="M36" s="208"/>
      <c r="N36" s="208"/>
      <c r="O36" s="208"/>
      <c r="P36" s="208"/>
      <c r="Q36" s="208"/>
      <c r="R36" s="208"/>
      <c r="S36" s="208"/>
      <c r="T36" s="402" t="s">
        <v>231</v>
      </c>
      <c r="U36" s="118">
        <f t="shared" si="3"/>
        <v>8790</v>
      </c>
      <c r="V36" s="118">
        <f t="shared" si="3"/>
        <v>0</v>
      </c>
      <c r="W36" s="118">
        <f t="shared" si="3"/>
        <v>0</v>
      </c>
      <c r="X36" s="116" t="s">
        <v>231</v>
      </c>
    </row>
    <row r="37" spans="1:24" ht="48" customHeight="1" x14ac:dyDescent="0.25">
      <c r="A37" s="116" t="s">
        <v>301</v>
      </c>
      <c r="B37" s="185" t="s">
        <v>122</v>
      </c>
      <c r="C37" s="185" t="s">
        <v>124</v>
      </c>
      <c r="D37" s="208" t="s">
        <v>759</v>
      </c>
      <c r="E37" s="185"/>
      <c r="F37" s="185"/>
      <c r="G37" s="185"/>
      <c r="H37" s="185"/>
      <c r="I37" s="185"/>
      <c r="J37" s="185"/>
      <c r="K37" s="185"/>
      <c r="L37" s="185"/>
      <c r="M37" s="185"/>
      <c r="N37" s="185"/>
      <c r="O37" s="185"/>
      <c r="P37" s="185"/>
      <c r="Q37" s="185"/>
      <c r="R37" s="185"/>
      <c r="S37" s="185" t="s">
        <v>290</v>
      </c>
      <c r="T37" s="400" t="s">
        <v>301</v>
      </c>
      <c r="U37" s="118">
        <f>П4ВСР!Z37</f>
        <v>8790</v>
      </c>
      <c r="V37" s="118">
        <f>П4ВСР!AA37</f>
        <v>0</v>
      </c>
      <c r="W37" s="118">
        <f>П4ВСР!AB37</f>
        <v>0</v>
      </c>
      <c r="X37" s="116" t="s">
        <v>301</v>
      </c>
    </row>
    <row r="38" spans="1:24" ht="33.75" customHeight="1" x14ac:dyDescent="0.25">
      <c r="A38" s="116" t="s">
        <v>251</v>
      </c>
      <c r="B38" s="221" t="s">
        <v>122</v>
      </c>
      <c r="C38" s="221" t="s">
        <v>125</v>
      </c>
      <c r="D38" s="221"/>
      <c r="E38" s="221"/>
      <c r="F38" s="221"/>
      <c r="G38" s="221"/>
      <c r="H38" s="221"/>
      <c r="I38" s="221"/>
      <c r="J38" s="221"/>
      <c r="K38" s="221"/>
      <c r="L38" s="221"/>
      <c r="M38" s="221"/>
      <c r="N38" s="221"/>
      <c r="O38" s="221"/>
      <c r="P38" s="221"/>
      <c r="Q38" s="221"/>
      <c r="R38" s="221"/>
      <c r="S38" s="221"/>
      <c r="T38" s="396" t="s">
        <v>251</v>
      </c>
      <c r="U38" s="216">
        <f>U39+U43+U45</f>
        <v>12134687.779999999</v>
      </c>
      <c r="V38" s="216">
        <f>V39+V43+V45</f>
        <v>11524134.779999999</v>
      </c>
      <c r="W38" s="216">
        <f>W39+W43+W45</f>
        <v>11524134.779999999</v>
      </c>
      <c r="X38" s="116" t="s">
        <v>251</v>
      </c>
    </row>
    <row r="39" spans="1:24" ht="85.5" customHeight="1" x14ac:dyDescent="0.25">
      <c r="A39" s="116" t="s">
        <v>431</v>
      </c>
      <c r="B39" s="208" t="s">
        <v>122</v>
      </c>
      <c r="C39" s="208" t="s">
        <v>125</v>
      </c>
      <c r="D39" s="208" t="s">
        <v>702</v>
      </c>
      <c r="E39" s="208"/>
      <c r="F39" s="208"/>
      <c r="G39" s="208"/>
      <c r="H39" s="208"/>
      <c r="I39" s="208"/>
      <c r="J39" s="208"/>
      <c r="K39" s="208"/>
      <c r="L39" s="208"/>
      <c r="M39" s="208"/>
      <c r="N39" s="208"/>
      <c r="O39" s="208"/>
      <c r="P39" s="208"/>
      <c r="Q39" s="208"/>
      <c r="R39" s="208"/>
      <c r="S39" s="208"/>
      <c r="T39" s="402" t="s">
        <v>701</v>
      </c>
      <c r="U39" s="118">
        <f>U40+U41+U42</f>
        <v>11016270.77</v>
      </c>
      <c r="V39" s="118">
        <f>V40+V41+V42</f>
        <v>10441270.77</v>
      </c>
      <c r="W39" s="118">
        <f>W40+W41+W42</f>
        <v>10441270.77</v>
      </c>
      <c r="X39" s="116" t="s">
        <v>431</v>
      </c>
    </row>
    <row r="40" spans="1:24" ht="67.5" customHeight="1" x14ac:dyDescent="0.25">
      <c r="A40" s="116" t="s">
        <v>432</v>
      </c>
      <c r="B40" s="185" t="s">
        <v>122</v>
      </c>
      <c r="C40" s="185" t="s">
        <v>125</v>
      </c>
      <c r="D40" s="208" t="s">
        <v>702</v>
      </c>
      <c r="E40" s="185"/>
      <c r="F40" s="185"/>
      <c r="G40" s="185"/>
      <c r="H40" s="185"/>
      <c r="I40" s="185"/>
      <c r="J40" s="185"/>
      <c r="K40" s="185"/>
      <c r="L40" s="185"/>
      <c r="M40" s="185"/>
      <c r="N40" s="185"/>
      <c r="O40" s="185"/>
      <c r="P40" s="185"/>
      <c r="Q40" s="185"/>
      <c r="R40" s="185"/>
      <c r="S40" s="185" t="s">
        <v>38</v>
      </c>
      <c r="T40" s="400" t="s">
        <v>432</v>
      </c>
      <c r="U40" s="118">
        <f>П4ВСР!Z273</f>
        <v>10372778.77</v>
      </c>
      <c r="V40" s="118">
        <f>П4ВСР!AA273</f>
        <v>9797778.7699999996</v>
      </c>
      <c r="W40" s="118">
        <f>П4ВСР!AB273</f>
        <v>9797778.7699999996</v>
      </c>
      <c r="X40" s="116" t="s">
        <v>432</v>
      </c>
    </row>
    <row r="41" spans="1:24" ht="33.75" customHeight="1" x14ac:dyDescent="0.25">
      <c r="A41" s="116" t="s">
        <v>433</v>
      </c>
      <c r="B41" s="185" t="s">
        <v>122</v>
      </c>
      <c r="C41" s="185" t="s">
        <v>125</v>
      </c>
      <c r="D41" s="208" t="s">
        <v>702</v>
      </c>
      <c r="E41" s="185"/>
      <c r="F41" s="185"/>
      <c r="G41" s="185"/>
      <c r="H41" s="185"/>
      <c r="I41" s="185"/>
      <c r="J41" s="185"/>
      <c r="K41" s="185"/>
      <c r="L41" s="185"/>
      <c r="M41" s="185"/>
      <c r="N41" s="185"/>
      <c r="O41" s="185"/>
      <c r="P41" s="185"/>
      <c r="Q41" s="185"/>
      <c r="R41" s="185"/>
      <c r="S41" s="185" t="s">
        <v>290</v>
      </c>
      <c r="T41" s="400" t="s">
        <v>433</v>
      </c>
      <c r="U41" s="118">
        <f>П4ВСР!Z274</f>
        <v>641492</v>
      </c>
      <c r="V41" s="118">
        <f>П4ВСР!AA274</f>
        <v>641492</v>
      </c>
      <c r="W41" s="118">
        <f>П4ВСР!AB274</f>
        <v>641492</v>
      </c>
      <c r="X41" s="116" t="s">
        <v>433</v>
      </c>
    </row>
    <row r="42" spans="1:24" ht="35.25" customHeight="1" x14ac:dyDescent="0.25">
      <c r="A42" s="116" t="s">
        <v>434</v>
      </c>
      <c r="B42" s="185" t="s">
        <v>122</v>
      </c>
      <c r="C42" s="185" t="s">
        <v>125</v>
      </c>
      <c r="D42" s="208" t="s">
        <v>702</v>
      </c>
      <c r="E42" s="185"/>
      <c r="F42" s="185"/>
      <c r="G42" s="185"/>
      <c r="H42" s="185"/>
      <c r="I42" s="185"/>
      <c r="J42" s="185"/>
      <c r="K42" s="185"/>
      <c r="L42" s="185"/>
      <c r="M42" s="185"/>
      <c r="N42" s="185"/>
      <c r="O42" s="185"/>
      <c r="P42" s="185"/>
      <c r="Q42" s="185"/>
      <c r="R42" s="185"/>
      <c r="S42" s="185" t="s">
        <v>244</v>
      </c>
      <c r="T42" s="400" t="s">
        <v>434</v>
      </c>
      <c r="U42" s="118">
        <f>П4ВСР!Z275</f>
        <v>2000</v>
      </c>
      <c r="V42" s="118">
        <f>П4ВСР!AA275</f>
        <v>2000</v>
      </c>
      <c r="W42" s="118">
        <f>П4ВСР!AB275</f>
        <v>2000</v>
      </c>
      <c r="X42" s="116" t="s">
        <v>434</v>
      </c>
    </row>
    <row r="43" spans="1:24" ht="111.75" customHeight="1" x14ac:dyDescent="0.25">
      <c r="A43" s="116" t="s">
        <v>435</v>
      </c>
      <c r="B43" s="208" t="s">
        <v>122</v>
      </c>
      <c r="C43" s="208" t="s">
        <v>125</v>
      </c>
      <c r="D43" s="208" t="s">
        <v>704</v>
      </c>
      <c r="E43" s="208"/>
      <c r="F43" s="208"/>
      <c r="G43" s="208"/>
      <c r="H43" s="208"/>
      <c r="I43" s="208"/>
      <c r="J43" s="208"/>
      <c r="K43" s="208"/>
      <c r="L43" s="208"/>
      <c r="M43" s="208"/>
      <c r="N43" s="208"/>
      <c r="O43" s="208"/>
      <c r="P43" s="208"/>
      <c r="Q43" s="208"/>
      <c r="R43" s="208"/>
      <c r="S43" s="208"/>
      <c r="T43" s="402" t="s">
        <v>703</v>
      </c>
      <c r="U43" s="118">
        <f>U44</f>
        <v>585553</v>
      </c>
      <c r="V43" s="118">
        <f>V44</f>
        <v>550000</v>
      </c>
      <c r="W43" s="118">
        <f>W44</f>
        <v>550000</v>
      </c>
      <c r="X43" s="116" t="s">
        <v>435</v>
      </c>
    </row>
    <row r="44" spans="1:24" ht="105.75" customHeight="1" x14ac:dyDescent="0.25">
      <c r="A44" s="121" t="s">
        <v>436</v>
      </c>
      <c r="B44" s="185" t="s">
        <v>122</v>
      </c>
      <c r="C44" s="185" t="s">
        <v>125</v>
      </c>
      <c r="D44" s="208" t="s">
        <v>704</v>
      </c>
      <c r="E44" s="185"/>
      <c r="F44" s="185"/>
      <c r="G44" s="185"/>
      <c r="H44" s="185"/>
      <c r="I44" s="185"/>
      <c r="J44" s="185"/>
      <c r="K44" s="185"/>
      <c r="L44" s="185"/>
      <c r="M44" s="185"/>
      <c r="N44" s="185"/>
      <c r="O44" s="185"/>
      <c r="P44" s="185"/>
      <c r="Q44" s="185"/>
      <c r="R44" s="185"/>
      <c r="S44" s="185" t="s">
        <v>38</v>
      </c>
      <c r="T44" s="403" t="s">
        <v>436</v>
      </c>
      <c r="U44" s="118">
        <f>П4ВСР!Z277</f>
        <v>585553</v>
      </c>
      <c r="V44" s="118">
        <f>П4ВСР!AA277</f>
        <v>550000</v>
      </c>
      <c r="W44" s="118">
        <f>П4ВСР!AB277</f>
        <v>550000</v>
      </c>
      <c r="X44" s="121" t="s">
        <v>436</v>
      </c>
    </row>
    <row r="45" spans="1:24" ht="37.5" customHeight="1" x14ac:dyDescent="0.25">
      <c r="A45" s="116" t="s">
        <v>240</v>
      </c>
      <c r="B45" s="117" t="s">
        <v>122</v>
      </c>
      <c r="C45" s="117" t="s">
        <v>125</v>
      </c>
      <c r="D45" s="183" t="s">
        <v>573</v>
      </c>
      <c r="E45" s="117"/>
      <c r="F45" s="117"/>
      <c r="G45" s="117"/>
      <c r="H45" s="117"/>
      <c r="I45" s="117"/>
      <c r="J45" s="117"/>
      <c r="K45" s="117"/>
      <c r="L45" s="117"/>
      <c r="M45" s="117"/>
      <c r="N45" s="117"/>
      <c r="O45" s="117"/>
      <c r="P45" s="117"/>
      <c r="Q45" s="117"/>
      <c r="R45" s="117"/>
      <c r="S45" s="117"/>
      <c r="T45" s="397" t="s">
        <v>240</v>
      </c>
      <c r="U45" s="118">
        <f>U46</f>
        <v>532864.01</v>
      </c>
      <c r="V45" s="118">
        <f>V46</f>
        <v>532864.01</v>
      </c>
      <c r="W45" s="118">
        <f>W46</f>
        <v>532864.01</v>
      </c>
      <c r="X45" s="116" t="s">
        <v>240</v>
      </c>
    </row>
    <row r="46" spans="1:24" ht="85.5" customHeight="1" x14ac:dyDescent="0.25">
      <c r="A46" s="121" t="s">
        <v>302</v>
      </c>
      <c r="B46" s="119" t="s">
        <v>122</v>
      </c>
      <c r="C46" s="119" t="s">
        <v>125</v>
      </c>
      <c r="D46" s="183" t="s">
        <v>573</v>
      </c>
      <c r="E46" s="119"/>
      <c r="F46" s="119"/>
      <c r="G46" s="119"/>
      <c r="H46" s="119"/>
      <c r="I46" s="119"/>
      <c r="J46" s="119"/>
      <c r="K46" s="119"/>
      <c r="L46" s="119"/>
      <c r="M46" s="119"/>
      <c r="N46" s="119"/>
      <c r="O46" s="119"/>
      <c r="P46" s="119"/>
      <c r="Q46" s="119"/>
      <c r="R46" s="119"/>
      <c r="S46" s="119" t="s">
        <v>38</v>
      </c>
      <c r="T46" s="399" t="s">
        <v>302</v>
      </c>
      <c r="U46" s="118">
        <f>П4ВСР!Z40</f>
        <v>532864.01</v>
      </c>
      <c r="V46" s="118">
        <f>П4ВСР!AA40</f>
        <v>532864.01</v>
      </c>
      <c r="W46" s="118">
        <f>П4ВСР!AB40</f>
        <v>532864.01</v>
      </c>
      <c r="X46" s="121" t="s">
        <v>302</v>
      </c>
    </row>
    <row r="47" spans="1:24" ht="78.75" customHeight="1" x14ac:dyDescent="0.25">
      <c r="A47" s="121"/>
      <c r="B47" s="212" t="s">
        <v>122</v>
      </c>
      <c r="C47" s="212" t="s">
        <v>138</v>
      </c>
      <c r="D47" s="183" t="s">
        <v>830</v>
      </c>
      <c r="E47" s="119"/>
      <c r="F47" s="119"/>
      <c r="G47" s="119"/>
      <c r="H47" s="119"/>
      <c r="I47" s="119"/>
      <c r="J47" s="119"/>
      <c r="K47" s="119"/>
      <c r="L47" s="119"/>
      <c r="M47" s="119"/>
      <c r="N47" s="119"/>
      <c r="O47" s="119"/>
      <c r="P47" s="119"/>
      <c r="Q47" s="119"/>
      <c r="R47" s="119"/>
      <c r="S47" s="119"/>
      <c r="T47" s="508" t="s">
        <v>829</v>
      </c>
      <c r="U47" s="118">
        <f>U48</f>
        <v>2085575.02</v>
      </c>
      <c r="V47" s="118">
        <f>V48</f>
        <v>0</v>
      </c>
      <c r="W47" s="118">
        <f>W48</f>
        <v>0</v>
      </c>
      <c r="X47" s="121"/>
    </row>
    <row r="48" spans="1:24" ht="22.5" customHeight="1" x14ac:dyDescent="0.25">
      <c r="A48" s="121"/>
      <c r="B48" s="212" t="s">
        <v>122</v>
      </c>
      <c r="C48" s="212" t="s">
        <v>138</v>
      </c>
      <c r="D48" s="183" t="s">
        <v>830</v>
      </c>
      <c r="E48" s="119"/>
      <c r="F48" s="119"/>
      <c r="G48" s="119"/>
      <c r="H48" s="119"/>
      <c r="I48" s="119"/>
      <c r="J48" s="119"/>
      <c r="K48" s="119"/>
      <c r="L48" s="119"/>
      <c r="M48" s="119"/>
      <c r="N48" s="119"/>
      <c r="O48" s="119"/>
      <c r="P48" s="119"/>
      <c r="Q48" s="119"/>
      <c r="R48" s="119"/>
      <c r="S48" s="213" t="s">
        <v>244</v>
      </c>
      <c r="T48" s="404" t="s">
        <v>766</v>
      </c>
      <c r="U48" s="118">
        <f>П4ВСР!Z43</f>
        <v>2085575.02</v>
      </c>
      <c r="V48" s="118">
        <f>П4ВСР!AA43</f>
        <v>0</v>
      </c>
      <c r="W48" s="118">
        <f>П4ВСР!AB43</f>
        <v>0</v>
      </c>
      <c r="X48" s="121"/>
    </row>
    <row r="49" spans="1:24" ht="18.600000000000001" customHeight="1" x14ac:dyDescent="0.25">
      <c r="A49" s="116" t="s">
        <v>140</v>
      </c>
      <c r="B49" s="223" t="s">
        <v>122</v>
      </c>
      <c r="C49" s="223" t="s">
        <v>128</v>
      </c>
      <c r="D49" s="223"/>
      <c r="E49" s="223"/>
      <c r="F49" s="223"/>
      <c r="G49" s="223"/>
      <c r="H49" s="223"/>
      <c r="I49" s="223"/>
      <c r="J49" s="223"/>
      <c r="K49" s="223"/>
      <c r="L49" s="223"/>
      <c r="M49" s="223"/>
      <c r="N49" s="223"/>
      <c r="O49" s="223"/>
      <c r="P49" s="223"/>
      <c r="Q49" s="223"/>
      <c r="R49" s="223"/>
      <c r="S49" s="223"/>
      <c r="T49" s="396" t="s">
        <v>140</v>
      </c>
      <c r="U49" s="216">
        <f t="shared" ref="U49:W50" si="4">U50</f>
        <v>351931</v>
      </c>
      <c r="V49" s="216">
        <f t="shared" si="4"/>
        <v>351931</v>
      </c>
      <c r="W49" s="216">
        <f t="shared" si="4"/>
        <v>351931</v>
      </c>
      <c r="X49" s="116" t="s">
        <v>140</v>
      </c>
    </row>
    <row r="50" spans="1:24" ht="78.75" customHeight="1" x14ac:dyDescent="0.25">
      <c r="A50" s="116" t="s">
        <v>303</v>
      </c>
      <c r="B50" s="117" t="s">
        <v>122</v>
      </c>
      <c r="C50" s="117" t="s">
        <v>128</v>
      </c>
      <c r="D50" s="183" t="s">
        <v>574</v>
      </c>
      <c r="E50" s="117"/>
      <c r="F50" s="117"/>
      <c r="G50" s="117"/>
      <c r="H50" s="117"/>
      <c r="I50" s="117"/>
      <c r="J50" s="117"/>
      <c r="K50" s="117"/>
      <c r="L50" s="117"/>
      <c r="M50" s="117"/>
      <c r="N50" s="117"/>
      <c r="O50" s="117"/>
      <c r="P50" s="117"/>
      <c r="Q50" s="117"/>
      <c r="R50" s="117"/>
      <c r="S50" s="117"/>
      <c r="T50" s="402" t="s">
        <v>657</v>
      </c>
      <c r="U50" s="118">
        <f t="shared" si="4"/>
        <v>351931</v>
      </c>
      <c r="V50" s="118">
        <f t="shared" si="4"/>
        <v>351931</v>
      </c>
      <c r="W50" s="118">
        <f t="shared" si="4"/>
        <v>351931</v>
      </c>
      <c r="X50" s="116" t="s">
        <v>303</v>
      </c>
    </row>
    <row r="51" spans="1:24" ht="37.5" customHeight="1" x14ac:dyDescent="0.25">
      <c r="A51" s="116" t="s">
        <v>304</v>
      </c>
      <c r="B51" s="119" t="s">
        <v>122</v>
      </c>
      <c r="C51" s="119" t="s">
        <v>128</v>
      </c>
      <c r="D51" s="183" t="s">
        <v>574</v>
      </c>
      <c r="E51" s="119"/>
      <c r="F51" s="119"/>
      <c r="G51" s="119"/>
      <c r="H51" s="119"/>
      <c r="I51" s="119"/>
      <c r="J51" s="119"/>
      <c r="K51" s="119"/>
      <c r="L51" s="119"/>
      <c r="M51" s="119"/>
      <c r="N51" s="119"/>
      <c r="O51" s="119"/>
      <c r="P51" s="119"/>
      <c r="Q51" s="119"/>
      <c r="R51" s="119"/>
      <c r="S51" s="119" t="s">
        <v>244</v>
      </c>
      <c r="T51" s="400" t="s">
        <v>304</v>
      </c>
      <c r="U51" s="118">
        <f>П4ВСР!Z46</f>
        <v>351931</v>
      </c>
      <c r="V51" s="118">
        <f>П4ВСР!AA46</f>
        <v>351931</v>
      </c>
      <c r="W51" s="118">
        <f>П4ВСР!AB46</f>
        <v>351931</v>
      </c>
      <c r="X51" s="116" t="s">
        <v>304</v>
      </c>
    </row>
    <row r="52" spans="1:24" ht="24.75" customHeight="1" x14ac:dyDescent="0.25">
      <c r="A52" s="116" t="s">
        <v>141</v>
      </c>
      <c r="B52" s="223" t="s">
        <v>122</v>
      </c>
      <c r="C52" s="223" t="s">
        <v>130</v>
      </c>
      <c r="D52" s="223"/>
      <c r="E52" s="223"/>
      <c r="F52" s="223"/>
      <c r="G52" s="223"/>
      <c r="H52" s="223"/>
      <c r="I52" s="223"/>
      <c r="J52" s="223"/>
      <c r="K52" s="223"/>
      <c r="L52" s="223"/>
      <c r="M52" s="223"/>
      <c r="N52" s="223"/>
      <c r="O52" s="223"/>
      <c r="P52" s="223"/>
      <c r="Q52" s="223"/>
      <c r="R52" s="223"/>
      <c r="S52" s="223"/>
      <c r="T52" s="396" t="s">
        <v>141</v>
      </c>
      <c r="U52" s="216">
        <f>U53+U59+U63+U66+U74+U79+U72+U81+U68+U77+U70+U57+U55</f>
        <v>30059391.230999999</v>
      </c>
      <c r="V52" s="216">
        <f>V53+V59+V63+V66+V74+V79</f>
        <v>23553267.990000002</v>
      </c>
      <c r="W52" s="216">
        <f>W53+W59+W63+W66+W74+W79</f>
        <v>23553267.990000002</v>
      </c>
      <c r="X52" s="116" t="s">
        <v>141</v>
      </c>
    </row>
    <row r="53" spans="1:24" ht="64.5" customHeight="1" x14ac:dyDescent="0.25">
      <c r="A53" s="116" t="s">
        <v>305</v>
      </c>
      <c r="B53" s="117" t="s">
        <v>122</v>
      </c>
      <c r="C53" s="117" t="s">
        <v>130</v>
      </c>
      <c r="D53" s="183" t="s">
        <v>575</v>
      </c>
      <c r="E53" s="117"/>
      <c r="F53" s="117"/>
      <c r="G53" s="117"/>
      <c r="H53" s="117"/>
      <c r="I53" s="117"/>
      <c r="J53" s="117"/>
      <c r="K53" s="117"/>
      <c r="L53" s="117"/>
      <c r="M53" s="117"/>
      <c r="N53" s="117"/>
      <c r="O53" s="117"/>
      <c r="P53" s="117"/>
      <c r="Q53" s="117"/>
      <c r="R53" s="117"/>
      <c r="S53" s="117"/>
      <c r="T53" s="402" t="s">
        <v>658</v>
      </c>
      <c r="U53" s="118">
        <f>U54</f>
        <v>113428.17</v>
      </c>
      <c r="V53" s="118">
        <f>V54</f>
        <v>100000</v>
      </c>
      <c r="W53" s="118">
        <f>W54</f>
        <v>100000</v>
      </c>
      <c r="X53" s="116" t="s">
        <v>305</v>
      </c>
    </row>
    <row r="54" spans="1:24" ht="52.5" customHeight="1" x14ac:dyDescent="0.25">
      <c r="A54" s="116" t="s">
        <v>306</v>
      </c>
      <c r="B54" s="119" t="s">
        <v>122</v>
      </c>
      <c r="C54" s="119" t="s">
        <v>130</v>
      </c>
      <c r="D54" s="183" t="s">
        <v>575</v>
      </c>
      <c r="E54" s="119"/>
      <c r="F54" s="119"/>
      <c r="G54" s="119"/>
      <c r="H54" s="119"/>
      <c r="I54" s="119"/>
      <c r="J54" s="119"/>
      <c r="K54" s="119"/>
      <c r="L54" s="119"/>
      <c r="M54" s="119"/>
      <c r="N54" s="119"/>
      <c r="O54" s="119"/>
      <c r="P54" s="119"/>
      <c r="Q54" s="119"/>
      <c r="R54" s="119"/>
      <c r="S54" s="119" t="s">
        <v>290</v>
      </c>
      <c r="T54" s="400" t="s">
        <v>306</v>
      </c>
      <c r="U54" s="118">
        <f>П4ВСР!Z51</f>
        <v>113428.17</v>
      </c>
      <c r="V54" s="118">
        <f>П4ВСР!AA51</f>
        <v>100000</v>
      </c>
      <c r="W54" s="118">
        <f>П4ВСР!AB51</f>
        <v>100000</v>
      </c>
      <c r="X54" s="116" t="s">
        <v>306</v>
      </c>
    </row>
    <row r="55" spans="1:24" ht="99.75" customHeight="1" x14ac:dyDescent="0.25">
      <c r="A55" s="116"/>
      <c r="B55" s="119" t="s">
        <v>122</v>
      </c>
      <c r="C55" s="119" t="s">
        <v>130</v>
      </c>
      <c r="D55" s="183" t="s">
        <v>1230</v>
      </c>
      <c r="E55" s="119"/>
      <c r="F55" s="119"/>
      <c r="G55" s="119"/>
      <c r="H55" s="119"/>
      <c r="I55" s="119"/>
      <c r="J55" s="119"/>
      <c r="K55" s="119"/>
      <c r="L55" s="119"/>
      <c r="M55" s="119"/>
      <c r="N55" s="119"/>
      <c r="O55" s="119"/>
      <c r="P55" s="119"/>
      <c r="Q55" s="119"/>
      <c r="R55" s="119"/>
      <c r="S55" s="119"/>
      <c r="T55" s="400" t="s">
        <v>1235</v>
      </c>
      <c r="U55" s="118">
        <f>U56</f>
        <v>1640709.9610000001</v>
      </c>
      <c r="V55" s="118">
        <f t="shared" ref="V55:X55" si="5">V56</f>
        <v>0</v>
      </c>
      <c r="W55" s="118">
        <f t="shared" si="5"/>
        <v>0</v>
      </c>
      <c r="X55" s="118" t="str">
        <f t="shared" si="5"/>
        <v>Расходы на обслуживание муниципального долга перед другими бюджетами бюджетной системы (Обслуживание государственного (муниципального) долга)</v>
      </c>
    </row>
    <row r="56" spans="1:24" ht="19.5" customHeight="1" x14ac:dyDescent="0.25">
      <c r="A56" s="116"/>
      <c r="B56" s="119" t="s">
        <v>122</v>
      </c>
      <c r="C56" s="119" t="s">
        <v>130</v>
      </c>
      <c r="D56" s="183" t="s">
        <v>1230</v>
      </c>
      <c r="E56" s="119"/>
      <c r="F56" s="119"/>
      <c r="G56" s="119"/>
      <c r="H56" s="119"/>
      <c r="I56" s="119"/>
      <c r="J56" s="119"/>
      <c r="K56" s="119"/>
      <c r="L56" s="119"/>
      <c r="M56" s="119"/>
      <c r="N56" s="119"/>
      <c r="O56" s="119"/>
      <c r="P56" s="119"/>
      <c r="Q56" s="119"/>
      <c r="R56" s="119"/>
      <c r="S56" s="119" t="s">
        <v>443</v>
      </c>
      <c r="T56" s="400" t="s">
        <v>1232</v>
      </c>
      <c r="U56" s="118">
        <f>П4ВСР!Z281</f>
        <v>1640709.9610000001</v>
      </c>
      <c r="V56" s="118">
        <f>П4ВСР!AA281</f>
        <v>0</v>
      </c>
      <c r="W56" s="118">
        <f>П4ВСР!AB281</f>
        <v>0</v>
      </c>
      <c r="X56" s="118" t="str">
        <f>П4ВСР!AC281</f>
        <v>Расходы на обслуживание муниципального долга перед другими бюджетами бюджетной системы (Обслуживание государственного (муниципального) долга)</v>
      </c>
    </row>
    <row r="57" spans="1:24" ht="52.5" customHeight="1" x14ac:dyDescent="0.25">
      <c r="A57" s="116"/>
      <c r="B57" s="119" t="s">
        <v>122</v>
      </c>
      <c r="C57" s="119" t="s">
        <v>130</v>
      </c>
      <c r="D57" s="276" t="s">
        <v>1229</v>
      </c>
      <c r="E57" s="119"/>
      <c r="F57" s="119"/>
      <c r="G57" s="119"/>
      <c r="H57" s="119"/>
      <c r="I57" s="119"/>
      <c r="J57" s="119"/>
      <c r="K57" s="119"/>
      <c r="L57" s="119"/>
      <c r="M57" s="119"/>
      <c r="N57" s="119"/>
      <c r="O57" s="119"/>
      <c r="P57" s="119"/>
      <c r="Q57" s="119"/>
      <c r="R57" s="119"/>
      <c r="S57" s="119"/>
      <c r="T57" s="400" t="s">
        <v>1228</v>
      </c>
      <c r="U57" s="118">
        <f>U58</f>
        <v>80000</v>
      </c>
      <c r="V57" s="118">
        <f t="shared" ref="V57:W57" si="6">V58</f>
        <v>0</v>
      </c>
      <c r="W57" s="118">
        <f t="shared" si="6"/>
        <v>0</v>
      </c>
      <c r="X57" s="116"/>
    </row>
    <row r="58" spans="1:24" ht="35.25" customHeight="1" x14ac:dyDescent="0.25">
      <c r="A58" s="116"/>
      <c r="B58" s="119" t="s">
        <v>122</v>
      </c>
      <c r="C58" s="119" t="s">
        <v>130</v>
      </c>
      <c r="D58" s="276" t="s">
        <v>1229</v>
      </c>
      <c r="E58" s="119"/>
      <c r="F58" s="119"/>
      <c r="G58" s="119"/>
      <c r="H58" s="119"/>
      <c r="I58" s="119"/>
      <c r="J58" s="119"/>
      <c r="K58" s="119"/>
      <c r="L58" s="119"/>
      <c r="M58" s="119"/>
      <c r="N58" s="119"/>
      <c r="O58" s="119"/>
      <c r="P58" s="119"/>
      <c r="Q58" s="119"/>
      <c r="R58" s="119"/>
      <c r="S58" s="119" t="s">
        <v>290</v>
      </c>
      <c r="T58" s="400" t="s">
        <v>611</v>
      </c>
      <c r="U58" s="118">
        <v>80000</v>
      </c>
      <c r="V58" s="118">
        <v>0</v>
      </c>
      <c r="W58" s="118">
        <v>0</v>
      </c>
      <c r="X58" s="116"/>
    </row>
    <row r="59" spans="1:24" ht="101.25" customHeight="1" x14ac:dyDescent="0.25">
      <c r="A59" s="116" t="s">
        <v>495</v>
      </c>
      <c r="B59" s="208" t="s">
        <v>122</v>
      </c>
      <c r="C59" s="208" t="s">
        <v>130</v>
      </c>
      <c r="D59" s="208" t="s">
        <v>745</v>
      </c>
      <c r="E59" s="208"/>
      <c r="F59" s="208"/>
      <c r="G59" s="208"/>
      <c r="H59" s="208"/>
      <c r="I59" s="208"/>
      <c r="J59" s="208"/>
      <c r="K59" s="208"/>
      <c r="L59" s="208"/>
      <c r="M59" s="208"/>
      <c r="N59" s="208"/>
      <c r="O59" s="208"/>
      <c r="P59" s="208"/>
      <c r="Q59" s="208"/>
      <c r="R59" s="208"/>
      <c r="S59" s="208"/>
      <c r="T59" s="402" t="s">
        <v>744</v>
      </c>
      <c r="U59" s="118">
        <f>U60+U61+U62</f>
        <v>5605375.2800000003</v>
      </c>
      <c r="V59" s="118">
        <f>V60+V61+V62</f>
        <v>5332603.96</v>
      </c>
      <c r="W59" s="118">
        <f>W60+W61+W62</f>
        <v>5332603.96</v>
      </c>
      <c r="X59" s="116" t="s">
        <v>495</v>
      </c>
    </row>
    <row r="60" spans="1:24" ht="81.75" customHeight="1" x14ac:dyDescent="0.25">
      <c r="A60" s="121" t="s">
        <v>496</v>
      </c>
      <c r="B60" s="185" t="s">
        <v>122</v>
      </c>
      <c r="C60" s="185" t="s">
        <v>130</v>
      </c>
      <c r="D60" s="208" t="s">
        <v>745</v>
      </c>
      <c r="E60" s="185"/>
      <c r="F60" s="185"/>
      <c r="G60" s="185"/>
      <c r="H60" s="185"/>
      <c r="I60" s="185"/>
      <c r="J60" s="185"/>
      <c r="K60" s="185"/>
      <c r="L60" s="185"/>
      <c r="M60" s="185"/>
      <c r="N60" s="185"/>
      <c r="O60" s="185"/>
      <c r="P60" s="185"/>
      <c r="Q60" s="185"/>
      <c r="R60" s="185"/>
      <c r="S60" s="185" t="s">
        <v>38</v>
      </c>
      <c r="T60" s="403" t="s">
        <v>496</v>
      </c>
      <c r="U60" s="118">
        <f>П4ВСР!Z451</f>
        <v>5367120.28</v>
      </c>
      <c r="V60" s="118">
        <f>П4ВСР!AA451</f>
        <v>5094348.96</v>
      </c>
      <c r="W60" s="118">
        <f>П4ВСР!AB451</f>
        <v>5094348.96</v>
      </c>
      <c r="X60" s="121" t="s">
        <v>496</v>
      </c>
    </row>
    <row r="61" spans="1:24" ht="46.5" customHeight="1" x14ac:dyDescent="0.25">
      <c r="A61" s="116" t="s">
        <v>497</v>
      </c>
      <c r="B61" s="185" t="s">
        <v>122</v>
      </c>
      <c r="C61" s="185" t="s">
        <v>130</v>
      </c>
      <c r="D61" s="208" t="s">
        <v>745</v>
      </c>
      <c r="E61" s="185"/>
      <c r="F61" s="185"/>
      <c r="G61" s="185"/>
      <c r="H61" s="185"/>
      <c r="I61" s="185"/>
      <c r="J61" s="185"/>
      <c r="K61" s="185"/>
      <c r="L61" s="185"/>
      <c r="M61" s="185"/>
      <c r="N61" s="185"/>
      <c r="O61" s="185"/>
      <c r="P61" s="185"/>
      <c r="Q61" s="185"/>
      <c r="R61" s="185"/>
      <c r="S61" s="185" t="s">
        <v>290</v>
      </c>
      <c r="T61" s="400" t="s">
        <v>497</v>
      </c>
      <c r="U61" s="118">
        <f>П4ВСР!Z452</f>
        <v>234874</v>
      </c>
      <c r="V61" s="118">
        <f>П4ВСР!AA452</f>
        <v>234874</v>
      </c>
      <c r="W61" s="118">
        <f>П4ВСР!AB452</f>
        <v>234874</v>
      </c>
      <c r="X61" s="116" t="s">
        <v>497</v>
      </c>
    </row>
    <row r="62" spans="1:24" ht="48.75" customHeight="1" x14ac:dyDescent="0.25">
      <c r="A62" s="116" t="s">
        <v>498</v>
      </c>
      <c r="B62" s="185" t="s">
        <v>122</v>
      </c>
      <c r="C62" s="185" t="s">
        <v>130</v>
      </c>
      <c r="D62" s="208" t="s">
        <v>745</v>
      </c>
      <c r="E62" s="185"/>
      <c r="F62" s="185"/>
      <c r="G62" s="185"/>
      <c r="H62" s="185"/>
      <c r="I62" s="185"/>
      <c r="J62" s="185"/>
      <c r="K62" s="185"/>
      <c r="L62" s="185"/>
      <c r="M62" s="185"/>
      <c r="N62" s="185"/>
      <c r="O62" s="185"/>
      <c r="P62" s="185"/>
      <c r="Q62" s="185"/>
      <c r="R62" s="185"/>
      <c r="S62" s="185" t="s">
        <v>244</v>
      </c>
      <c r="T62" s="400" t="s">
        <v>498</v>
      </c>
      <c r="U62" s="118">
        <f>П4ВСР!Z453</f>
        <v>3381</v>
      </c>
      <c r="V62" s="118">
        <f>П4ВСР!AA453</f>
        <v>3381</v>
      </c>
      <c r="W62" s="118">
        <f>П4ВСР!AB453</f>
        <v>3381</v>
      </c>
      <c r="X62" s="116" t="s">
        <v>498</v>
      </c>
    </row>
    <row r="63" spans="1:24" ht="102" customHeight="1" x14ac:dyDescent="0.25">
      <c r="A63" s="116" t="s">
        <v>499</v>
      </c>
      <c r="B63" s="208" t="s">
        <v>122</v>
      </c>
      <c r="C63" s="208" t="s">
        <v>130</v>
      </c>
      <c r="D63" s="208" t="s">
        <v>747</v>
      </c>
      <c r="E63" s="208"/>
      <c r="F63" s="208"/>
      <c r="G63" s="208"/>
      <c r="H63" s="208"/>
      <c r="I63" s="208"/>
      <c r="J63" s="208"/>
      <c r="K63" s="208"/>
      <c r="L63" s="208"/>
      <c r="M63" s="208"/>
      <c r="N63" s="208"/>
      <c r="O63" s="208"/>
      <c r="P63" s="208"/>
      <c r="Q63" s="208"/>
      <c r="R63" s="208"/>
      <c r="S63" s="208"/>
      <c r="T63" s="402" t="s">
        <v>746</v>
      </c>
      <c r="U63" s="118">
        <f>U64+U65</f>
        <v>3741062.55</v>
      </c>
      <c r="V63" s="118">
        <f>V64+V65</f>
        <v>3541989.53</v>
      </c>
      <c r="W63" s="118">
        <f>W64+W65</f>
        <v>3541989.53</v>
      </c>
      <c r="X63" s="116" t="s">
        <v>499</v>
      </c>
    </row>
    <row r="64" spans="1:24" ht="69" customHeight="1" x14ac:dyDescent="0.25">
      <c r="A64" s="116" t="s">
        <v>500</v>
      </c>
      <c r="B64" s="185" t="s">
        <v>122</v>
      </c>
      <c r="C64" s="185" t="s">
        <v>130</v>
      </c>
      <c r="D64" s="208" t="s">
        <v>747</v>
      </c>
      <c r="E64" s="185"/>
      <c r="F64" s="185"/>
      <c r="G64" s="185"/>
      <c r="H64" s="185"/>
      <c r="I64" s="185"/>
      <c r="J64" s="185"/>
      <c r="K64" s="185"/>
      <c r="L64" s="185"/>
      <c r="M64" s="185"/>
      <c r="N64" s="185"/>
      <c r="O64" s="185"/>
      <c r="P64" s="185"/>
      <c r="Q64" s="185"/>
      <c r="R64" s="185"/>
      <c r="S64" s="185" t="s">
        <v>290</v>
      </c>
      <c r="T64" s="400" t="s">
        <v>748</v>
      </c>
      <c r="U64" s="118">
        <f>П4ВСР!Z455</f>
        <v>3427272.09</v>
      </c>
      <c r="V64" s="118">
        <f>П4ВСР!AA455</f>
        <v>3493863.53</v>
      </c>
      <c r="W64" s="118">
        <f>П4ВСР!AB455</f>
        <v>3493863.53</v>
      </c>
      <c r="X64" s="116" t="s">
        <v>500</v>
      </c>
    </row>
    <row r="65" spans="1:24" ht="49.5" customHeight="1" x14ac:dyDescent="0.25">
      <c r="A65" s="116"/>
      <c r="B65" s="185" t="s">
        <v>122</v>
      </c>
      <c r="C65" s="185" t="s">
        <v>130</v>
      </c>
      <c r="D65" s="208" t="s">
        <v>747</v>
      </c>
      <c r="E65" s="185"/>
      <c r="F65" s="185"/>
      <c r="G65" s="185"/>
      <c r="H65" s="185"/>
      <c r="I65" s="185"/>
      <c r="J65" s="185"/>
      <c r="K65" s="185"/>
      <c r="L65" s="185"/>
      <c r="M65" s="185"/>
      <c r="N65" s="185"/>
      <c r="O65" s="185"/>
      <c r="P65" s="185"/>
      <c r="Q65" s="185"/>
      <c r="R65" s="185"/>
      <c r="S65" s="185" t="s">
        <v>244</v>
      </c>
      <c r="T65" s="400" t="s">
        <v>498</v>
      </c>
      <c r="U65" s="118">
        <f>П4ВСР!Z456</f>
        <v>313790.46000000002</v>
      </c>
      <c r="V65" s="118">
        <f>П4ВСР!AA456</f>
        <v>48126</v>
      </c>
      <c r="W65" s="118">
        <f>П4ВСР!AB456</f>
        <v>48126</v>
      </c>
      <c r="X65" s="116"/>
    </row>
    <row r="66" spans="1:24" ht="94.5" customHeight="1" x14ac:dyDescent="0.25">
      <c r="A66" s="116" t="s">
        <v>307</v>
      </c>
      <c r="B66" s="117" t="s">
        <v>122</v>
      </c>
      <c r="C66" s="117" t="s">
        <v>130</v>
      </c>
      <c r="D66" s="183" t="s">
        <v>576</v>
      </c>
      <c r="E66" s="117"/>
      <c r="F66" s="117"/>
      <c r="G66" s="117"/>
      <c r="H66" s="117"/>
      <c r="I66" s="117"/>
      <c r="J66" s="117"/>
      <c r="K66" s="117"/>
      <c r="L66" s="117"/>
      <c r="M66" s="117"/>
      <c r="N66" s="117"/>
      <c r="O66" s="117"/>
      <c r="P66" s="117"/>
      <c r="Q66" s="117"/>
      <c r="R66" s="117"/>
      <c r="S66" s="117"/>
      <c r="T66" s="402" t="s">
        <v>659</v>
      </c>
      <c r="U66" s="118">
        <f>U67</f>
        <v>16334274.5</v>
      </c>
      <c r="V66" s="118">
        <f>V67</f>
        <v>13994274.5</v>
      </c>
      <c r="W66" s="118">
        <f>W67</f>
        <v>13994274.5</v>
      </c>
      <c r="X66" s="116" t="s">
        <v>307</v>
      </c>
    </row>
    <row r="67" spans="1:24" ht="75.75" customHeight="1" x14ac:dyDescent="0.25">
      <c r="A67" s="121" t="s">
        <v>308</v>
      </c>
      <c r="B67" s="119" t="s">
        <v>122</v>
      </c>
      <c r="C67" s="119" t="s">
        <v>130</v>
      </c>
      <c r="D67" s="276" t="s">
        <v>576</v>
      </c>
      <c r="E67" s="119"/>
      <c r="F67" s="119"/>
      <c r="G67" s="119"/>
      <c r="H67" s="119"/>
      <c r="I67" s="119"/>
      <c r="J67" s="119"/>
      <c r="K67" s="119"/>
      <c r="L67" s="119"/>
      <c r="M67" s="119"/>
      <c r="N67" s="119"/>
      <c r="O67" s="119"/>
      <c r="P67" s="119"/>
      <c r="Q67" s="119"/>
      <c r="R67" s="119"/>
      <c r="S67" s="119" t="s">
        <v>309</v>
      </c>
      <c r="T67" s="403" t="s">
        <v>308</v>
      </c>
      <c r="U67" s="118">
        <f>П4ВСР!Z53</f>
        <v>16334274.5</v>
      </c>
      <c r="V67" s="118">
        <f>П4ВСР!AA53</f>
        <v>13994274.5</v>
      </c>
      <c r="W67" s="118">
        <f>П4ВСР!AB53</f>
        <v>13994274.5</v>
      </c>
      <c r="X67" s="121" t="s">
        <v>308</v>
      </c>
    </row>
    <row r="68" spans="1:24" ht="100.5" customHeight="1" x14ac:dyDescent="0.25">
      <c r="A68" s="121"/>
      <c r="B68" s="119" t="s">
        <v>122</v>
      </c>
      <c r="C68" s="119" t="s">
        <v>130</v>
      </c>
      <c r="D68" s="276" t="s">
        <v>914</v>
      </c>
      <c r="E68" s="119"/>
      <c r="F68" s="119"/>
      <c r="G68" s="119"/>
      <c r="H68" s="119"/>
      <c r="I68" s="119"/>
      <c r="J68" s="119"/>
      <c r="K68" s="119"/>
      <c r="L68" s="119"/>
      <c r="M68" s="119"/>
      <c r="N68" s="119"/>
      <c r="O68" s="119"/>
      <c r="P68" s="119"/>
      <c r="Q68" s="119"/>
      <c r="R68" s="119"/>
      <c r="S68" s="119"/>
      <c r="T68" s="281" t="s">
        <v>913</v>
      </c>
      <c r="U68" s="118">
        <f>U69</f>
        <v>134197.98000000001</v>
      </c>
      <c r="V68" s="118">
        <f>V69</f>
        <v>0</v>
      </c>
      <c r="W68" s="118">
        <f>W69</f>
        <v>0</v>
      </c>
      <c r="X68" s="121"/>
    </row>
    <row r="69" spans="1:24" ht="62.25" customHeight="1" x14ac:dyDescent="0.25">
      <c r="A69" s="121"/>
      <c r="B69" s="119" t="s">
        <v>122</v>
      </c>
      <c r="C69" s="119" t="s">
        <v>130</v>
      </c>
      <c r="D69" s="276" t="s">
        <v>914</v>
      </c>
      <c r="E69" s="119"/>
      <c r="F69" s="119"/>
      <c r="G69" s="119"/>
      <c r="H69" s="119"/>
      <c r="I69" s="119"/>
      <c r="J69" s="119"/>
      <c r="K69" s="119"/>
      <c r="L69" s="119"/>
      <c r="M69" s="119"/>
      <c r="N69" s="119"/>
      <c r="O69" s="119"/>
      <c r="P69" s="119"/>
      <c r="Q69" s="119"/>
      <c r="R69" s="119"/>
      <c r="S69" s="119" t="s">
        <v>244</v>
      </c>
      <c r="T69" s="400" t="s">
        <v>915</v>
      </c>
      <c r="U69" s="118">
        <f>П4ВСР!Z458</f>
        <v>134197.98000000001</v>
      </c>
      <c r="V69" s="118">
        <v>0</v>
      </c>
      <c r="W69" s="118">
        <v>0</v>
      </c>
      <c r="X69" s="121"/>
    </row>
    <row r="70" spans="1:24" ht="76.5" customHeight="1" x14ac:dyDescent="0.25">
      <c r="A70" s="121"/>
      <c r="B70" s="119" t="s">
        <v>122</v>
      </c>
      <c r="C70" s="119" t="s">
        <v>130</v>
      </c>
      <c r="D70" s="276" t="s">
        <v>967</v>
      </c>
      <c r="E70" s="119"/>
      <c r="F70" s="119"/>
      <c r="G70" s="119"/>
      <c r="H70" s="119"/>
      <c r="I70" s="119"/>
      <c r="J70" s="119"/>
      <c r="K70" s="119"/>
      <c r="L70" s="119"/>
      <c r="M70" s="119"/>
      <c r="N70" s="119"/>
      <c r="O70" s="119"/>
      <c r="P70" s="119"/>
      <c r="Q70" s="119"/>
      <c r="R70" s="119"/>
      <c r="S70" s="119"/>
      <c r="T70" s="327" t="s">
        <v>965</v>
      </c>
      <c r="U70" s="118">
        <f>U71</f>
        <v>33653.61</v>
      </c>
      <c r="V70" s="118">
        <v>0</v>
      </c>
      <c r="W70" s="118">
        <v>0</v>
      </c>
      <c r="X70" s="121"/>
    </row>
    <row r="71" spans="1:24" ht="54" customHeight="1" x14ac:dyDescent="0.25">
      <c r="A71" s="121"/>
      <c r="B71" s="119" t="s">
        <v>122</v>
      </c>
      <c r="C71" s="119" t="s">
        <v>130</v>
      </c>
      <c r="D71" s="276" t="s">
        <v>967</v>
      </c>
      <c r="E71" s="119"/>
      <c r="F71" s="119"/>
      <c r="G71" s="119"/>
      <c r="H71" s="119"/>
      <c r="I71" s="119"/>
      <c r="J71" s="119"/>
      <c r="K71" s="119"/>
      <c r="L71" s="119"/>
      <c r="M71" s="119"/>
      <c r="N71" s="119"/>
      <c r="O71" s="119"/>
      <c r="P71" s="119"/>
      <c r="Q71" s="119"/>
      <c r="R71" s="119"/>
      <c r="S71" s="119" t="s">
        <v>244</v>
      </c>
      <c r="T71" s="403" t="s">
        <v>966</v>
      </c>
      <c r="U71" s="118">
        <f>П4ВСР!Z55</f>
        <v>33653.61</v>
      </c>
      <c r="V71" s="118">
        <v>0</v>
      </c>
      <c r="W71" s="118">
        <v>0</v>
      </c>
      <c r="X71" s="121"/>
    </row>
    <row r="72" spans="1:24" ht="65.25" customHeight="1" x14ac:dyDescent="0.25">
      <c r="A72" s="121"/>
      <c r="B72" s="213" t="s">
        <v>122</v>
      </c>
      <c r="C72" s="213" t="s">
        <v>130</v>
      </c>
      <c r="D72" s="276" t="s">
        <v>899</v>
      </c>
      <c r="E72" s="119"/>
      <c r="F72" s="119"/>
      <c r="G72" s="119"/>
      <c r="H72" s="119"/>
      <c r="I72" s="119"/>
      <c r="J72" s="119"/>
      <c r="K72" s="119"/>
      <c r="L72" s="119"/>
      <c r="M72" s="119"/>
      <c r="N72" s="119"/>
      <c r="O72" s="119"/>
      <c r="P72" s="119"/>
      <c r="Q72" s="119"/>
      <c r="R72" s="119"/>
      <c r="S72" s="119"/>
      <c r="T72" s="405" t="s">
        <v>901</v>
      </c>
      <c r="U72" s="118">
        <f>U73</f>
        <v>345000</v>
      </c>
      <c r="V72" s="118">
        <f>V73</f>
        <v>0</v>
      </c>
      <c r="W72" s="118">
        <f>W73</f>
        <v>0</v>
      </c>
      <c r="X72" s="121"/>
    </row>
    <row r="73" spans="1:24" ht="39" customHeight="1" x14ac:dyDescent="0.25">
      <c r="A73" s="121"/>
      <c r="B73" s="213" t="s">
        <v>122</v>
      </c>
      <c r="C73" s="213" t="s">
        <v>130</v>
      </c>
      <c r="D73" s="276" t="s">
        <v>899</v>
      </c>
      <c r="E73" s="119"/>
      <c r="F73" s="119"/>
      <c r="G73" s="119"/>
      <c r="H73" s="119"/>
      <c r="I73" s="119"/>
      <c r="J73" s="119"/>
      <c r="K73" s="119"/>
      <c r="L73" s="119"/>
      <c r="M73" s="119"/>
      <c r="N73" s="119"/>
      <c r="O73" s="119"/>
      <c r="P73" s="119"/>
      <c r="Q73" s="119"/>
      <c r="R73" s="119"/>
      <c r="S73" s="213" t="s">
        <v>309</v>
      </c>
      <c r="T73" s="403" t="s">
        <v>902</v>
      </c>
      <c r="U73" s="118">
        <f>П4ВСР!Z57</f>
        <v>345000</v>
      </c>
      <c r="V73" s="118">
        <v>0</v>
      </c>
      <c r="W73" s="118">
        <v>0</v>
      </c>
      <c r="X73" s="121"/>
    </row>
    <row r="74" spans="1:24" ht="117" customHeight="1" x14ac:dyDescent="0.25">
      <c r="A74" s="121" t="s">
        <v>232</v>
      </c>
      <c r="B74" s="183" t="s">
        <v>122</v>
      </c>
      <c r="C74" s="183" t="s">
        <v>130</v>
      </c>
      <c r="D74" s="183" t="s">
        <v>649</v>
      </c>
      <c r="E74" s="183"/>
      <c r="F74" s="183"/>
      <c r="G74" s="183"/>
      <c r="H74" s="183"/>
      <c r="I74" s="183"/>
      <c r="J74" s="183"/>
      <c r="K74" s="183"/>
      <c r="L74" s="183"/>
      <c r="M74" s="183"/>
      <c r="N74" s="183"/>
      <c r="O74" s="183"/>
      <c r="P74" s="183"/>
      <c r="Q74" s="183"/>
      <c r="R74" s="183"/>
      <c r="S74" s="183"/>
      <c r="T74" s="405" t="s">
        <v>846</v>
      </c>
      <c r="U74" s="118">
        <f>U75+U76</f>
        <v>584381.05000000005</v>
      </c>
      <c r="V74" s="118">
        <f>V75+V76</f>
        <v>584400</v>
      </c>
      <c r="W74" s="118">
        <f>W75+W76</f>
        <v>584400</v>
      </c>
      <c r="X74" s="121" t="s">
        <v>232</v>
      </c>
    </row>
    <row r="75" spans="1:24" ht="57.75" customHeight="1" x14ac:dyDescent="0.25">
      <c r="A75" s="121" t="s">
        <v>310</v>
      </c>
      <c r="B75" s="188" t="s">
        <v>122</v>
      </c>
      <c r="C75" s="188" t="s">
        <v>130</v>
      </c>
      <c r="D75" s="183" t="s">
        <v>649</v>
      </c>
      <c r="E75" s="188"/>
      <c r="F75" s="188"/>
      <c r="G75" s="188"/>
      <c r="H75" s="188"/>
      <c r="I75" s="188"/>
      <c r="J75" s="188"/>
      <c r="K75" s="188"/>
      <c r="L75" s="188"/>
      <c r="M75" s="188"/>
      <c r="N75" s="188"/>
      <c r="O75" s="188"/>
      <c r="P75" s="188"/>
      <c r="Q75" s="188"/>
      <c r="R75" s="188"/>
      <c r="S75" s="188" t="s">
        <v>38</v>
      </c>
      <c r="T75" s="403" t="s">
        <v>850</v>
      </c>
      <c r="U75" s="118">
        <f>П4ВСР!Z59</f>
        <v>531681.05000000005</v>
      </c>
      <c r="V75" s="118">
        <f>П4ВСР!AA59</f>
        <v>538300</v>
      </c>
      <c r="W75" s="118">
        <f>П4ВСР!AB59</f>
        <v>538300</v>
      </c>
      <c r="X75" s="121" t="s">
        <v>310</v>
      </c>
    </row>
    <row r="76" spans="1:24" ht="36.75" customHeight="1" x14ac:dyDescent="0.25">
      <c r="A76" s="121" t="s">
        <v>311</v>
      </c>
      <c r="B76" s="188" t="s">
        <v>122</v>
      </c>
      <c r="C76" s="188" t="s">
        <v>130</v>
      </c>
      <c r="D76" s="183" t="s">
        <v>649</v>
      </c>
      <c r="E76" s="188"/>
      <c r="F76" s="188"/>
      <c r="G76" s="188"/>
      <c r="H76" s="188"/>
      <c r="I76" s="188"/>
      <c r="J76" s="188"/>
      <c r="K76" s="188"/>
      <c r="L76" s="188"/>
      <c r="M76" s="188"/>
      <c r="N76" s="188"/>
      <c r="O76" s="188"/>
      <c r="P76" s="188"/>
      <c r="Q76" s="188"/>
      <c r="R76" s="188"/>
      <c r="S76" s="188" t="s">
        <v>290</v>
      </c>
      <c r="T76" s="403" t="s">
        <v>611</v>
      </c>
      <c r="U76" s="118">
        <f>П4ВСР!Z60</f>
        <v>52700</v>
      </c>
      <c r="V76" s="118">
        <f>П4ВСР!AA60</f>
        <v>46100</v>
      </c>
      <c r="W76" s="118">
        <f>П4ВСР!AB60</f>
        <v>46100</v>
      </c>
      <c r="X76" s="121" t="s">
        <v>311</v>
      </c>
    </row>
    <row r="77" spans="1:24" ht="52.5" customHeight="1" x14ac:dyDescent="0.25">
      <c r="A77" s="121"/>
      <c r="B77" s="188" t="s">
        <v>122</v>
      </c>
      <c r="C77" s="188" t="s">
        <v>130</v>
      </c>
      <c r="D77" s="276" t="s">
        <v>925</v>
      </c>
      <c r="E77" s="188"/>
      <c r="F77" s="188"/>
      <c r="G77" s="188"/>
      <c r="H77" s="188"/>
      <c r="I77" s="188"/>
      <c r="J77" s="188"/>
      <c r="K77" s="188"/>
      <c r="L77" s="188"/>
      <c r="M77" s="188"/>
      <c r="N77" s="188"/>
      <c r="O77" s="188"/>
      <c r="P77" s="188"/>
      <c r="Q77" s="188"/>
      <c r="R77" s="188"/>
      <c r="S77" s="188"/>
      <c r="T77" s="405" t="s">
        <v>923</v>
      </c>
      <c r="U77" s="118">
        <f>U78</f>
        <v>147308.13</v>
      </c>
      <c r="V77" s="118">
        <v>0</v>
      </c>
      <c r="W77" s="118">
        <v>0</v>
      </c>
      <c r="X77" s="121"/>
    </row>
    <row r="78" spans="1:24" ht="33.75" customHeight="1" x14ac:dyDescent="0.25">
      <c r="A78" s="121"/>
      <c r="B78" s="188" t="s">
        <v>122</v>
      </c>
      <c r="C78" s="188" t="s">
        <v>130</v>
      </c>
      <c r="D78" s="276" t="s">
        <v>925</v>
      </c>
      <c r="E78" s="188"/>
      <c r="F78" s="188"/>
      <c r="G78" s="188"/>
      <c r="H78" s="188"/>
      <c r="I78" s="188"/>
      <c r="J78" s="188"/>
      <c r="K78" s="188"/>
      <c r="L78" s="188"/>
      <c r="M78" s="188"/>
      <c r="N78" s="188"/>
      <c r="O78" s="188"/>
      <c r="P78" s="188"/>
      <c r="Q78" s="188"/>
      <c r="R78" s="188"/>
      <c r="S78" s="188" t="s">
        <v>290</v>
      </c>
      <c r="T78" s="403" t="s">
        <v>924</v>
      </c>
      <c r="U78" s="118">
        <f>П4ВСР!Z62</f>
        <v>147308.13</v>
      </c>
      <c r="V78" s="118">
        <v>0</v>
      </c>
      <c r="W78" s="118">
        <v>0</v>
      </c>
      <c r="X78" s="121"/>
    </row>
    <row r="79" spans="1:24" ht="39.75" customHeight="1" x14ac:dyDescent="0.25">
      <c r="A79" s="121"/>
      <c r="B79" s="188" t="s">
        <v>122</v>
      </c>
      <c r="C79" s="188" t="s">
        <v>130</v>
      </c>
      <c r="D79" s="183" t="s">
        <v>763</v>
      </c>
      <c r="E79" s="188"/>
      <c r="F79" s="188"/>
      <c r="G79" s="188"/>
      <c r="H79" s="188"/>
      <c r="I79" s="188"/>
      <c r="J79" s="188"/>
      <c r="K79" s="188"/>
      <c r="L79" s="188"/>
      <c r="M79" s="188"/>
      <c r="N79" s="188"/>
      <c r="O79" s="188"/>
      <c r="P79" s="188"/>
      <c r="Q79" s="188"/>
      <c r="R79" s="188"/>
      <c r="S79" s="188"/>
      <c r="T79" s="406" t="s">
        <v>762</v>
      </c>
      <c r="U79" s="118">
        <f>U80</f>
        <v>1300000</v>
      </c>
      <c r="V79" s="118">
        <f>V80</f>
        <v>0</v>
      </c>
      <c r="W79" s="118">
        <f>W80</f>
        <v>0</v>
      </c>
      <c r="X79" s="121"/>
    </row>
    <row r="80" spans="1:24" ht="37.5" x14ac:dyDescent="0.25">
      <c r="A80" s="121"/>
      <c r="B80" s="188" t="s">
        <v>122</v>
      </c>
      <c r="C80" s="188" t="s">
        <v>130</v>
      </c>
      <c r="D80" s="183" t="s">
        <v>763</v>
      </c>
      <c r="E80" s="188"/>
      <c r="F80" s="188"/>
      <c r="G80" s="188"/>
      <c r="H80" s="188"/>
      <c r="I80" s="188"/>
      <c r="J80" s="188"/>
      <c r="K80" s="188"/>
      <c r="L80" s="188"/>
      <c r="M80" s="188"/>
      <c r="N80" s="188"/>
      <c r="O80" s="188"/>
      <c r="P80" s="188"/>
      <c r="Q80" s="188"/>
      <c r="R80" s="188"/>
      <c r="S80" s="188" t="s">
        <v>366</v>
      </c>
      <c r="T80" s="406" t="s">
        <v>764</v>
      </c>
      <c r="U80" s="118">
        <f>П4ВСР!Z64</f>
        <v>1300000</v>
      </c>
      <c r="V80" s="118">
        <f>П4ВСР!AA64</f>
        <v>0</v>
      </c>
      <c r="W80" s="118">
        <f>П4ВСР!AB64</f>
        <v>0</v>
      </c>
      <c r="X80" s="121"/>
    </row>
    <row r="81" spans="1:24" ht="18.75" hidden="1" x14ac:dyDescent="0.25">
      <c r="A81" s="121"/>
      <c r="B81" s="188" t="s">
        <v>122</v>
      </c>
      <c r="C81" s="188" t="s">
        <v>130</v>
      </c>
      <c r="D81" s="276" t="s">
        <v>1233</v>
      </c>
      <c r="E81" s="188"/>
      <c r="F81" s="188"/>
      <c r="G81" s="188"/>
      <c r="H81" s="188"/>
      <c r="I81" s="188"/>
      <c r="J81" s="188"/>
      <c r="K81" s="188"/>
      <c r="L81" s="188"/>
      <c r="M81" s="188"/>
      <c r="N81" s="188"/>
      <c r="O81" s="188"/>
      <c r="P81" s="188"/>
      <c r="Q81" s="188"/>
      <c r="R81" s="188"/>
      <c r="S81" s="188"/>
      <c r="T81" s="407" t="s">
        <v>141</v>
      </c>
      <c r="U81" s="118">
        <v>0</v>
      </c>
      <c r="V81" s="118">
        <v>0</v>
      </c>
      <c r="W81" s="118">
        <v>0</v>
      </c>
      <c r="X81" s="121"/>
    </row>
    <row r="82" spans="1:24" ht="97.5" hidden="1" customHeight="1" x14ac:dyDescent="0.25">
      <c r="A82" s="121"/>
      <c r="B82" s="188" t="s">
        <v>122</v>
      </c>
      <c r="C82" s="188" t="s">
        <v>130</v>
      </c>
      <c r="D82" s="276" t="s">
        <v>1233</v>
      </c>
      <c r="E82" s="188"/>
      <c r="F82" s="188"/>
      <c r="G82" s="188"/>
      <c r="H82" s="188"/>
      <c r="I82" s="188"/>
      <c r="J82" s="188"/>
      <c r="K82" s="188"/>
      <c r="L82" s="188"/>
      <c r="M82" s="188"/>
      <c r="N82" s="188"/>
      <c r="O82" s="188"/>
      <c r="P82" s="188"/>
      <c r="Q82" s="188"/>
      <c r="R82" s="188"/>
      <c r="S82" s="188" t="s">
        <v>244</v>
      </c>
      <c r="T82" s="403" t="s">
        <v>1231</v>
      </c>
      <c r="U82" s="118">
        <v>0</v>
      </c>
      <c r="V82" s="118">
        <v>0</v>
      </c>
      <c r="W82" s="118">
        <v>0</v>
      </c>
      <c r="X82" s="121"/>
    </row>
    <row r="83" spans="1:24" ht="36.75" customHeight="1" x14ac:dyDescent="0.25">
      <c r="A83" s="114" t="s">
        <v>312</v>
      </c>
      <c r="B83" s="123" t="s">
        <v>123</v>
      </c>
      <c r="C83" s="123" t="s">
        <v>133</v>
      </c>
      <c r="D83" s="123"/>
      <c r="E83" s="123"/>
      <c r="F83" s="123"/>
      <c r="G83" s="123"/>
      <c r="H83" s="123"/>
      <c r="I83" s="123"/>
      <c r="J83" s="123"/>
      <c r="K83" s="123"/>
      <c r="L83" s="123"/>
      <c r="M83" s="123"/>
      <c r="N83" s="123"/>
      <c r="O83" s="123"/>
      <c r="P83" s="123"/>
      <c r="Q83" s="123"/>
      <c r="R83" s="123"/>
      <c r="S83" s="123"/>
      <c r="T83" s="395" t="s">
        <v>312</v>
      </c>
      <c r="U83" s="115">
        <f>U84+U95</f>
        <v>9063774.4199999999</v>
      </c>
      <c r="V83" s="115">
        <f>V84+V95</f>
        <v>4228742.1000000006</v>
      </c>
      <c r="W83" s="115">
        <f>W84+W95</f>
        <v>4414339.99</v>
      </c>
      <c r="X83" s="114" t="s">
        <v>312</v>
      </c>
    </row>
    <row r="84" spans="1:24" ht="33.75" customHeight="1" x14ac:dyDescent="0.25">
      <c r="A84" s="116" t="s">
        <v>252</v>
      </c>
      <c r="B84" s="117" t="s">
        <v>123</v>
      </c>
      <c r="C84" s="117" t="s">
        <v>127</v>
      </c>
      <c r="D84" s="117"/>
      <c r="E84" s="117"/>
      <c r="F84" s="117"/>
      <c r="G84" s="117"/>
      <c r="H84" s="117"/>
      <c r="I84" s="117"/>
      <c r="J84" s="117"/>
      <c r="K84" s="117"/>
      <c r="L84" s="117"/>
      <c r="M84" s="117"/>
      <c r="N84" s="117"/>
      <c r="O84" s="117"/>
      <c r="P84" s="117"/>
      <c r="Q84" s="117"/>
      <c r="R84" s="117"/>
      <c r="S84" s="117"/>
      <c r="T84" s="397" t="s">
        <v>252</v>
      </c>
      <c r="U84" s="118">
        <f>U85+U87+U91+U93+U89</f>
        <v>8849372.3100000005</v>
      </c>
      <c r="V84" s="118">
        <f>V85+V87+V91+V93+V89</f>
        <v>4014339.99</v>
      </c>
      <c r="W84" s="118">
        <f>W85+W87+W91+W93+W89</f>
        <v>4114339.99</v>
      </c>
      <c r="X84" s="116" t="s">
        <v>252</v>
      </c>
    </row>
    <row r="85" spans="1:24" ht="96.75" customHeight="1" x14ac:dyDescent="0.25">
      <c r="A85" s="116" t="s">
        <v>501</v>
      </c>
      <c r="B85" s="208" t="s">
        <v>123</v>
      </c>
      <c r="C85" s="208" t="s">
        <v>127</v>
      </c>
      <c r="D85" s="208" t="s">
        <v>750</v>
      </c>
      <c r="E85" s="208"/>
      <c r="F85" s="208"/>
      <c r="G85" s="208"/>
      <c r="H85" s="208"/>
      <c r="I85" s="208"/>
      <c r="J85" s="208"/>
      <c r="K85" s="208"/>
      <c r="L85" s="208"/>
      <c r="M85" s="208"/>
      <c r="N85" s="208"/>
      <c r="O85" s="208"/>
      <c r="P85" s="208"/>
      <c r="Q85" s="208"/>
      <c r="R85" s="208"/>
      <c r="S85" s="208"/>
      <c r="T85" s="402" t="s">
        <v>749</v>
      </c>
      <c r="U85" s="118">
        <f>U86</f>
        <v>2914339.99</v>
      </c>
      <c r="V85" s="118">
        <f>V86</f>
        <v>2914339.99</v>
      </c>
      <c r="W85" s="118">
        <f>W86</f>
        <v>2914339.99</v>
      </c>
      <c r="X85" s="116" t="s">
        <v>501</v>
      </c>
    </row>
    <row r="86" spans="1:24" ht="53.25" customHeight="1" x14ac:dyDescent="0.25">
      <c r="A86" s="116" t="s">
        <v>502</v>
      </c>
      <c r="B86" s="185" t="s">
        <v>123</v>
      </c>
      <c r="C86" s="185" t="s">
        <v>127</v>
      </c>
      <c r="D86" s="208" t="s">
        <v>750</v>
      </c>
      <c r="E86" s="185"/>
      <c r="F86" s="185"/>
      <c r="G86" s="185"/>
      <c r="H86" s="185"/>
      <c r="I86" s="185"/>
      <c r="J86" s="185"/>
      <c r="K86" s="185"/>
      <c r="L86" s="185"/>
      <c r="M86" s="185"/>
      <c r="N86" s="185"/>
      <c r="O86" s="185"/>
      <c r="P86" s="185"/>
      <c r="Q86" s="185"/>
      <c r="R86" s="185"/>
      <c r="S86" s="185" t="s">
        <v>309</v>
      </c>
      <c r="T86" s="400" t="s">
        <v>502</v>
      </c>
      <c r="U86" s="118">
        <f>П4ВСР!Z462</f>
        <v>2914339.99</v>
      </c>
      <c r="V86" s="118">
        <f>П4ВСР!AA462</f>
        <v>2914339.99</v>
      </c>
      <c r="W86" s="118">
        <f>П4ВСР!AB462</f>
        <v>2914339.99</v>
      </c>
      <c r="X86" s="116" t="s">
        <v>502</v>
      </c>
    </row>
    <row r="87" spans="1:24" ht="122.25" customHeight="1" x14ac:dyDescent="0.25">
      <c r="A87" s="116" t="s">
        <v>313</v>
      </c>
      <c r="B87" s="117" t="s">
        <v>123</v>
      </c>
      <c r="C87" s="117" t="s">
        <v>127</v>
      </c>
      <c r="D87" s="183" t="s">
        <v>577</v>
      </c>
      <c r="E87" s="117"/>
      <c r="F87" s="117"/>
      <c r="G87" s="117"/>
      <c r="H87" s="117"/>
      <c r="I87" s="117"/>
      <c r="J87" s="117"/>
      <c r="K87" s="117"/>
      <c r="L87" s="117"/>
      <c r="M87" s="117"/>
      <c r="N87" s="117"/>
      <c r="O87" s="117"/>
      <c r="P87" s="117"/>
      <c r="Q87" s="117"/>
      <c r="R87" s="117"/>
      <c r="S87" s="117"/>
      <c r="T87" s="402" t="s">
        <v>660</v>
      </c>
      <c r="U87" s="118">
        <f>U88</f>
        <v>5138667.82</v>
      </c>
      <c r="V87" s="118">
        <f>V88</f>
        <v>200000</v>
      </c>
      <c r="W87" s="118">
        <f>W88</f>
        <v>300000</v>
      </c>
      <c r="X87" s="116" t="s">
        <v>313</v>
      </c>
    </row>
    <row r="88" spans="1:24" ht="63" customHeight="1" x14ac:dyDescent="0.25">
      <c r="A88" s="116" t="s">
        <v>314</v>
      </c>
      <c r="B88" s="119" t="s">
        <v>123</v>
      </c>
      <c r="C88" s="119" t="s">
        <v>127</v>
      </c>
      <c r="D88" s="183" t="s">
        <v>577</v>
      </c>
      <c r="E88" s="119"/>
      <c r="F88" s="119"/>
      <c r="G88" s="119"/>
      <c r="H88" s="119"/>
      <c r="I88" s="119"/>
      <c r="J88" s="119"/>
      <c r="K88" s="119"/>
      <c r="L88" s="119"/>
      <c r="M88" s="119"/>
      <c r="N88" s="119"/>
      <c r="O88" s="119"/>
      <c r="P88" s="119"/>
      <c r="Q88" s="119"/>
      <c r="R88" s="119"/>
      <c r="S88" s="119" t="s">
        <v>290</v>
      </c>
      <c r="T88" s="402" t="s">
        <v>314</v>
      </c>
      <c r="U88" s="118">
        <f>П4ВСР!Z68</f>
        <v>5138667.82</v>
      </c>
      <c r="V88" s="118">
        <f>П4ВСР!AA68</f>
        <v>200000</v>
      </c>
      <c r="W88" s="118">
        <f>П4ВСР!AB68</f>
        <v>300000</v>
      </c>
      <c r="X88" s="116" t="s">
        <v>314</v>
      </c>
    </row>
    <row r="89" spans="1:24" ht="166.5" customHeight="1" x14ac:dyDescent="0.25">
      <c r="A89" s="116"/>
      <c r="B89" s="119" t="s">
        <v>123</v>
      </c>
      <c r="C89" s="119" t="s">
        <v>127</v>
      </c>
      <c r="D89" s="276" t="s">
        <v>943</v>
      </c>
      <c r="E89" s="119"/>
      <c r="F89" s="119"/>
      <c r="G89" s="119"/>
      <c r="H89" s="119"/>
      <c r="I89" s="119"/>
      <c r="J89" s="119"/>
      <c r="K89" s="119"/>
      <c r="L89" s="119"/>
      <c r="M89" s="119"/>
      <c r="N89" s="119"/>
      <c r="O89" s="119"/>
      <c r="P89" s="119"/>
      <c r="Q89" s="119"/>
      <c r="R89" s="119"/>
      <c r="S89" s="119"/>
      <c r="T89" s="402" t="s">
        <v>941</v>
      </c>
      <c r="U89" s="118">
        <f>U90</f>
        <v>350000</v>
      </c>
      <c r="V89" s="118">
        <f>V90</f>
        <v>400000</v>
      </c>
      <c r="W89" s="118">
        <f>W90</f>
        <v>400000</v>
      </c>
      <c r="X89" s="116"/>
    </row>
    <row r="90" spans="1:24" ht="49.5" customHeight="1" x14ac:dyDescent="0.25">
      <c r="A90" s="116"/>
      <c r="B90" s="119" t="s">
        <v>123</v>
      </c>
      <c r="C90" s="119" t="s">
        <v>127</v>
      </c>
      <c r="D90" s="276" t="s">
        <v>943</v>
      </c>
      <c r="E90" s="119"/>
      <c r="F90" s="119"/>
      <c r="G90" s="119"/>
      <c r="H90" s="119"/>
      <c r="I90" s="119"/>
      <c r="J90" s="119"/>
      <c r="K90" s="119"/>
      <c r="L90" s="119"/>
      <c r="M90" s="119"/>
      <c r="N90" s="119"/>
      <c r="O90" s="119"/>
      <c r="P90" s="119"/>
      <c r="Q90" s="119"/>
      <c r="R90" s="119"/>
      <c r="S90" s="119" t="s">
        <v>290</v>
      </c>
      <c r="T90" s="400" t="s">
        <v>942</v>
      </c>
      <c r="U90" s="118">
        <f>П4ВСР!Z70</f>
        <v>350000</v>
      </c>
      <c r="V90" s="118">
        <f>П4ВСР!AA70</f>
        <v>400000</v>
      </c>
      <c r="W90" s="118">
        <f>П4ВСР!AB70</f>
        <v>400000</v>
      </c>
      <c r="X90" s="116"/>
    </row>
    <row r="91" spans="1:24" ht="82.5" customHeight="1" x14ac:dyDescent="0.25">
      <c r="A91" s="116" t="s">
        <v>315</v>
      </c>
      <c r="B91" s="117" t="s">
        <v>123</v>
      </c>
      <c r="C91" s="117" t="s">
        <v>127</v>
      </c>
      <c r="D91" s="183" t="s">
        <v>578</v>
      </c>
      <c r="E91" s="117"/>
      <c r="F91" s="117"/>
      <c r="G91" s="117"/>
      <c r="H91" s="117"/>
      <c r="I91" s="117"/>
      <c r="J91" s="117"/>
      <c r="K91" s="117"/>
      <c r="L91" s="117"/>
      <c r="M91" s="117"/>
      <c r="N91" s="117"/>
      <c r="O91" s="117"/>
      <c r="P91" s="117"/>
      <c r="Q91" s="117"/>
      <c r="R91" s="117"/>
      <c r="S91" s="117"/>
      <c r="T91" s="402" t="s">
        <v>661</v>
      </c>
      <c r="U91" s="118">
        <f>U92</f>
        <v>446364.5</v>
      </c>
      <c r="V91" s="118">
        <f>V92</f>
        <v>500000</v>
      </c>
      <c r="W91" s="118">
        <f>W92</f>
        <v>500000</v>
      </c>
      <c r="X91" s="116" t="s">
        <v>315</v>
      </c>
    </row>
    <row r="92" spans="1:24" ht="36" customHeight="1" x14ac:dyDescent="0.25">
      <c r="A92" s="116" t="s">
        <v>316</v>
      </c>
      <c r="B92" s="119" t="s">
        <v>123</v>
      </c>
      <c r="C92" s="119" t="s">
        <v>127</v>
      </c>
      <c r="D92" s="183" t="s">
        <v>578</v>
      </c>
      <c r="E92" s="119"/>
      <c r="F92" s="119"/>
      <c r="G92" s="119"/>
      <c r="H92" s="119"/>
      <c r="I92" s="119"/>
      <c r="J92" s="119"/>
      <c r="K92" s="119"/>
      <c r="L92" s="119"/>
      <c r="M92" s="119"/>
      <c r="N92" s="119"/>
      <c r="O92" s="119"/>
      <c r="P92" s="119"/>
      <c r="Q92" s="119"/>
      <c r="R92" s="119"/>
      <c r="S92" s="119" t="s">
        <v>290</v>
      </c>
      <c r="T92" s="402" t="s">
        <v>316</v>
      </c>
      <c r="U92" s="118">
        <f>П4ВСР!Z72</f>
        <v>446364.5</v>
      </c>
      <c r="V92" s="118">
        <f>П4ВСР!AA72</f>
        <v>500000</v>
      </c>
      <c r="W92" s="118">
        <f>П4ВСР!AB72</f>
        <v>500000</v>
      </c>
      <c r="X92" s="116" t="s">
        <v>316</v>
      </c>
    </row>
    <row r="93" spans="1:24" ht="99.75" hidden="1" customHeight="1" x14ac:dyDescent="0.25">
      <c r="A93" s="121" t="s">
        <v>242</v>
      </c>
      <c r="B93" s="117" t="s">
        <v>123</v>
      </c>
      <c r="C93" s="117" t="s">
        <v>127</v>
      </c>
      <c r="D93" s="183" t="s">
        <v>579</v>
      </c>
      <c r="E93" s="117"/>
      <c r="F93" s="117"/>
      <c r="G93" s="117"/>
      <c r="H93" s="117"/>
      <c r="I93" s="117"/>
      <c r="J93" s="117"/>
      <c r="K93" s="117"/>
      <c r="L93" s="117"/>
      <c r="M93" s="117"/>
      <c r="N93" s="117"/>
      <c r="O93" s="117"/>
      <c r="P93" s="117"/>
      <c r="Q93" s="117"/>
      <c r="R93" s="117"/>
      <c r="S93" s="117"/>
      <c r="T93" s="398" t="s">
        <v>242</v>
      </c>
      <c r="U93" s="118">
        <f>U94</f>
        <v>0</v>
      </c>
      <c r="V93" s="118">
        <f>V94</f>
        <v>0</v>
      </c>
      <c r="W93" s="118">
        <f>W94</f>
        <v>0</v>
      </c>
      <c r="X93" s="121" t="s">
        <v>242</v>
      </c>
    </row>
    <row r="94" spans="1:24" ht="117.75" hidden="1" customHeight="1" x14ac:dyDescent="0.25">
      <c r="A94" s="121" t="s">
        <v>317</v>
      </c>
      <c r="B94" s="119" t="s">
        <v>123</v>
      </c>
      <c r="C94" s="119" t="s">
        <v>127</v>
      </c>
      <c r="D94" s="183" t="s">
        <v>579</v>
      </c>
      <c r="E94" s="119"/>
      <c r="F94" s="119"/>
      <c r="G94" s="119"/>
      <c r="H94" s="119"/>
      <c r="I94" s="119"/>
      <c r="J94" s="119"/>
      <c r="K94" s="119"/>
      <c r="L94" s="119"/>
      <c r="M94" s="119"/>
      <c r="N94" s="119"/>
      <c r="O94" s="119"/>
      <c r="P94" s="119"/>
      <c r="Q94" s="119"/>
      <c r="R94" s="119"/>
      <c r="S94" s="119" t="s">
        <v>290</v>
      </c>
      <c r="T94" s="399" t="s">
        <v>317</v>
      </c>
      <c r="U94" s="118">
        <f>П4ВСР!Z74</f>
        <v>0</v>
      </c>
      <c r="V94" s="118">
        <f>П4ВСР!AA74</f>
        <v>0</v>
      </c>
      <c r="W94" s="118">
        <f>П4ВСР!AB74</f>
        <v>0</v>
      </c>
      <c r="X94" s="121" t="s">
        <v>317</v>
      </c>
    </row>
    <row r="95" spans="1:24" ht="25.5" customHeight="1" x14ac:dyDescent="0.25">
      <c r="A95" s="121"/>
      <c r="B95" s="187" t="s">
        <v>123</v>
      </c>
      <c r="C95" s="187" t="s">
        <v>143</v>
      </c>
      <c r="D95" s="183"/>
      <c r="E95" s="119"/>
      <c r="F95" s="119"/>
      <c r="G95" s="119"/>
      <c r="H95" s="119"/>
      <c r="I95" s="119"/>
      <c r="J95" s="119"/>
      <c r="K95" s="119"/>
      <c r="L95" s="119"/>
      <c r="M95" s="119"/>
      <c r="N95" s="119"/>
      <c r="O95" s="119"/>
      <c r="P95" s="119"/>
      <c r="Q95" s="119"/>
      <c r="R95" s="119"/>
      <c r="S95" s="119"/>
      <c r="T95" s="408" t="s">
        <v>144</v>
      </c>
      <c r="U95" s="118">
        <f t="shared" ref="U95:W96" si="7">U96</f>
        <v>214402.11</v>
      </c>
      <c r="V95" s="118">
        <f t="shared" si="7"/>
        <v>214402.11</v>
      </c>
      <c r="W95" s="118">
        <f t="shared" si="7"/>
        <v>300000</v>
      </c>
      <c r="X95" s="121"/>
    </row>
    <row r="96" spans="1:24" ht="50.25" customHeight="1" x14ac:dyDescent="0.25">
      <c r="A96" s="121"/>
      <c r="B96" s="188" t="s">
        <v>123</v>
      </c>
      <c r="C96" s="188" t="s">
        <v>143</v>
      </c>
      <c r="D96" s="183" t="s">
        <v>581</v>
      </c>
      <c r="E96" s="188"/>
      <c r="F96" s="188"/>
      <c r="G96" s="188"/>
      <c r="H96" s="188"/>
      <c r="I96" s="188"/>
      <c r="J96" s="188"/>
      <c r="K96" s="188"/>
      <c r="L96" s="188"/>
      <c r="M96" s="188"/>
      <c r="N96" s="188"/>
      <c r="O96" s="188"/>
      <c r="P96" s="188"/>
      <c r="Q96" s="188"/>
      <c r="R96" s="188"/>
      <c r="S96" s="188"/>
      <c r="T96" s="405" t="s">
        <v>580</v>
      </c>
      <c r="U96" s="118">
        <f t="shared" si="7"/>
        <v>214402.11</v>
      </c>
      <c r="V96" s="118">
        <f t="shared" si="7"/>
        <v>214402.11</v>
      </c>
      <c r="W96" s="118">
        <f t="shared" si="7"/>
        <v>300000</v>
      </c>
      <c r="X96" s="121"/>
    </row>
    <row r="97" spans="1:24" ht="49.5" customHeight="1" x14ac:dyDescent="0.25">
      <c r="A97" s="121"/>
      <c r="B97" s="188" t="s">
        <v>123</v>
      </c>
      <c r="C97" s="188" t="s">
        <v>143</v>
      </c>
      <c r="D97" s="183" t="s">
        <v>581</v>
      </c>
      <c r="E97" s="188"/>
      <c r="F97" s="188"/>
      <c r="G97" s="188"/>
      <c r="H97" s="188"/>
      <c r="I97" s="188"/>
      <c r="J97" s="188"/>
      <c r="K97" s="188"/>
      <c r="L97" s="188"/>
      <c r="M97" s="188"/>
      <c r="N97" s="188"/>
      <c r="O97" s="188"/>
      <c r="P97" s="188"/>
      <c r="Q97" s="188"/>
      <c r="R97" s="188"/>
      <c r="S97" s="188" t="s">
        <v>290</v>
      </c>
      <c r="T97" s="403" t="s">
        <v>876</v>
      </c>
      <c r="U97" s="118">
        <f>П4ВСР!Z77</f>
        <v>214402.11</v>
      </c>
      <c r="V97" s="118">
        <f>П4ВСР!AA77</f>
        <v>214402.11</v>
      </c>
      <c r="W97" s="118">
        <f>П4ВСР!AB77</f>
        <v>300000</v>
      </c>
      <c r="X97" s="121"/>
    </row>
    <row r="98" spans="1:24" ht="18.600000000000001" customHeight="1" x14ac:dyDescent="0.25">
      <c r="A98" s="114" t="s">
        <v>318</v>
      </c>
      <c r="B98" s="123" t="s">
        <v>136</v>
      </c>
      <c r="C98" s="123" t="s">
        <v>133</v>
      </c>
      <c r="D98" s="123"/>
      <c r="E98" s="123"/>
      <c r="F98" s="123"/>
      <c r="G98" s="123"/>
      <c r="H98" s="123"/>
      <c r="I98" s="123"/>
      <c r="J98" s="123"/>
      <c r="K98" s="123"/>
      <c r="L98" s="123"/>
      <c r="M98" s="123"/>
      <c r="N98" s="123"/>
      <c r="O98" s="123"/>
      <c r="P98" s="123"/>
      <c r="Q98" s="123"/>
      <c r="R98" s="123"/>
      <c r="S98" s="123"/>
      <c r="T98" s="395" t="s">
        <v>318</v>
      </c>
      <c r="U98" s="115">
        <f>U99+U124+U131+U154+U163</f>
        <v>42059659.639999993</v>
      </c>
      <c r="V98" s="115">
        <f>V99+V124+V131+V154+V163</f>
        <v>33890822.379999995</v>
      </c>
      <c r="W98" s="115">
        <f>W99+W124+W131+W154+W163</f>
        <v>34662463.450000003</v>
      </c>
      <c r="X98" s="114" t="s">
        <v>318</v>
      </c>
    </row>
    <row r="99" spans="1:24" ht="18.600000000000001" customHeight="1" x14ac:dyDescent="0.25">
      <c r="A99" s="116" t="s">
        <v>147</v>
      </c>
      <c r="B99" s="117" t="s">
        <v>136</v>
      </c>
      <c r="C99" s="117" t="s">
        <v>124</v>
      </c>
      <c r="D99" s="117"/>
      <c r="E99" s="117"/>
      <c r="F99" s="117"/>
      <c r="G99" s="117"/>
      <c r="H99" s="117"/>
      <c r="I99" s="117"/>
      <c r="J99" s="117"/>
      <c r="K99" s="117"/>
      <c r="L99" s="117"/>
      <c r="M99" s="117"/>
      <c r="N99" s="117"/>
      <c r="O99" s="117"/>
      <c r="P99" s="117"/>
      <c r="Q99" s="117"/>
      <c r="R99" s="117"/>
      <c r="S99" s="117"/>
      <c r="T99" s="397" t="s">
        <v>147</v>
      </c>
      <c r="U99" s="118">
        <f>U100+U102+U104+U106+U112+U114+U118+U120+U122+U108+U110+U116</f>
        <v>222462.97</v>
      </c>
      <c r="V99" s="118">
        <f t="shared" ref="V99:X99" si="8">V100+V102+V104+V106+V112+V114+V118+V120+V122+V108+V110+V116</f>
        <v>671900</v>
      </c>
      <c r="W99" s="118">
        <f t="shared" si="8"/>
        <v>671900</v>
      </c>
      <c r="X99" s="118" t="e">
        <f t="shared" si="8"/>
        <v>#VALUE!</v>
      </c>
    </row>
    <row r="100" spans="1:24" ht="69" customHeight="1" x14ac:dyDescent="0.25">
      <c r="A100" s="116" t="s">
        <v>319</v>
      </c>
      <c r="B100" s="117" t="s">
        <v>136</v>
      </c>
      <c r="C100" s="117" t="s">
        <v>124</v>
      </c>
      <c r="D100" s="183" t="s">
        <v>582</v>
      </c>
      <c r="E100" s="117"/>
      <c r="F100" s="117"/>
      <c r="G100" s="117"/>
      <c r="H100" s="117"/>
      <c r="I100" s="117"/>
      <c r="J100" s="117"/>
      <c r="K100" s="117"/>
      <c r="L100" s="117"/>
      <c r="M100" s="117"/>
      <c r="N100" s="117"/>
      <c r="O100" s="117"/>
      <c r="P100" s="117"/>
      <c r="Q100" s="117"/>
      <c r="R100" s="117"/>
      <c r="S100" s="117"/>
      <c r="T100" s="402" t="s">
        <v>662</v>
      </c>
      <c r="U100" s="118">
        <f>U101</f>
        <v>0</v>
      </c>
      <c r="V100" s="118">
        <f>V101</f>
        <v>100000</v>
      </c>
      <c r="W100" s="118">
        <f>W101</f>
        <v>100000</v>
      </c>
      <c r="X100" s="116" t="s">
        <v>319</v>
      </c>
    </row>
    <row r="101" spans="1:24" ht="55.5" customHeight="1" x14ac:dyDescent="0.25">
      <c r="A101" s="116" t="s">
        <v>320</v>
      </c>
      <c r="B101" s="119" t="s">
        <v>136</v>
      </c>
      <c r="C101" s="119" t="s">
        <v>124</v>
      </c>
      <c r="D101" s="183" t="s">
        <v>582</v>
      </c>
      <c r="E101" s="119"/>
      <c r="F101" s="119"/>
      <c r="G101" s="119"/>
      <c r="H101" s="119"/>
      <c r="I101" s="119"/>
      <c r="J101" s="119"/>
      <c r="K101" s="119"/>
      <c r="L101" s="119"/>
      <c r="M101" s="119"/>
      <c r="N101" s="119"/>
      <c r="O101" s="119"/>
      <c r="P101" s="119"/>
      <c r="Q101" s="119"/>
      <c r="R101" s="119"/>
      <c r="S101" s="119" t="s">
        <v>290</v>
      </c>
      <c r="T101" s="400" t="s">
        <v>320</v>
      </c>
      <c r="U101" s="118">
        <f>П4ВСР!Z81</f>
        <v>0</v>
      </c>
      <c r="V101" s="118">
        <f>П4ВСР!AA81</f>
        <v>100000</v>
      </c>
      <c r="W101" s="118">
        <f>П4ВСР!AB81</f>
        <v>100000</v>
      </c>
      <c r="X101" s="116" t="s">
        <v>320</v>
      </c>
    </row>
    <row r="102" spans="1:24" ht="62.25" customHeight="1" x14ac:dyDescent="0.25">
      <c r="A102" s="116" t="s">
        <v>321</v>
      </c>
      <c r="B102" s="117" t="s">
        <v>136</v>
      </c>
      <c r="C102" s="117" t="s">
        <v>124</v>
      </c>
      <c r="D102" s="183" t="s">
        <v>583</v>
      </c>
      <c r="E102" s="117"/>
      <c r="F102" s="117"/>
      <c r="G102" s="117"/>
      <c r="H102" s="117"/>
      <c r="I102" s="117"/>
      <c r="J102" s="117"/>
      <c r="K102" s="117"/>
      <c r="L102" s="117"/>
      <c r="M102" s="117"/>
      <c r="N102" s="117"/>
      <c r="O102" s="117"/>
      <c r="P102" s="117"/>
      <c r="Q102" s="117"/>
      <c r="R102" s="117"/>
      <c r="S102" s="117"/>
      <c r="T102" s="402" t="s">
        <v>663</v>
      </c>
      <c r="U102" s="118">
        <f>U103</f>
        <v>50000</v>
      </c>
      <c r="V102" s="118">
        <f>V103</f>
        <v>100000</v>
      </c>
      <c r="W102" s="118">
        <f>W103</f>
        <v>100000</v>
      </c>
      <c r="X102" s="116" t="s">
        <v>321</v>
      </c>
    </row>
    <row r="103" spans="1:24" ht="32.25" customHeight="1" x14ac:dyDescent="0.25">
      <c r="A103" s="116" t="s">
        <v>322</v>
      </c>
      <c r="B103" s="119" t="s">
        <v>136</v>
      </c>
      <c r="C103" s="119" t="s">
        <v>124</v>
      </c>
      <c r="D103" s="183" t="s">
        <v>583</v>
      </c>
      <c r="E103" s="119"/>
      <c r="F103" s="119"/>
      <c r="G103" s="119"/>
      <c r="H103" s="119"/>
      <c r="I103" s="119"/>
      <c r="J103" s="119"/>
      <c r="K103" s="119"/>
      <c r="L103" s="119"/>
      <c r="M103" s="119"/>
      <c r="N103" s="119"/>
      <c r="O103" s="119"/>
      <c r="P103" s="119"/>
      <c r="Q103" s="119"/>
      <c r="R103" s="119"/>
      <c r="S103" s="213" t="s">
        <v>244</v>
      </c>
      <c r="T103" s="400" t="s">
        <v>862</v>
      </c>
      <c r="U103" s="118">
        <f>П4ВСР!Z83</f>
        <v>50000</v>
      </c>
      <c r="V103" s="118">
        <f>П4ВСР!AA83</f>
        <v>100000</v>
      </c>
      <c r="W103" s="118">
        <f>П4ВСР!AB83</f>
        <v>100000</v>
      </c>
      <c r="X103" s="116" t="s">
        <v>322</v>
      </c>
    </row>
    <row r="104" spans="1:24" ht="83.25" customHeight="1" x14ac:dyDescent="0.25">
      <c r="A104" s="116" t="s">
        <v>323</v>
      </c>
      <c r="B104" s="117" t="s">
        <v>136</v>
      </c>
      <c r="C104" s="117" t="s">
        <v>124</v>
      </c>
      <c r="D104" s="183" t="s">
        <v>584</v>
      </c>
      <c r="E104" s="117"/>
      <c r="F104" s="117"/>
      <c r="G104" s="117"/>
      <c r="H104" s="117"/>
      <c r="I104" s="117"/>
      <c r="J104" s="117"/>
      <c r="K104" s="117"/>
      <c r="L104" s="117"/>
      <c r="M104" s="117"/>
      <c r="N104" s="117"/>
      <c r="O104" s="117"/>
      <c r="P104" s="117"/>
      <c r="Q104" s="117"/>
      <c r="R104" s="117"/>
      <c r="S104" s="117"/>
      <c r="T104" s="402" t="s">
        <v>664</v>
      </c>
      <c r="U104" s="118">
        <f>U105</f>
        <v>0</v>
      </c>
      <c r="V104" s="118">
        <f>V105</f>
        <v>100000</v>
      </c>
      <c r="W104" s="118">
        <f>W105</f>
        <v>100000</v>
      </c>
      <c r="X104" s="116" t="s">
        <v>323</v>
      </c>
    </row>
    <row r="105" spans="1:24" ht="50.25" customHeight="1" x14ac:dyDescent="0.25">
      <c r="A105" s="116" t="s">
        <v>324</v>
      </c>
      <c r="B105" s="119" t="s">
        <v>136</v>
      </c>
      <c r="C105" s="119" t="s">
        <v>124</v>
      </c>
      <c r="D105" s="183" t="s">
        <v>584</v>
      </c>
      <c r="E105" s="119"/>
      <c r="F105" s="119"/>
      <c r="G105" s="119"/>
      <c r="H105" s="119"/>
      <c r="I105" s="119"/>
      <c r="J105" s="119"/>
      <c r="K105" s="119"/>
      <c r="L105" s="119"/>
      <c r="M105" s="119"/>
      <c r="N105" s="119"/>
      <c r="O105" s="119"/>
      <c r="P105" s="119"/>
      <c r="Q105" s="119"/>
      <c r="R105" s="119"/>
      <c r="S105" s="119" t="s">
        <v>290</v>
      </c>
      <c r="T105" s="400" t="s">
        <v>324</v>
      </c>
      <c r="U105" s="118">
        <f>П4ВСР!Z85</f>
        <v>0</v>
      </c>
      <c r="V105" s="118">
        <f>П4ВСР!AA85</f>
        <v>100000</v>
      </c>
      <c r="W105" s="118">
        <f>П4ВСР!AB85</f>
        <v>100000</v>
      </c>
      <c r="X105" s="116" t="s">
        <v>324</v>
      </c>
    </row>
    <row r="106" spans="1:24" ht="67.5" customHeight="1" x14ac:dyDescent="0.25">
      <c r="A106" s="116" t="s">
        <v>325</v>
      </c>
      <c r="B106" s="117" t="s">
        <v>136</v>
      </c>
      <c r="C106" s="117" t="s">
        <v>124</v>
      </c>
      <c r="D106" s="183" t="s">
        <v>585</v>
      </c>
      <c r="E106" s="117"/>
      <c r="F106" s="117"/>
      <c r="G106" s="117"/>
      <c r="H106" s="117"/>
      <c r="I106" s="117"/>
      <c r="J106" s="117"/>
      <c r="K106" s="117"/>
      <c r="L106" s="117"/>
      <c r="M106" s="117"/>
      <c r="N106" s="117"/>
      <c r="O106" s="117"/>
      <c r="P106" s="117"/>
      <c r="Q106" s="117"/>
      <c r="R106" s="117"/>
      <c r="S106" s="117"/>
      <c r="T106" s="402" t="s">
        <v>665</v>
      </c>
      <c r="U106" s="118">
        <f>U107</f>
        <v>11765.47</v>
      </c>
      <c r="V106" s="118">
        <f>V107</f>
        <v>100000</v>
      </c>
      <c r="W106" s="118">
        <f>W107</f>
        <v>100000</v>
      </c>
      <c r="X106" s="116" t="s">
        <v>325</v>
      </c>
    </row>
    <row r="107" spans="1:24" ht="51" customHeight="1" x14ac:dyDescent="0.25">
      <c r="A107" s="116" t="s">
        <v>326</v>
      </c>
      <c r="B107" s="119" t="s">
        <v>136</v>
      </c>
      <c r="C107" s="119" t="s">
        <v>124</v>
      </c>
      <c r="D107" s="183" t="s">
        <v>585</v>
      </c>
      <c r="E107" s="185"/>
      <c r="F107" s="185"/>
      <c r="G107" s="185"/>
      <c r="H107" s="185"/>
      <c r="I107" s="185"/>
      <c r="J107" s="185"/>
      <c r="K107" s="185"/>
      <c r="L107" s="185"/>
      <c r="M107" s="185"/>
      <c r="N107" s="185"/>
      <c r="O107" s="185"/>
      <c r="P107" s="185"/>
      <c r="Q107" s="185"/>
      <c r="R107" s="185"/>
      <c r="S107" s="185" t="s">
        <v>290</v>
      </c>
      <c r="T107" s="400" t="s">
        <v>326</v>
      </c>
      <c r="U107" s="118">
        <f>П4ВСР!Z87</f>
        <v>11765.47</v>
      </c>
      <c r="V107" s="118">
        <f>П4ВСР!AA87</f>
        <v>100000</v>
      </c>
      <c r="W107" s="118">
        <f>П4ВСР!AB87</f>
        <v>100000</v>
      </c>
      <c r="X107" s="116" t="s">
        <v>326</v>
      </c>
    </row>
    <row r="108" spans="1:24" s="375" customFormat="1" ht="72" customHeight="1" x14ac:dyDescent="0.25">
      <c r="A108" s="265"/>
      <c r="B108" s="185" t="s">
        <v>136</v>
      </c>
      <c r="C108" s="185" t="s">
        <v>124</v>
      </c>
      <c r="D108" s="276" t="s">
        <v>1048</v>
      </c>
      <c r="E108" s="185"/>
      <c r="F108" s="185"/>
      <c r="G108" s="185"/>
      <c r="H108" s="185"/>
      <c r="I108" s="185"/>
      <c r="J108" s="185"/>
      <c r="K108" s="185"/>
      <c r="L108" s="185"/>
      <c r="M108" s="185"/>
      <c r="N108" s="185"/>
      <c r="O108" s="185"/>
      <c r="P108" s="185"/>
      <c r="Q108" s="185"/>
      <c r="R108" s="185"/>
      <c r="S108" s="185"/>
      <c r="T108" s="400" t="s">
        <v>665</v>
      </c>
      <c r="U108" s="258">
        <f>U109</f>
        <v>0</v>
      </c>
      <c r="V108" s="258">
        <f t="shared" ref="V108:X108" si="9">V109</f>
        <v>0</v>
      </c>
      <c r="W108" s="258">
        <f t="shared" si="9"/>
        <v>0</v>
      </c>
      <c r="X108" s="274">
        <f t="shared" si="9"/>
        <v>0</v>
      </c>
    </row>
    <row r="109" spans="1:24" s="375" customFormat="1" ht="67.5" customHeight="1" x14ac:dyDescent="0.25">
      <c r="A109" s="265"/>
      <c r="B109" s="185" t="s">
        <v>136</v>
      </c>
      <c r="C109" s="185" t="s">
        <v>124</v>
      </c>
      <c r="D109" s="276" t="s">
        <v>1048</v>
      </c>
      <c r="E109" s="185"/>
      <c r="F109" s="185"/>
      <c r="G109" s="185"/>
      <c r="H109" s="185"/>
      <c r="I109" s="185"/>
      <c r="J109" s="185"/>
      <c r="K109" s="185"/>
      <c r="L109" s="185"/>
      <c r="M109" s="185"/>
      <c r="N109" s="185"/>
      <c r="O109" s="185"/>
      <c r="P109" s="185"/>
      <c r="Q109" s="185"/>
      <c r="R109" s="185"/>
      <c r="S109" s="185" t="s">
        <v>290</v>
      </c>
      <c r="T109" s="400" t="s">
        <v>1047</v>
      </c>
      <c r="U109" s="258">
        <f>П4ВСР!Z89</f>
        <v>0</v>
      </c>
      <c r="V109" s="258">
        <v>0</v>
      </c>
      <c r="W109" s="258">
        <v>0</v>
      </c>
      <c r="X109" s="265"/>
    </row>
    <row r="110" spans="1:24" s="375" customFormat="1" ht="66.75" hidden="1" customHeight="1" x14ac:dyDescent="0.25">
      <c r="A110" s="265"/>
      <c r="B110" s="185" t="s">
        <v>136</v>
      </c>
      <c r="C110" s="185" t="s">
        <v>124</v>
      </c>
      <c r="D110" s="276" t="s">
        <v>1084</v>
      </c>
      <c r="E110" s="185"/>
      <c r="F110" s="185"/>
      <c r="G110" s="185"/>
      <c r="H110" s="185"/>
      <c r="I110" s="185"/>
      <c r="J110" s="185"/>
      <c r="K110" s="185"/>
      <c r="L110" s="185"/>
      <c r="M110" s="185"/>
      <c r="N110" s="185"/>
      <c r="O110" s="185"/>
      <c r="P110" s="185"/>
      <c r="Q110" s="185"/>
      <c r="R110" s="185"/>
      <c r="S110" s="185"/>
      <c r="T110" s="400" t="s">
        <v>665</v>
      </c>
      <c r="U110" s="258">
        <f>U111</f>
        <v>0</v>
      </c>
      <c r="V110" s="258">
        <f t="shared" ref="V110:W110" si="10">V111</f>
        <v>0</v>
      </c>
      <c r="W110" s="258">
        <f t="shared" si="10"/>
        <v>0</v>
      </c>
      <c r="X110" s="265"/>
    </row>
    <row r="111" spans="1:24" s="375" customFormat="1" ht="50.25" hidden="1" customHeight="1" x14ac:dyDescent="0.25">
      <c r="A111" s="265"/>
      <c r="B111" s="185" t="s">
        <v>136</v>
      </c>
      <c r="C111" s="185" t="s">
        <v>124</v>
      </c>
      <c r="D111" s="276" t="s">
        <v>1084</v>
      </c>
      <c r="E111" s="185"/>
      <c r="F111" s="185"/>
      <c r="G111" s="185"/>
      <c r="H111" s="185"/>
      <c r="I111" s="185"/>
      <c r="J111" s="185"/>
      <c r="K111" s="185"/>
      <c r="L111" s="185"/>
      <c r="M111" s="185"/>
      <c r="N111" s="185"/>
      <c r="O111" s="185"/>
      <c r="P111" s="185"/>
      <c r="Q111" s="185"/>
      <c r="R111" s="185"/>
      <c r="S111" s="185" t="s">
        <v>290</v>
      </c>
      <c r="T111" s="400" t="s">
        <v>1049</v>
      </c>
      <c r="U111" s="258">
        <f>П4ВСР!Z91</f>
        <v>0</v>
      </c>
      <c r="V111" s="258">
        <v>0</v>
      </c>
      <c r="W111" s="258">
        <v>0</v>
      </c>
      <c r="X111" s="265"/>
    </row>
    <row r="112" spans="1:24" ht="66.75" customHeight="1" x14ac:dyDescent="0.25">
      <c r="A112" s="116" t="s">
        <v>327</v>
      </c>
      <c r="B112" s="117" t="s">
        <v>136</v>
      </c>
      <c r="C112" s="117" t="s">
        <v>124</v>
      </c>
      <c r="D112" s="183" t="s">
        <v>586</v>
      </c>
      <c r="E112" s="117"/>
      <c r="F112" s="117"/>
      <c r="G112" s="117"/>
      <c r="H112" s="117"/>
      <c r="I112" s="117"/>
      <c r="J112" s="117"/>
      <c r="K112" s="117"/>
      <c r="L112" s="117"/>
      <c r="M112" s="117"/>
      <c r="N112" s="117"/>
      <c r="O112" s="117"/>
      <c r="P112" s="117"/>
      <c r="Q112" s="117"/>
      <c r="R112" s="117"/>
      <c r="S112" s="117"/>
      <c r="T112" s="402" t="s">
        <v>666</v>
      </c>
      <c r="U112" s="118">
        <f>U113</f>
        <v>0</v>
      </c>
      <c r="V112" s="118">
        <f>V113</f>
        <v>100000</v>
      </c>
      <c r="W112" s="118">
        <f>W113</f>
        <v>100000</v>
      </c>
      <c r="X112" s="116" t="s">
        <v>327</v>
      </c>
    </row>
    <row r="113" spans="1:24" ht="51.75" customHeight="1" x14ac:dyDescent="0.25">
      <c r="A113" s="116" t="s">
        <v>328</v>
      </c>
      <c r="B113" s="119" t="s">
        <v>136</v>
      </c>
      <c r="C113" s="119" t="s">
        <v>124</v>
      </c>
      <c r="D113" s="183" t="s">
        <v>586</v>
      </c>
      <c r="E113" s="185"/>
      <c r="F113" s="185"/>
      <c r="G113" s="185"/>
      <c r="H113" s="185"/>
      <c r="I113" s="185"/>
      <c r="J113" s="185"/>
      <c r="K113" s="185"/>
      <c r="L113" s="185"/>
      <c r="M113" s="185"/>
      <c r="N113" s="185"/>
      <c r="O113" s="185"/>
      <c r="P113" s="185"/>
      <c r="Q113" s="185"/>
      <c r="R113" s="185"/>
      <c r="S113" s="185" t="s">
        <v>290</v>
      </c>
      <c r="T113" s="400" t="s">
        <v>328</v>
      </c>
      <c r="U113" s="118">
        <f>П4ВСР!Z93</f>
        <v>0</v>
      </c>
      <c r="V113" s="118">
        <f>П4ВСР!AA93</f>
        <v>100000</v>
      </c>
      <c r="W113" s="118">
        <f>П4ВСР!AB93</f>
        <v>100000</v>
      </c>
      <c r="X113" s="116" t="s">
        <v>328</v>
      </c>
    </row>
    <row r="114" spans="1:24" ht="69" customHeight="1" x14ac:dyDescent="0.25">
      <c r="A114" s="116" t="s">
        <v>329</v>
      </c>
      <c r="B114" s="117" t="s">
        <v>136</v>
      </c>
      <c r="C114" s="117" t="s">
        <v>124</v>
      </c>
      <c r="D114" s="183" t="s">
        <v>587</v>
      </c>
      <c r="E114" s="117"/>
      <c r="F114" s="117"/>
      <c r="G114" s="117"/>
      <c r="H114" s="117"/>
      <c r="I114" s="117"/>
      <c r="J114" s="117"/>
      <c r="K114" s="117"/>
      <c r="L114" s="117"/>
      <c r="M114" s="117"/>
      <c r="N114" s="117"/>
      <c r="O114" s="117"/>
      <c r="P114" s="117"/>
      <c r="Q114" s="117"/>
      <c r="R114" s="117"/>
      <c r="S114" s="117"/>
      <c r="T114" s="402" t="s">
        <v>667</v>
      </c>
      <c r="U114" s="118">
        <f>U115</f>
        <v>0</v>
      </c>
      <c r="V114" s="118">
        <f>V115</f>
        <v>100000</v>
      </c>
      <c r="W114" s="118">
        <f>W115</f>
        <v>100000</v>
      </c>
      <c r="X114" s="116" t="s">
        <v>329</v>
      </c>
    </row>
    <row r="115" spans="1:24" ht="60" customHeight="1" x14ac:dyDescent="0.25">
      <c r="A115" s="116" t="s">
        <v>330</v>
      </c>
      <c r="B115" s="119" t="s">
        <v>136</v>
      </c>
      <c r="C115" s="119" t="s">
        <v>124</v>
      </c>
      <c r="D115" s="183" t="s">
        <v>587</v>
      </c>
      <c r="E115" s="185"/>
      <c r="F115" s="185"/>
      <c r="G115" s="185"/>
      <c r="H115" s="185"/>
      <c r="I115" s="185"/>
      <c r="J115" s="185"/>
      <c r="K115" s="185"/>
      <c r="L115" s="185"/>
      <c r="M115" s="185"/>
      <c r="N115" s="185"/>
      <c r="O115" s="185"/>
      <c r="P115" s="185"/>
      <c r="Q115" s="185"/>
      <c r="R115" s="185"/>
      <c r="S115" s="185" t="s">
        <v>290</v>
      </c>
      <c r="T115" s="400" t="s">
        <v>330</v>
      </c>
      <c r="U115" s="118">
        <f>П4ВСР!Z95</f>
        <v>0</v>
      </c>
      <c r="V115" s="118">
        <f>П4ВСР!AA95</f>
        <v>100000</v>
      </c>
      <c r="W115" s="118">
        <f>П4ВСР!AB95</f>
        <v>100000</v>
      </c>
      <c r="X115" s="116" t="s">
        <v>330</v>
      </c>
    </row>
    <row r="116" spans="1:24" ht="71.25" customHeight="1" x14ac:dyDescent="0.25">
      <c r="A116" s="116"/>
      <c r="B116" s="119" t="s">
        <v>136</v>
      </c>
      <c r="C116" s="119" t="s">
        <v>124</v>
      </c>
      <c r="D116" s="276" t="s">
        <v>1220</v>
      </c>
      <c r="E116" s="185"/>
      <c r="F116" s="185"/>
      <c r="G116" s="185"/>
      <c r="H116" s="185"/>
      <c r="I116" s="185"/>
      <c r="J116" s="185"/>
      <c r="K116" s="185"/>
      <c r="L116" s="185"/>
      <c r="M116" s="185"/>
      <c r="N116" s="185"/>
      <c r="O116" s="185"/>
      <c r="P116" s="185"/>
      <c r="Q116" s="185"/>
      <c r="R116" s="185"/>
      <c r="S116" s="185"/>
      <c r="T116" s="400" t="s">
        <v>1221</v>
      </c>
      <c r="U116" s="118">
        <f>U117</f>
        <v>138767.67999999999</v>
      </c>
      <c r="V116" s="118">
        <f t="shared" ref="V116:W116" si="11">V117</f>
        <v>0</v>
      </c>
      <c r="W116" s="118">
        <f t="shared" si="11"/>
        <v>0</v>
      </c>
      <c r="X116" s="116"/>
    </row>
    <row r="117" spans="1:24" ht="36.75" customHeight="1" x14ac:dyDescent="0.25">
      <c r="A117" s="116"/>
      <c r="B117" s="119" t="s">
        <v>136</v>
      </c>
      <c r="C117" s="119" t="s">
        <v>124</v>
      </c>
      <c r="D117" s="276" t="s">
        <v>1220</v>
      </c>
      <c r="E117" s="185"/>
      <c r="F117" s="185"/>
      <c r="G117" s="185"/>
      <c r="H117" s="185"/>
      <c r="I117" s="185"/>
      <c r="J117" s="185"/>
      <c r="K117" s="185"/>
      <c r="L117" s="185"/>
      <c r="M117" s="185"/>
      <c r="N117" s="185"/>
      <c r="O117" s="185"/>
      <c r="P117" s="185"/>
      <c r="Q117" s="185"/>
      <c r="R117" s="185"/>
      <c r="S117" s="185" t="s">
        <v>290</v>
      </c>
      <c r="T117" s="400" t="s">
        <v>611</v>
      </c>
      <c r="U117" s="118">
        <f>П4ВСР!Z97</f>
        <v>138767.67999999999</v>
      </c>
      <c r="V117" s="118">
        <f>П4ВСР!AA97</f>
        <v>0</v>
      </c>
      <c r="W117" s="118">
        <f>П4ВСР!AB97</f>
        <v>0</v>
      </c>
      <c r="X117" s="116"/>
    </row>
    <row r="118" spans="1:24" ht="113.25" customHeight="1" x14ac:dyDescent="0.25">
      <c r="A118" s="116" t="s">
        <v>331</v>
      </c>
      <c r="B118" s="117" t="s">
        <v>136</v>
      </c>
      <c r="C118" s="117" t="s">
        <v>124</v>
      </c>
      <c r="D118" s="119" t="s">
        <v>761</v>
      </c>
      <c r="E118" s="117"/>
      <c r="F118" s="117"/>
      <c r="G118" s="117"/>
      <c r="H118" s="117"/>
      <c r="I118" s="117"/>
      <c r="J118" s="117"/>
      <c r="K118" s="117"/>
      <c r="L118" s="117"/>
      <c r="M118" s="117"/>
      <c r="N118" s="117"/>
      <c r="O118" s="117"/>
      <c r="P118" s="117"/>
      <c r="Q118" s="117"/>
      <c r="R118" s="117"/>
      <c r="S118" s="117"/>
      <c r="T118" s="402" t="s">
        <v>847</v>
      </c>
      <c r="U118" s="118">
        <f>U119</f>
        <v>21929.82</v>
      </c>
      <c r="V118" s="118">
        <f>V119</f>
        <v>21900</v>
      </c>
      <c r="W118" s="118">
        <f>W119</f>
        <v>21900</v>
      </c>
      <c r="X118" s="116" t="s">
        <v>331</v>
      </c>
    </row>
    <row r="119" spans="1:24" ht="68.25" customHeight="1" x14ac:dyDescent="0.25">
      <c r="A119" s="116" t="s">
        <v>332</v>
      </c>
      <c r="B119" s="119" t="s">
        <v>136</v>
      </c>
      <c r="C119" s="119" t="s">
        <v>124</v>
      </c>
      <c r="D119" s="119" t="s">
        <v>761</v>
      </c>
      <c r="E119" s="119"/>
      <c r="F119" s="119"/>
      <c r="G119" s="119"/>
      <c r="H119" s="119"/>
      <c r="I119" s="119"/>
      <c r="J119" s="119"/>
      <c r="K119" s="119"/>
      <c r="L119" s="119"/>
      <c r="M119" s="119"/>
      <c r="N119" s="119"/>
      <c r="O119" s="119"/>
      <c r="P119" s="119"/>
      <c r="Q119" s="119"/>
      <c r="R119" s="119"/>
      <c r="S119" s="119" t="s">
        <v>290</v>
      </c>
      <c r="T119" s="400" t="s">
        <v>760</v>
      </c>
      <c r="U119" s="118">
        <f>П4ВСР!Z99</f>
        <v>21929.82</v>
      </c>
      <c r="V119" s="118">
        <f>П4ВСР!AA99</f>
        <v>21900</v>
      </c>
      <c r="W119" s="118">
        <f>П4ВСР!AB99</f>
        <v>21900</v>
      </c>
      <c r="X119" s="116" t="s">
        <v>332</v>
      </c>
    </row>
    <row r="120" spans="1:24" ht="81" customHeight="1" x14ac:dyDescent="0.25">
      <c r="A120" s="116"/>
      <c r="B120" s="194" t="s">
        <v>136</v>
      </c>
      <c r="C120" s="194" t="s">
        <v>124</v>
      </c>
      <c r="D120" s="195" t="s">
        <v>589</v>
      </c>
      <c r="E120" s="194"/>
      <c r="F120" s="194"/>
      <c r="G120" s="194"/>
      <c r="H120" s="194"/>
      <c r="I120" s="194"/>
      <c r="J120" s="194"/>
      <c r="K120" s="194"/>
      <c r="L120" s="194"/>
      <c r="M120" s="194"/>
      <c r="N120" s="194"/>
      <c r="O120" s="194"/>
      <c r="P120" s="194"/>
      <c r="Q120" s="194"/>
      <c r="R120" s="194"/>
      <c r="S120" s="194"/>
      <c r="T120" s="409" t="s">
        <v>588</v>
      </c>
      <c r="U120" s="118">
        <f>U121</f>
        <v>0</v>
      </c>
      <c r="V120" s="118">
        <f>V121</f>
        <v>50000</v>
      </c>
      <c r="W120" s="118">
        <f>W121</f>
        <v>50000</v>
      </c>
      <c r="X120" s="116"/>
    </row>
    <row r="121" spans="1:24" ht="53.25" customHeight="1" x14ac:dyDescent="0.25">
      <c r="A121" s="116"/>
      <c r="B121" s="194" t="s">
        <v>136</v>
      </c>
      <c r="C121" s="194" t="s">
        <v>124</v>
      </c>
      <c r="D121" s="195" t="s">
        <v>589</v>
      </c>
      <c r="E121" s="194"/>
      <c r="F121" s="194"/>
      <c r="G121" s="194"/>
      <c r="H121" s="194"/>
      <c r="I121" s="194"/>
      <c r="J121" s="194"/>
      <c r="K121" s="194"/>
      <c r="L121" s="194"/>
      <c r="M121" s="194"/>
      <c r="N121" s="194"/>
      <c r="O121" s="194"/>
      <c r="P121" s="194"/>
      <c r="Q121" s="194"/>
      <c r="R121" s="194"/>
      <c r="S121" s="194" t="s">
        <v>244</v>
      </c>
      <c r="T121" s="410" t="s">
        <v>863</v>
      </c>
      <c r="U121" s="118">
        <f>П4ВСР!Z101</f>
        <v>0</v>
      </c>
      <c r="V121" s="118">
        <f>П4ВСР!AA101</f>
        <v>50000</v>
      </c>
      <c r="W121" s="118">
        <f>П4ВСР!AB101</f>
        <v>50000</v>
      </c>
      <c r="X121" s="116"/>
    </row>
    <row r="122" spans="1:24" ht="94.5" hidden="1" customHeight="1" x14ac:dyDescent="0.25">
      <c r="A122" s="224"/>
      <c r="B122" s="194" t="s">
        <v>136</v>
      </c>
      <c r="C122" s="194" t="s">
        <v>124</v>
      </c>
      <c r="D122" s="195" t="s">
        <v>591</v>
      </c>
      <c r="E122" s="194"/>
      <c r="F122" s="194"/>
      <c r="G122" s="194"/>
      <c r="H122" s="194"/>
      <c r="I122" s="194"/>
      <c r="J122" s="194"/>
      <c r="K122" s="194"/>
      <c r="L122" s="194"/>
      <c r="M122" s="194"/>
      <c r="N122" s="194"/>
      <c r="O122" s="194"/>
      <c r="P122" s="194"/>
      <c r="Q122" s="194"/>
      <c r="R122" s="194"/>
      <c r="S122" s="194"/>
      <c r="T122" s="411" t="s">
        <v>590</v>
      </c>
      <c r="U122" s="225">
        <f>U123</f>
        <v>0</v>
      </c>
      <c r="V122" s="118">
        <f>V123</f>
        <v>0</v>
      </c>
      <c r="W122" s="118">
        <f>W123</f>
        <v>0</v>
      </c>
      <c r="X122" s="116"/>
    </row>
    <row r="123" spans="1:24" ht="94.5" hidden="1" customHeight="1" x14ac:dyDescent="0.25">
      <c r="A123" s="224"/>
      <c r="B123" s="194" t="s">
        <v>136</v>
      </c>
      <c r="C123" s="194" t="s">
        <v>124</v>
      </c>
      <c r="D123" s="195" t="s">
        <v>591</v>
      </c>
      <c r="E123" s="194"/>
      <c r="F123" s="194"/>
      <c r="G123" s="194"/>
      <c r="H123" s="194"/>
      <c r="I123" s="194"/>
      <c r="J123" s="194"/>
      <c r="K123" s="194"/>
      <c r="L123" s="194"/>
      <c r="M123" s="194"/>
      <c r="N123" s="194"/>
      <c r="O123" s="194"/>
      <c r="P123" s="194"/>
      <c r="Q123" s="194"/>
      <c r="R123" s="194"/>
      <c r="S123" s="194" t="s">
        <v>244</v>
      </c>
      <c r="T123" s="412" t="s">
        <v>668</v>
      </c>
      <c r="U123" s="225">
        <f>П4ВСР!Z103</f>
        <v>0</v>
      </c>
      <c r="V123" s="118">
        <f>П4ВСР!AA103</f>
        <v>0</v>
      </c>
      <c r="W123" s="118">
        <f>П4ВСР!AB103</f>
        <v>0</v>
      </c>
      <c r="X123" s="116"/>
    </row>
    <row r="124" spans="1:24" ht="24" customHeight="1" x14ac:dyDescent="0.25">
      <c r="A124" s="116" t="s">
        <v>253</v>
      </c>
      <c r="B124" s="226" t="s">
        <v>136</v>
      </c>
      <c r="C124" s="226" t="s">
        <v>125</v>
      </c>
      <c r="D124" s="226"/>
      <c r="E124" s="226"/>
      <c r="F124" s="226"/>
      <c r="G124" s="226"/>
      <c r="H124" s="226"/>
      <c r="I124" s="226"/>
      <c r="J124" s="226"/>
      <c r="K124" s="226"/>
      <c r="L124" s="226"/>
      <c r="M124" s="226"/>
      <c r="N124" s="226"/>
      <c r="O124" s="226"/>
      <c r="P124" s="226"/>
      <c r="Q124" s="226"/>
      <c r="R124" s="226"/>
      <c r="S124" s="226"/>
      <c r="T124" s="413" t="s">
        <v>253</v>
      </c>
      <c r="U124" s="118">
        <f>U125+U127+U129</f>
        <v>50000</v>
      </c>
      <c r="V124" s="118">
        <f>V125+V127</f>
        <v>0</v>
      </c>
      <c r="W124" s="118">
        <f>W125+W127</f>
        <v>0</v>
      </c>
      <c r="X124" s="116" t="s">
        <v>253</v>
      </c>
    </row>
    <row r="125" spans="1:24" s="375" customFormat="1" ht="71.25" customHeight="1" x14ac:dyDescent="0.25">
      <c r="A125" s="265" t="s">
        <v>333</v>
      </c>
      <c r="B125" s="208" t="s">
        <v>136</v>
      </c>
      <c r="C125" s="208" t="s">
        <v>125</v>
      </c>
      <c r="D125" s="276" t="s">
        <v>1050</v>
      </c>
      <c r="E125" s="208"/>
      <c r="F125" s="208"/>
      <c r="G125" s="208"/>
      <c r="H125" s="208"/>
      <c r="I125" s="208"/>
      <c r="J125" s="208"/>
      <c r="K125" s="208"/>
      <c r="L125" s="208"/>
      <c r="M125" s="208"/>
      <c r="N125" s="208"/>
      <c r="O125" s="208"/>
      <c r="P125" s="208"/>
      <c r="Q125" s="208"/>
      <c r="R125" s="208"/>
      <c r="S125" s="208"/>
      <c r="T125" s="402" t="s">
        <v>1051</v>
      </c>
      <c r="U125" s="258">
        <f>U126</f>
        <v>8000</v>
      </c>
      <c r="V125" s="258">
        <f>V126</f>
        <v>0</v>
      </c>
      <c r="W125" s="258">
        <f>W126</f>
        <v>0</v>
      </c>
      <c r="X125" s="265" t="s">
        <v>333</v>
      </c>
    </row>
    <row r="126" spans="1:24" s="375" customFormat="1" ht="39.75" customHeight="1" x14ac:dyDescent="0.25">
      <c r="A126" s="265" t="s">
        <v>334</v>
      </c>
      <c r="B126" s="185" t="s">
        <v>136</v>
      </c>
      <c r="C126" s="185" t="s">
        <v>125</v>
      </c>
      <c r="D126" s="276" t="s">
        <v>1050</v>
      </c>
      <c r="E126" s="185"/>
      <c r="F126" s="185"/>
      <c r="G126" s="185"/>
      <c r="H126" s="185"/>
      <c r="I126" s="185"/>
      <c r="J126" s="185"/>
      <c r="K126" s="185"/>
      <c r="L126" s="185"/>
      <c r="M126" s="185"/>
      <c r="N126" s="185"/>
      <c r="O126" s="185"/>
      <c r="P126" s="185"/>
      <c r="Q126" s="185"/>
      <c r="R126" s="185"/>
      <c r="S126" s="185" t="s">
        <v>290</v>
      </c>
      <c r="T126" s="400" t="s">
        <v>334</v>
      </c>
      <c r="U126" s="258">
        <f>П4ВСР!Z106</f>
        <v>8000</v>
      </c>
      <c r="V126" s="258">
        <f>П4ВСР!AA106</f>
        <v>0</v>
      </c>
      <c r="W126" s="258">
        <f>П4ВСР!AB106</f>
        <v>0</v>
      </c>
      <c r="X126" s="265" t="s">
        <v>334</v>
      </c>
    </row>
    <row r="127" spans="1:24" ht="73.5" customHeight="1" x14ac:dyDescent="0.25">
      <c r="A127" s="116" t="s">
        <v>335</v>
      </c>
      <c r="B127" s="117" t="s">
        <v>136</v>
      </c>
      <c r="C127" s="117" t="s">
        <v>125</v>
      </c>
      <c r="D127" s="276" t="s">
        <v>1089</v>
      </c>
      <c r="E127" s="208"/>
      <c r="F127" s="208"/>
      <c r="G127" s="208"/>
      <c r="H127" s="208"/>
      <c r="I127" s="208"/>
      <c r="J127" s="208"/>
      <c r="K127" s="208"/>
      <c r="L127" s="208"/>
      <c r="M127" s="208"/>
      <c r="N127" s="208"/>
      <c r="O127" s="208"/>
      <c r="P127" s="208"/>
      <c r="Q127" s="208"/>
      <c r="R127" s="208"/>
      <c r="S127" s="208"/>
      <c r="T127" s="402" t="s">
        <v>1090</v>
      </c>
      <c r="U127" s="118">
        <f>U128</f>
        <v>10000</v>
      </c>
      <c r="V127" s="118">
        <f>V128</f>
        <v>0</v>
      </c>
      <c r="W127" s="118">
        <f>W128</f>
        <v>0</v>
      </c>
      <c r="X127" s="116" t="s">
        <v>335</v>
      </c>
    </row>
    <row r="128" spans="1:24" ht="36" customHeight="1" x14ac:dyDescent="0.25">
      <c r="A128" s="116" t="s">
        <v>336</v>
      </c>
      <c r="B128" s="119" t="s">
        <v>136</v>
      </c>
      <c r="C128" s="119" t="s">
        <v>125</v>
      </c>
      <c r="D128" s="276" t="s">
        <v>1089</v>
      </c>
      <c r="E128" s="185"/>
      <c r="F128" s="185"/>
      <c r="G128" s="185"/>
      <c r="H128" s="185"/>
      <c r="I128" s="185"/>
      <c r="J128" s="185"/>
      <c r="K128" s="185"/>
      <c r="L128" s="185"/>
      <c r="M128" s="185"/>
      <c r="N128" s="185"/>
      <c r="O128" s="185"/>
      <c r="P128" s="185"/>
      <c r="Q128" s="185"/>
      <c r="R128" s="185"/>
      <c r="S128" s="185" t="s">
        <v>290</v>
      </c>
      <c r="T128" s="400" t="s">
        <v>611</v>
      </c>
      <c r="U128" s="118">
        <f>П4ВСР!Z108</f>
        <v>10000</v>
      </c>
      <c r="V128" s="118">
        <f>П4ВСР!AA108</f>
        <v>0</v>
      </c>
      <c r="W128" s="118">
        <f>П4ВСР!AB108</f>
        <v>0</v>
      </c>
      <c r="X128" s="116" t="s">
        <v>336</v>
      </c>
    </row>
    <row r="129" spans="1:24" ht="73.5" customHeight="1" x14ac:dyDescent="0.25">
      <c r="A129" s="116"/>
      <c r="B129" s="119" t="s">
        <v>136</v>
      </c>
      <c r="C129" s="119" t="s">
        <v>125</v>
      </c>
      <c r="D129" s="276" t="s">
        <v>1247</v>
      </c>
      <c r="E129" s="185"/>
      <c r="F129" s="185"/>
      <c r="G129" s="185"/>
      <c r="H129" s="185"/>
      <c r="I129" s="185"/>
      <c r="J129" s="185"/>
      <c r="K129" s="185"/>
      <c r="L129" s="185"/>
      <c r="M129" s="185"/>
      <c r="N129" s="185"/>
      <c r="O129" s="185"/>
      <c r="P129" s="185"/>
      <c r="Q129" s="185"/>
      <c r="R129" s="185"/>
      <c r="S129" s="185"/>
      <c r="T129" s="402" t="s">
        <v>1246</v>
      </c>
      <c r="U129" s="118">
        <f>U130</f>
        <v>32000</v>
      </c>
      <c r="V129" s="118">
        <v>0</v>
      </c>
      <c r="W129" s="118">
        <v>0</v>
      </c>
      <c r="X129" s="116"/>
    </row>
    <row r="130" spans="1:24" ht="36" customHeight="1" x14ac:dyDescent="0.25">
      <c r="A130" s="116"/>
      <c r="B130" s="119" t="s">
        <v>136</v>
      </c>
      <c r="C130" s="119" t="s">
        <v>125</v>
      </c>
      <c r="D130" s="276" t="s">
        <v>1247</v>
      </c>
      <c r="E130" s="185"/>
      <c r="F130" s="185"/>
      <c r="G130" s="185"/>
      <c r="H130" s="185"/>
      <c r="I130" s="185"/>
      <c r="J130" s="185"/>
      <c r="K130" s="185"/>
      <c r="L130" s="185"/>
      <c r="M130" s="185"/>
      <c r="N130" s="185"/>
      <c r="O130" s="185"/>
      <c r="P130" s="185"/>
      <c r="Q130" s="185"/>
      <c r="R130" s="185"/>
      <c r="S130" s="185" t="s">
        <v>290</v>
      </c>
      <c r="T130" s="400" t="s">
        <v>611</v>
      </c>
      <c r="U130" s="118">
        <f>П4ВСР!Z110</f>
        <v>32000</v>
      </c>
      <c r="V130" s="118">
        <v>0</v>
      </c>
      <c r="W130" s="118">
        <v>0</v>
      </c>
      <c r="X130" s="116"/>
    </row>
    <row r="131" spans="1:24" ht="18.600000000000001" customHeight="1" x14ac:dyDescent="0.25">
      <c r="A131" s="116" t="s">
        <v>148</v>
      </c>
      <c r="B131" s="117" t="s">
        <v>136</v>
      </c>
      <c r="C131" s="117" t="s">
        <v>126</v>
      </c>
      <c r="D131" s="117"/>
      <c r="E131" s="117"/>
      <c r="F131" s="117"/>
      <c r="G131" s="117"/>
      <c r="H131" s="117"/>
      <c r="I131" s="117"/>
      <c r="J131" s="117"/>
      <c r="K131" s="117"/>
      <c r="L131" s="117"/>
      <c r="M131" s="117"/>
      <c r="N131" s="117"/>
      <c r="O131" s="117"/>
      <c r="P131" s="117"/>
      <c r="Q131" s="117"/>
      <c r="R131" s="117"/>
      <c r="S131" s="117"/>
      <c r="T131" s="397" t="s">
        <v>148</v>
      </c>
      <c r="U131" s="118">
        <f>U132+U134+U138+U140+U142+U144+U148+U150+U152+U136+U146</f>
        <v>5416469.3599999994</v>
      </c>
      <c r="V131" s="118">
        <f>V132+V134+V138+V140+V142+V144+V148+V150</f>
        <v>2350000</v>
      </c>
      <c r="W131" s="118">
        <f>W132+W134+W138+W140+W142+W144+W148+W150</f>
        <v>2350000</v>
      </c>
      <c r="X131" s="116" t="s">
        <v>148</v>
      </c>
    </row>
    <row r="132" spans="1:24" ht="51" customHeight="1" x14ac:dyDescent="0.25">
      <c r="A132" s="116" t="s">
        <v>337</v>
      </c>
      <c r="B132" s="183" t="s">
        <v>136</v>
      </c>
      <c r="C132" s="183" t="s">
        <v>126</v>
      </c>
      <c r="D132" s="183" t="s">
        <v>593</v>
      </c>
      <c r="E132" s="187"/>
      <c r="F132" s="187"/>
      <c r="G132" s="187"/>
      <c r="H132" s="187"/>
      <c r="I132" s="187"/>
      <c r="J132" s="187"/>
      <c r="K132" s="187"/>
      <c r="L132" s="187"/>
      <c r="M132" s="187"/>
      <c r="N132" s="187"/>
      <c r="O132" s="187"/>
      <c r="P132" s="187"/>
      <c r="Q132" s="187"/>
      <c r="R132" s="187"/>
      <c r="S132" s="187"/>
      <c r="T132" s="409" t="s">
        <v>592</v>
      </c>
      <c r="U132" s="118">
        <f>U133</f>
        <v>4085799.91</v>
      </c>
      <c r="V132" s="118">
        <f>V133</f>
        <v>1800000</v>
      </c>
      <c r="W132" s="118">
        <f>W133</f>
        <v>1800000</v>
      </c>
      <c r="X132" s="116" t="s">
        <v>337</v>
      </c>
    </row>
    <row r="133" spans="1:24" ht="39.75" customHeight="1" x14ac:dyDescent="0.25">
      <c r="A133" s="116" t="s">
        <v>338</v>
      </c>
      <c r="B133" s="183" t="s">
        <v>136</v>
      </c>
      <c r="C133" s="183" t="s">
        <v>126</v>
      </c>
      <c r="D133" s="183" t="s">
        <v>593</v>
      </c>
      <c r="E133" s="187"/>
      <c r="F133" s="187"/>
      <c r="G133" s="187"/>
      <c r="H133" s="187"/>
      <c r="I133" s="187"/>
      <c r="J133" s="187"/>
      <c r="K133" s="187"/>
      <c r="L133" s="187"/>
      <c r="M133" s="187"/>
      <c r="N133" s="187"/>
      <c r="O133" s="187"/>
      <c r="P133" s="187"/>
      <c r="Q133" s="187"/>
      <c r="R133" s="187"/>
      <c r="S133" s="183" t="s">
        <v>290</v>
      </c>
      <c r="T133" s="411" t="s">
        <v>669</v>
      </c>
      <c r="U133" s="118">
        <f>П4ВСР!Z113</f>
        <v>4085799.91</v>
      </c>
      <c r="V133" s="118">
        <f>П4ВСР!AA113</f>
        <v>1800000</v>
      </c>
      <c r="W133" s="118">
        <f>П4ВСР!AB113</f>
        <v>1800000</v>
      </c>
      <c r="X133" s="116" t="s">
        <v>338</v>
      </c>
    </row>
    <row r="134" spans="1:24" ht="74.25" customHeight="1" x14ac:dyDescent="0.25">
      <c r="A134" s="116" t="s">
        <v>339</v>
      </c>
      <c r="B134" s="117" t="s">
        <v>136</v>
      </c>
      <c r="C134" s="117" t="s">
        <v>126</v>
      </c>
      <c r="D134" s="183" t="s">
        <v>594</v>
      </c>
      <c r="E134" s="117"/>
      <c r="F134" s="117"/>
      <c r="G134" s="117"/>
      <c r="H134" s="117"/>
      <c r="I134" s="117"/>
      <c r="J134" s="117"/>
      <c r="K134" s="117"/>
      <c r="L134" s="117"/>
      <c r="M134" s="117"/>
      <c r="N134" s="117"/>
      <c r="O134" s="117"/>
      <c r="P134" s="117"/>
      <c r="Q134" s="117"/>
      <c r="R134" s="117"/>
      <c r="S134" s="117"/>
      <c r="T134" s="414" t="s">
        <v>670</v>
      </c>
      <c r="U134" s="118">
        <f>U135</f>
        <v>366972.79</v>
      </c>
      <c r="V134" s="118">
        <f>V135</f>
        <v>0</v>
      </c>
      <c r="W134" s="118">
        <f>W135</f>
        <v>0</v>
      </c>
      <c r="X134" s="116" t="s">
        <v>339</v>
      </c>
    </row>
    <row r="135" spans="1:24" ht="39.75" customHeight="1" x14ac:dyDescent="0.25">
      <c r="A135" s="116" t="s">
        <v>340</v>
      </c>
      <c r="B135" s="119" t="s">
        <v>136</v>
      </c>
      <c r="C135" s="119" t="s">
        <v>126</v>
      </c>
      <c r="D135" s="183" t="s">
        <v>594</v>
      </c>
      <c r="E135" s="119"/>
      <c r="F135" s="119"/>
      <c r="G135" s="119"/>
      <c r="H135" s="119"/>
      <c r="I135" s="119"/>
      <c r="J135" s="119"/>
      <c r="K135" s="119"/>
      <c r="L135" s="119"/>
      <c r="M135" s="119"/>
      <c r="N135" s="119"/>
      <c r="O135" s="119"/>
      <c r="P135" s="119"/>
      <c r="Q135" s="119"/>
      <c r="R135" s="119"/>
      <c r="S135" s="119" t="s">
        <v>290</v>
      </c>
      <c r="T135" s="400" t="s">
        <v>338</v>
      </c>
      <c r="U135" s="118">
        <f>П4ВСР!Z115</f>
        <v>366972.79</v>
      </c>
      <c r="V135" s="118">
        <f>П4ВСР!AA115</f>
        <v>0</v>
      </c>
      <c r="W135" s="118">
        <f>П4ВСР!AB115</f>
        <v>0</v>
      </c>
      <c r="X135" s="116" t="s">
        <v>340</v>
      </c>
    </row>
    <row r="136" spans="1:24" ht="81.75" customHeight="1" x14ac:dyDescent="0.25">
      <c r="A136" s="116"/>
      <c r="B136" s="119" t="s">
        <v>136</v>
      </c>
      <c r="C136" s="119" t="s">
        <v>126</v>
      </c>
      <c r="D136" s="276" t="s">
        <v>1056</v>
      </c>
      <c r="E136" s="119"/>
      <c r="F136" s="119"/>
      <c r="G136" s="119"/>
      <c r="H136" s="119"/>
      <c r="I136" s="119"/>
      <c r="J136" s="119"/>
      <c r="K136" s="119"/>
      <c r="L136" s="119"/>
      <c r="M136" s="119"/>
      <c r="N136" s="119"/>
      <c r="O136" s="119"/>
      <c r="P136" s="119"/>
      <c r="Q136" s="119"/>
      <c r="R136" s="119"/>
      <c r="S136" s="119"/>
      <c r="T136" s="402" t="s">
        <v>1057</v>
      </c>
      <c r="U136" s="118">
        <f>U137</f>
        <v>248277.02000000002</v>
      </c>
      <c r="V136" s="118">
        <v>0</v>
      </c>
      <c r="W136" s="118">
        <v>0</v>
      </c>
      <c r="X136" s="116"/>
    </row>
    <row r="137" spans="1:24" ht="73.5" customHeight="1" x14ac:dyDescent="0.25">
      <c r="A137" s="116"/>
      <c r="B137" s="119" t="s">
        <v>136</v>
      </c>
      <c r="C137" s="119" t="s">
        <v>126</v>
      </c>
      <c r="D137" s="276" t="s">
        <v>1056</v>
      </c>
      <c r="E137" s="119"/>
      <c r="F137" s="119"/>
      <c r="G137" s="119"/>
      <c r="H137" s="119"/>
      <c r="I137" s="119"/>
      <c r="J137" s="119"/>
      <c r="K137" s="119"/>
      <c r="L137" s="119"/>
      <c r="M137" s="119"/>
      <c r="N137" s="119"/>
      <c r="O137" s="119"/>
      <c r="P137" s="119"/>
      <c r="Q137" s="119"/>
      <c r="R137" s="119"/>
      <c r="S137" s="119" t="s">
        <v>290</v>
      </c>
      <c r="T137" s="400" t="s">
        <v>1058</v>
      </c>
      <c r="U137" s="118">
        <f>П4ВСР!Z117</f>
        <v>248277.02000000002</v>
      </c>
      <c r="V137" s="118">
        <v>0</v>
      </c>
      <c r="W137" s="118">
        <v>0</v>
      </c>
      <c r="X137" s="116"/>
    </row>
    <row r="138" spans="1:24" ht="73.5" customHeight="1" x14ac:dyDescent="0.25">
      <c r="A138" s="116" t="s">
        <v>341</v>
      </c>
      <c r="B138" s="117" t="s">
        <v>136</v>
      </c>
      <c r="C138" s="117" t="s">
        <v>126</v>
      </c>
      <c r="D138" s="183" t="s">
        <v>595</v>
      </c>
      <c r="E138" s="117"/>
      <c r="F138" s="117"/>
      <c r="G138" s="117"/>
      <c r="H138" s="117"/>
      <c r="I138" s="117"/>
      <c r="J138" s="117"/>
      <c r="K138" s="117"/>
      <c r="L138" s="117"/>
      <c r="M138" s="117"/>
      <c r="N138" s="117"/>
      <c r="O138" s="117"/>
      <c r="P138" s="117"/>
      <c r="Q138" s="117"/>
      <c r="R138" s="117"/>
      <c r="S138" s="117"/>
      <c r="T138" s="402" t="s">
        <v>671</v>
      </c>
      <c r="U138" s="118">
        <f>U139</f>
        <v>0</v>
      </c>
      <c r="V138" s="118">
        <f>V139</f>
        <v>100000</v>
      </c>
      <c r="W138" s="118">
        <f>W139</f>
        <v>100000</v>
      </c>
      <c r="X138" s="116" t="s">
        <v>341</v>
      </c>
    </row>
    <row r="139" spans="1:24" ht="56.25" customHeight="1" x14ac:dyDescent="0.25">
      <c r="A139" s="116" t="s">
        <v>342</v>
      </c>
      <c r="B139" s="119" t="s">
        <v>136</v>
      </c>
      <c r="C139" s="119" t="s">
        <v>126</v>
      </c>
      <c r="D139" s="183" t="s">
        <v>595</v>
      </c>
      <c r="E139" s="119"/>
      <c r="F139" s="119"/>
      <c r="G139" s="119"/>
      <c r="H139" s="119"/>
      <c r="I139" s="119"/>
      <c r="J139" s="119"/>
      <c r="K139" s="119"/>
      <c r="L139" s="119"/>
      <c r="M139" s="119"/>
      <c r="N139" s="119"/>
      <c r="O139" s="119"/>
      <c r="P139" s="119"/>
      <c r="Q139" s="119"/>
      <c r="R139" s="119"/>
      <c r="S139" s="119" t="s">
        <v>290</v>
      </c>
      <c r="T139" s="400" t="s">
        <v>340</v>
      </c>
      <c r="U139" s="118">
        <f>П4ВСР!Z119</f>
        <v>0</v>
      </c>
      <c r="V139" s="118">
        <f>П4ВСР!AA119</f>
        <v>100000</v>
      </c>
      <c r="W139" s="118">
        <f>П4ВСР!AB119</f>
        <v>100000</v>
      </c>
      <c r="X139" s="116" t="s">
        <v>342</v>
      </c>
    </row>
    <row r="140" spans="1:24" ht="94.5" hidden="1" customHeight="1" x14ac:dyDescent="0.25">
      <c r="A140" s="116" t="s">
        <v>343</v>
      </c>
      <c r="B140" s="117" t="s">
        <v>136</v>
      </c>
      <c r="C140" s="117" t="s">
        <v>126</v>
      </c>
      <c r="D140" s="183" t="s">
        <v>596</v>
      </c>
      <c r="E140" s="117"/>
      <c r="F140" s="117"/>
      <c r="G140" s="117"/>
      <c r="H140" s="117"/>
      <c r="I140" s="117"/>
      <c r="J140" s="117"/>
      <c r="K140" s="117"/>
      <c r="L140" s="117"/>
      <c r="M140" s="117"/>
      <c r="N140" s="117"/>
      <c r="O140" s="117"/>
      <c r="P140" s="117"/>
      <c r="Q140" s="117"/>
      <c r="R140" s="117"/>
      <c r="S140" s="117"/>
      <c r="T140" s="402" t="s">
        <v>672</v>
      </c>
      <c r="U140" s="118">
        <f>U141</f>
        <v>0</v>
      </c>
      <c r="V140" s="118">
        <f>V141</f>
        <v>0</v>
      </c>
      <c r="W140" s="118">
        <f>W141</f>
        <v>0</v>
      </c>
      <c r="X140" s="116" t="s">
        <v>343</v>
      </c>
    </row>
    <row r="141" spans="1:24" ht="299.25" hidden="1" customHeight="1" x14ac:dyDescent="0.25">
      <c r="A141" s="116" t="s">
        <v>344</v>
      </c>
      <c r="B141" s="119" t="s">
        <v>136</v>
      </c>
      <c r="C141" s="119" t="s">
        <v>126</v>
      </c>
      <c r="D141" s="183" t="s">
        <v>596</v>
      </c>
      <c r="E141" s="119"/>
      <c r="F141" s="119"/>
      <c r="G141" s="119"/>
      <c r="H141" s="119"/>
      <c r="I141" s="119"/>
      <c r="J141" s="119"/>
      <c r="K141" s="119"/>
      <c r="L141" s="119"/>
      <c r="M141" s="119"/>
      <c r="N141" s="119"/>
      <c r="O141" s="119"/>
      <c r="P141" s="119"/>
      <c r="Q141" s="119"/>
      <c r="R141" s="119"/>
      <c r="S141" s="119" t="s">
        <v>290</v>
      </c>
      <c r="T141" s="400" t="s">
        <v>342</v>
      </c>
      <c r="U141" s="118">
        <f>П4ВСР!Z121</f>
        <v>0</v>
      </c>
      <c r="V141" s="118">
        <f>П4ВСР!AA121</f>
        <v>0</v>
      </c>
      <c r="W141" s="118">
        <f>П4ВСР!AB121</f>
        <v>0</v>
      </c>
      <c r="X141" s="116" t="s">
        <v>344</v>
      </c>
    </row>
    <row r="142" spans="1:24" ht="57.75" customHeight="1" x14ac:dyDescent="0.25">
      <c r="A142" s="116" t="s">
        <v>345</v>
      </c>
      <c r="B142" s="117" t="s">
        <v>136</v>
      </c>
      <c r="C142" s="117" t="s">
        <v>126</v>
      </c>
      <c r="D142" s="183" t="s">
        <v>597</v>
      </c>
      <c r="E142" s="117"/>
      <c r="F142" s="117"/>
      <c r="G142" s="117"/>
      <c r="H142" s="117"/>
      <c r="I142" s="117"/>
      <c r="J142" s="117"/>
      <c r="K142" s="117"/>
      <c r="L142" s="117"/>
      <c r="M142" s="117"/>
      <c r="N142" s="117"/>
      <c r="O142" s="117"/>
      <c r="P142" s="117"/>
      <c r="Q142" s="117"/>
      <c r="R142" s="117"/>
      <c r="S142" s="117"/>
      <c r="T142" s="402" t="s">
        <v>673</v>
      </c>
      <c r="U142" s="118">
        <f>U143</f>
        <v>260194.72999999998</v>
      </c>
      <c r="V142" s="118">
        <f>V143</f>
        <v>300000</v>
      </c>
      <c r="W142" s="118">
        <f>W143</f>
        <v>300000</v>
      </c>
      <c r="X142" s="116" t="s">
        <v>345</v>
      </c>
    </row>
    <row r="143" spans="1:24" ht="38.25" customHeight="1" x14ac:dyDescent="0.25">
      <c r="A143" s="116" t="s">
        <v>346</v>
      </c>
      <c r="B143" s="185" t="s">
        <v>136</v>
      </c>
      <c r="C143" s="185" t="s">
        <v>126</v>
      </c>
      <c r="D143" s="183" t="s">
        <v>597</v>
      </c>
      <c r="E143" s="185"/>
      <c r="F143" s="185"/>
      <c r="G143" s="185"/>
      <c r="H143" s="185"/>
      <c r="I143" s="185"/>
      <c r="J143" s="185"/>
      <c r="K143" s="185"/>
      <c r="L143" s="185"/>
      <c r="M143" s="185"/>
      <c r="N143" s="185"/>
      <c r="O143" s="185"/>
      <c r="P143" s="185"/>
      <c r="Q143" s="185"/>
      <c r="R143" s="185"/>
      <c r="S143" s="185" t="s">
        <v>290</v>
      </c>
      <c r="T143" s="400" t="s">
        <v>344</v>
      </c>
      <c r="U143" s="118">
        <f>П4ВСР!Z123</f>
        <v>260194.72999999998</v>
      </c>
      <c r="V143" s="118">
        <f>П4ВСР!AA123</f>
        <v>300000</v>
      </c>
      <c r="W143" s="118">
        <f>П4ВСР!AB123</f>
        <v>300000</v>
      </c>
      <c r="X143" s="116" t="s">
        <v>346</v>
      </c>
    </row>
    <row r="144" spans="1:24" ht="69" hidden="1" customHeight="1" x14ac:dyDescent="0.25">
      <c r="A144" s="116" t="s">
        <v>347</v>
      </c>
      <c r="B144" s="208" t="s">
        <v>136</v>
      </c>
      <c r="C144" s="208" t="s">
        <v>126</v>
      </c>
      <c r="D144" s="183" t="s">
        <v>884</v>
      </c>
      <c r="E144" s="208"/>
      <c r="F144" s="208"/>
      <c r="G144" s="208"/>
      <c r="H144" s="208"/>
      <c r="I144" s="208"/>
      <c r="J144" s="208"/>
      <c r="K144" s="208"/>
      <c r="L144" s="208"/>
      <c r="M144" s="208"/>
      <c r="N144" s="208"/>
      <c r="O144" s="208"/>
      <c r="P144" s="208"/>
      <c r="Q144" s="208"/>
      <c r="R144" s="208"/>
      <c r="S144" s="208"/>
      <c r="T144" s="402" t="s">
        <v>882</v>
      </c>
      <c r="U144" s="118">
        <f>U145</f>
        <v>0</v>
      </c>
      <c r="V144" s="118">
        <f>V145</f>
        <v>0</v>
      </c>
      <c r="W144" s="118">
        <f>W145</f>
        <v>0</v>
      </c>
      <c r="X144" s="116" t="s">
        <v>347</v>
      </c>
    </row>
    <row r="145" spans="1:24" ht="47.25" hidden="1" customHeight="1" x14ac:dyDescent="0.25">
      <c r="A145" s="116" t="s">
        <v>348</v>
      </c>
      <c r="B145" s="185" t="s">
        <v>136</v>
      </c>
      <c r="C145" s="185" t="s">
        <v>126</v>
      </c>
      <c r="D145" s="183" t="s">
        <v>884</v>
      </c>
      <c r="E145" s="185"/>
      <c r="F145" s="185"/>
      <c r="G145" s="185"/>
      <c r="H145" s="185"/>
      <c r="I145" s="185"/>
      <c r="J145" s="185"/>
      <c r="K145" s="185"/>
      <c r="L145" s="185"/>
      <c r="M145" s="185"/>
      <c r="N145" s="185"/>
      <c r="O145" s="185"/>
      <c r="P145" s="185"/>
      <c r="Q145" s="185"/>
      <c r="R145" s="185"/>
      <c r="S145" s="185" t="s">
        <v>290</v>
      </c>
      <c r="T145" s="400" t="s">
        <v>883</v>
      </c>
      <c r="U145" s="118">
        <f>П4ВСР!Z125</f>
        <v>0</v>
      </c>
      <c r="V145" s="118">
        <f>П4ВСР!AA125</f>
        <v>0</v>
      </c>
      <c r="W145" s="118">
        <f>П4ВСР!AB125</f>
        <v>0</v>
      </c>
      <c r="X145" s="116" t="s">
        <v>348</v>
      </c>
    </row>
    <row r="146" spans="1:24" ht="57" customHeight="1" x14ac:dyDescent="0.25">
      <c r="A146" s="116"/>
      <c r="B146" s="185" t="s">
        <v>136</v>
      </c>
      <c r="C146" s="185" t="s">
        <v>126</v>
      </c>
      <c r="D146" s="276" t="s">
        <v>1067</v>
      </c>
      <c r="E146" s="185"/>
      <c r="F146" s="185"/>
      <c r="G146" s="185"/>
      <c r="H146" s="185"/>
      <c r="I146" s="185"/>
      <c r="J146" s="185"/>
      <c r="K146" s="185"/>
      <c r="L146" s="185"/>
      <c r="M146" s="185"/>
      <c r="N146" s="185"/>
      <c r="O146" s="185"/>
      <c r="P146" s="185"/>
      <c r="Q146" s="185"/>
      <c r="R146" s="185"/>
      <c r="S146" s="185"/>
      <c r="T146" s="402" t="s">
        <v>1065</v>
      </c>
      <c r="U146" s="118">
        <f>U147</f>
        <v>4050</v>
      </c>
      <c r="V146" s="118">
        <v>0</v>
      </c>
      <c r="W146" s="118">
        <v>0</v>
      </c>
      <c r="X146" s="116"/>
    </row>
    <row r="147" spans="1:24" ht="39.75" customHeight="1" x14ac:dyDescent="0.25">
      <c r="A147" s="116"/>
      <c r="B147" s="185" t="s">
        <v>136</v>
      </c>
      <c r="C147" s="185" t="s">
        <v>126</v>
      </c>
      <c r="D147" s="276" t="s">
        <v>1067</v>
      </c>
      <c r="E147" s="185"/>
      <c r="F147" s="185"/>
      <c r="G147" s="185"/>
      <c r="H147" s="185"/>
      <c r="I147" s="185"/>
      <c r="J147" s="185"/>
      <c r="K147" s="185"/>
      <c r="L147" s="185"/>
      <c r="M147" s="185"/>
      <c r="N147" s="185"/>
      <c r="O147" s="185"/>
      <c r="P147" s="185"/>
      <c r="Q147" s="185"/>
      <c r="R147" s="185"/>
      <c r="S147" s="185" t="s">
        <v>290</v>
      </c>
      <c r="T147" s="402" t="s">
        <v>1066</v>
      </c>
      <c r="U147" s="118">
        <f>П4ВСР!Z127</f>
        <v>4050</v>
      </c>
      <c r="V147" s="118">
        <v>0</v>
      </c>
      <c r="W147" s="118">
        <v>0</v>
      </c>
      <c r="X147" s="116"/>
    </row>
    <row r="148" spans="1:24" ht="62.25" customHeight="1" x14ac:dyDescent="0.25">
      <c r="A148" s="116" t="s">
        <v>349</v>
      </c>
      <c r="B148" s="117" t="s">
        <v>136</v>
      </c>
      <c r="C148" s="117" t="s">
        <v>126</v>
      </c>
      <c r="D148" s="183" t="s">
        <v>598</v>
      </c>
      <c r="E148" s="117"/>
      <c r="F148" s="117"/>
      <c r="G148" s="117"/>
      <c r="H148" s="117"/>
      <c r="I148" s="117"/>
      <c r="J148" s="117"/>
      <c r="K148" s="117"/>
      <c r="L148" s="117"/>
      <c r="M148" s="117"/>
      <c r="N148" s="117"/>
      <c r="O148" s="117"/>
      <c r="P148" s="117"/>
      <c r="Q148" s="117"/>
      <c r="R148" s="117"/>
      <c r="S148" s="117"/>
      <c r="T148" s="402" t="s">
        <v>674</v>
      </c>
      <c r="U148" s="118">
        <f>U149</f>
        <v>332824.90999999997</v>
      </c>
      <c r="V148" s="118">
        <f>V149</f>
        <v>100000</v>
      </c>
      <c r="W148" s="118">
        <f>W149</f>
        <v>100000</v>
      </c>
      <c r="X148" s="116" t="s">
        <v>349</v>
      </c>
    </row>
    <row r="149" spans="1:24" ht="40.5" customHeight="1" x14ac:dyDescent="0.25">
      <c r="A149" s="121" t="s">
        <v>350</v>
      </c>
      <c r="B149" s="119" t="s">
        <v>136</v>
      </c>
      <c r="C149" s="119" t="s">
        <v>126</v>
      </c>
      <c r="D149" s="183" t="s">
        <v>598</v>
      </c>
      <c r="E149" s="119"/>
      <c r="F149" s="119"/>
      <c r="G149" s="119"/>
      <c r="H149" s="119"/>
      <c r="I149" s="119"/>
      <c r="J149" s="119"/>
      <c r="K149" s="119"/>
      <c r="L149" s="119"/>
      <c r="M149" s="119"/>
      <c r="N149" s="119"/>
      <c r="O149" s="119"/>
      <c r="P149" s="119"/>
      <c r="Q149" s="119"/>
      <c r="R149" s="119"/>
      <c r="S149" s="119" t="s">
        <v>290</v>
      </c>
      <c r="T149" s="400" t="s">
        <v>348</v>
      </c>
      <c r="U149" s="118">
        <f>П4ВСР!Z129</f>
        <v>332824.90999999997</v>
      </c>
      <c r="V149" s="118">
        <f>П4ВСР!AA129</f>
        <v>100000</v>
      </c>
      <c r="W149" s="118">
        <f>П4ВСР!AB129</f>
        <v>100000</v>
      </c>
      <c r="X149" s="121" t="s">
        <v>350</v>
      </c>
    </row>
    <row r="150" spans="1:24" ht="102" customHeight="1" x14ac:dyDescent="0.25">
      <c r="A150" s="116" t="s">
        <v>351</v>
      </c>
      <c r="B150" s="117" t="s">
        <v>136</v>
      </c>
      <c r="C150" s="117" t="s">
        <v>126</v>
      </c>
      <c r="D150" s="183" t="s">
        <v>599</v>
      </c>
      <c r="E150" s="117"/>
      <c r="F150" s="117"/>
      <c r="G150" s="117"/>
      <c r="H150" s="117"/>
      <c r="I150" s="117"/>
      <c r="J150" s="117"/>
      <c r="K150" s="117"/>
      <c r="L150" s="117"/>
      <c r="M150" s="117"/>
      <c r="N150" s="117"/>
      <c r="O150" s="117"/>
      <c r="P150" s="117"/>
      <c r="Q150" s="117"/>
      <c r="R150" s="117"/>
      <c r="S150" s="117"/>
      <c r="T150" s="402" t="s">
        <v>675</v>
      </c>
      <c r="U150" s="118">
        <f>U151</f>
        <v>42350</v>
      </c>
      <c r="V150" s="118">
        <f>V151</f>
        <v>50000</v>
      </c>
      <c r="W150" s="118">
        <f>W151</f>
        <v>50000</v>
      </c>
      <c r="X150" s="116" t="s">
        <v>351</v>
      </c>
    </row>
    <row r="151" spans="1:24" ht="64.5" customHeight="1" x14ac:dyDescent="0.25">
      <c r="A151" s="116" t="s">
        <v>352</v>
      </c>
      <c r="B151" s="119" t="s">
        <v>136</v>
      </c>
      <c r="C151" s="119" t="s">
        <v>126</v>
      </c>
      <c r="D151" s="183" t="s">
        <v>599</v>
      </c>
      <c r="E151" s="119"/>
      <c r="F151" s="119"/>
      <c r="G151" s="119"/>
      <c r="H151" s="119"/>
      <c r="I151" s="119"/>
      <c r="J151" s="119"/>
      <c r="K151" s="119"/>
      <c r="L151" s="119"/>
      <c r="M151" s="119"/>
      <c r="N151" s="119"/>
      <c r="O151" s="119"/>
      <c r="P151" s="119"/>
      <c r="Q151" s="119"/>
      <c r="R151" s="119"/>
      <c r="S151" s="119" t="s">
        <v>290</v>
      </c>
      <c r="T151" s="403" t="s">
        <v>350</v>
      </c>
      <c r="U151" s="118">
        <f>П4ВСР!Z131</f>
        <v>42350</v>
      </c>
      <c r="V151" s="118">
        <f>П4ВСР!AA131</f>
        <v>50000</v>
      </c>
      <c r="W151" s="118">
        <f>П4ВСР!AB131</f>
        <v>50000</v>
      </c>
      <c r="X151" s="116" t="s">
        <v>352</v>
      </c>
    </row>
    <row r="152" spans="1:24" ht="70.5" customHeight="1" x14ac:dyDescent="0.25">
      <c r="A152" s="116"/>
      <c r="B152" s="119" t="s">
        <v>136</v>
      </c>
      <c r="C152" s="119" t="s">
        <v>126</v>
      </c>
      <c r="D152" s="276" t="s">
        <v>958</v>
      </c>
      <c r="E152" s="119"/>
      <c r="F152" s="119"/>
      <c r="G152" s="119"/>
      <c r="H152" s="119"/>
      <c r="I152" s="119"/>
      <c r="J152" s="119"/>
      <c r="K152" s="119"/>
      <c r="L152" s="119"/>
      <c r="M152" s="119"/>
      <c r="N152" s="119"/>
      <c r="O152" s="119"/>
      <c r="P152" s="119"/>
      <c r="Q152" s="119"/>
      <c r="R152" s="119"/>
      <c r="S152" s="119"/>
      <c r="T152" s="402" t="s">
        <v>956</v>
      </c>
      <c r="U152" s="118">
        <f>U153</f>
        <v>76000</v>
      </c>
      <c r="V152" s="118">
        <v>0</v>
      </c>
      <c r="W152" s="118">
        <v>0</v>
      </c>
      <c r="X152" s="116"/>
    </row>
    <row r="153" spans="1:24" ht="35.25" customHeight="1" x14ac:dyDescent="0.25">
      <c r="A153" s="116"/>
      <c r="B153" s="119" t="s">
        <v>136</v>
      </c>
      <c r="C153" s="119" t="s">
        <v>126</v>
      </c>
      <c r="D153" s="276" t="s">
        <v>958</v>
      </c>
      <c r="E153" s="119"/>
      <c r="F153" s="119"/>
      <c r="G153" s="119"/>
      <c r="H153" s="119"/>
      <c r="I153" s="119"/>
      <c r="J153" s="119"/>
      <c r="K153" s="119"/>
      <c r="L153" s="119"/>
      <c r="M153" s="119"/>
      <c r="N153" s="119"/>
      <c r="O153" s="119"/>
      <c r="P153" s="119"/>
      <c r="Q153" s="119"/>
      <c r="R153" s="119"/>
      <c r="S153" s="119" t="s">
        <v>290</v>
      </c>
      <c r="T153" s="400" t="s">
        <v>957</v>
      </c>
      <c r="U153" s="118">
        <f>П4ВСР!Z133</f>
        <v>76000</v>
      </c>
      <c r="V153" s="118">
        <v>0</v>
      </c>
      <c r="W153" s="118">
        <v>0</v>
      </c>
      <c r="X153" s="116"/>
    </row>
    <row r="154" spans="1:24" ht="21" customHeight="1" x14ac:dyDescent="0.25">
      <c r="A154" s="116"/>
      <c r="B154" s="207" t="s">
        <v>136</v>
      </c>
      <c r="C154" s="207" t="s">
        <v>127</v>
      </c>
      <c r="D154" s="183"/>
      <c r="E154" s="119"/>
      <c r="F154" s="119"/>
      <c r="G154" s="119"/>
      <c r="H154" s="119"/>
      <c r="I154" s="119"/>
      <c r="J154" s="119"/>
      <c r="K154" s="119"/>
      <c r="L154" s="119"/>
      <c r="M154" s="119"/>
      <c r="N154" s="119"/>
      <c r="O154" s="119"/>
      <c r="P154" s="119"/>
      <c r="Q154" s="119"/>
      <c r="R154" s="119"/>
      <c r="S154" s="119"/>
      <c r="T154" s="415" t="s">
        <v>676</v>
      </c>
      <c r="U154" s="118">
        <f>U155+U157+U161+U159</f>
        <v>34716549.769999996</v>
      </c>
      <c r="V154" s="118">
        <f>V155+V157</f>
        <v>30668922.379999999</v>
      </c>
      <c r="W154" s="118">
        <f>W155+W157</f>
        <v>31440563.449999999</v>
      </c>
      <c r="X154" s="116"/>
    </row>
    <row r="155" spans="1:24" ht="74.25" customHeight="1" x14ac:dyDescent="0.25">
      <c r="A155" s="116"/>
      <c r="B155" s="208" t="s">
        <v>136</v>
      </c>
      <c r="C155" s="208" t="s">
        <v>127</v>
      </c>
      <c r="D155" s="208" t="s">
        <v>600</v>
      </c>
      <c r="E155" s="208"/>
      <c r="F155" s="208"/>
      <c r="G155" s="208"/>
      <c r="H155" s="208"/>
      <c r="I155" s="208"/>
      <c r="J155" s="208"/>
      <c r="K155" s="208"/>
      <c r="L155" s="208"/>
      <c r="M155" s="208"/>
      <c r="N155" s="208"/>
      <c r="O155" s="208"/>
      <c r="P155" s="208"/>
      <c r="Q155" s="208"/>
      <c r="R155" s="208"/>
      <c r="S155" s="208"/>
      <c r="T155" s="402" t="s">
        <v>654</v>
      </c>
      <c r="U155" s="118">
        <f>U156</f>
        <v>22763860.419999998</v>
      </c>
      <c r="V155" s="118">
        <f>V156</f>
        <v>25962761.289999999</v>
      </c>
      <c r="W155" s="118">
        <f>W156</f>
        <v>25962761.289999999</v>
      </c>
      <c r="X155" s="116"/>
    </row>
    <row r="156" spans="1:24" ht="54" customHeight="1" x14ac:dyDescent="0.25">
      <c r="A156" s="116"/>
      <c r="B156" s="185" t="s">
        <v>136</v>
      </c>
      <c r="C156" s="185" t="s">
        <v>127</v>
      </c>
      <c r="D156" s="208" t="s">
        <v>600</v>
      </c>
      <c r="E156" s="185"/>
      <c r="F156" s="185"/>
      <c r="G156" s="185"/>
      <c r="H156" s="185"/>
      <c r="I156" s="185"/>
      <c r="J156" s="185"/>
      <c r="K156" s="185"/>
      <c r="L156" s="185"/>
      <c r="M156" s="185"/>
      <c r="N156" s="185"/>
      <c r="O156" s="185"/>
      <c r="P156" s="185"/>
      <c r="Q156" s="185"/>
      <c r="R156" s="185"/>
      <c r="S156" s="185" t="s">
        <v>290</v>
      </c>
      <c r="T156" s="400" t="s">
        <v>352</v>
      </c>
      <c r="U156" s="118">
        <f>П4ВСР!Z136</f>
        <v>22763860.419999998</v>
      </c>
      <c r="V156" s="118">
        <f>П4ВСР!AA136</f>
        <v>25962761.289999999</v>
      </c>
      <c r="W156" s="118">
        <f>П4ВСР!AB136</f>
        <v>25962761.289999999</v>
      </c>
      <c r="X156" s="116"/>
    </row>
    <row r="157" spans="1:24" ht="81.75" customHeight="1" x14ac:dyDescent="0.25">
      <c r="A157" s="116"/>
      <c r="B157" s="208" t="s">
        <v>136</v>
      </c>
      <c r="C157" s="208" t="s">
        <v>127</v>
      </c>
      <c r="D157" s="208" t="s">
        <v>601</v>
      </c>
      <c r="E157" s="208"/>
      <c r="F157" s="208"/>
      <c r="G157" s="208"/>
      <c r="H157" s="208"/>
      <c r="I157" s="208"/>
      <c r="J157" s="208"/>
      <c r="K157" s="208"/>
      <c r="L157" s="208"/>
      <c r="M157" s="208"/>
      <c r="N157" s="208"/>
      <c r="O157" s="208"/>
      <c r="P157" s="208"/>
      <c r="Q157" s="208"/>
      <c r="R157" s="208"/>
      <c r="S157" s="208"/>
      <c r="T157" s="402" t="s">
        <v>653</v>
      </c>
      <c r="U157" s="118">
        <f>U158</f>
        <v>0</v>
      </c>
      <c r="V157" s="118">
        <f>V158</f>
        <v>4706161.09</v>
      </c>
      <c r="W157" s="118">
        <f>W158</f>
        <v>5477802.1600000001</v>
      </c>
      <c r="X157" s="116"/>
    </row>
    <row r="158" spans="1:24" ht="73.5" customHeight="1" x14ac:dyDescent="0.25">
      <c r="A158" s="116"/>
      <c r="B158" s="185" t="s">
        <v>136</v>
      </c>
      <c r="C158" s="185" t="s">
        <v>127</v>
      </c>
      <c r="D158" s="208" t="s">
        <v>601</v>
      </c>
      <c r="E158" s="185"/>
      <c r="F158" s="185"/>
      <c r="G158" s="185"/>
      <c r="H158" s="185"/>
      <c r="I158" s="185"/>
      <c r="J158" s="185"/>
      <c r="K158" s="185"/>
      <c r="L158" s="185"/>
      <c r="M158" s="185"/>
      <c r="N158" s="185"/>
      <c r="O158" s="185"/>
      <c r="P158" s="185"/>
      <c r="Q158" s="185"/>
      <c r="R158" s="185"/>
      <c r="S158" s="185" t="s">
        <v>290</v>
      </c>
      <c r="T158" s="400" t="s">
        <v>355</v>
      </c>
      <c r="U158" s="118">
        <f>П4ВСР!Z138</f>
        <v>0</v>
      </c>
      <c r="V158" s="118">
        <f>П4ВСР!AA138</f>
        <v>4706161.09</v>
      </c>
      <c r="W158" s="118">
        <f>П4ВСР!AB138</f>
        <v>5477802.1600000001</v>
      </c>
      <c r="X158" s="116"/>
    </row>
    <row r="159" spans="1:24" ht="80.25" customHeight="1" x14ac:dyDescent="0.25">
      <c r="A159" s="116"/>
      <c r="B159" s="185" t="s">
        <v>136</v>
      </c>
      <c r="C159" s="185" t="s">
        <v>127</v>
      </c>
      <c r="D159" s="208" t="s">
        <v>601</v>
      </c>
      <c r="E159" s="185"/>
      <c r="F159" s="185"/>
      <c r="G159" s="185"/>
      <c r="H159" s="185"/>
      <c r="I159" s="185"/>
      <c r="J159" s="185"/>
      <c r="K159" s="185"/>
      <c r="L159" s="185"/>
      <c r="M159" s="185"/>
      <c r="N159" s="185"/>
      <c r="O159" s="185"/>
      <c r="P159" s="185"/>
      <c r="Q159" s="185"/>
      <c r="R159" s="185"/>
      <c r="S159" s="185"/>
      <c r="T159" s="402" t="s">
        <v>653</v>
      </c>
      <c r="U159" s="118">
        <f>U160</f>
        <v>6484000</v>
      </c>
      <c r="V159" s="118">
        <v>0</v>
      </c>
      <c r="W159" s="118">
        <v>0</v>
      </c>
      <c r="X159" s="116"/>
    </row>
    <row r="160" spans="1:24" ht="21" customHeight="1" x14ac:dyDescent="0.25">
      <c r="A160" s="116"/>
      <c r="B160" s="185" t="s">
        <v>136</v>
      </c>
      <c r="C160" s="185" t="s">
        <v>127</v>
      </c>
      <c r="D160" s="208" t="s">
        <v>601</v>
      </c>
      <c r="E160" s="185"/>
      <c r="F160" s="185"/>
      <c r="G160" s="185"/>
      <c r="H160" s="185"/>
      <c r="I160" s="185"/>
      <c r="J160" s="185"/>
      <c r="K160" s="185"/>
      <c r="L160" s="185"/>
      <c r="M160" s="185"/>
      <c r="N160" s="185"/>
      <c r="O160" s="185"/>
      <c r="P160" s="185"/>
      <c r="Q160" s="185"/>
      <c r="R160" s="185"/>
      <c r="S160" s="185" t="s">
        <v>443</v>
      </c>
      <c r="T160" s="402" t="s">
        <v>918</v>
      </c>
      <c r="U160" s="118">
        <f>П4ВСР!Z289</f>
        <v>6484000</v>
      </c>
      <c r="V160" s="118">
        <v>0</v>
      </c>
      <c r="W160" s="118">
        <v>0</v>
      </c>
      <c r="X160" s="116"/>
    </row>
    <row r="161" spans="1:24" ht="99.75" customHeight="1" x14ac:dyDescent="0.25">
      <c r="A161" s="116"/>
      <c r="B161" s="185" t="s">
        <v>136</v>
      </c>
      <c r="C161" s="185" t="s">
        <v>127</v>
      </c>
      <c r="D161" s="208" t="s">
        <v>933</v>
      </c>
      <c r="E161" s="185"/>
      <c r="F161" s="185"/>
      <c r="G161" s="185"/>
      <c r="H161" s="185"/>
      <c r="I161" s="185"/>
      <c r="J161" s="185"/>
      <c r="K161" s="185"/>
      <c r="L161" s="185"/>
      <c r="M161" s="185"/>
      <c r="N161" s="185"/>
      <c r="O161" s="185"/>
      <c r="P161" s="185"/>
      <c r="Q161" s="185"/>
      <c r="R161" s="185"/>
      <c r="S161" s="185"/>
      <c r="T161" s="416" t="s">
        <v>934</v>
      </c>
      <c r="U161" s="118">
        <f>U162</f>
        <v>5468689.3500000006</v>
      </c>
      <c r="V161" s="118">
        <v>0</v>
      </c>
      <c r="W161" s="118">
        <v>0</v>
      </c>
      <c r="X161" s="116"/>
    </row>
    <row r="162" spans="1:24" ht="81.75" customHeight="1" x14ac:dyDescent="0.25">
      <c r="A162" s="116"/>
      <c r="B162" s="185" t="s">
        <v>136</v>
      </c>
      <c r="C162" s="185" t="s">
        <v>127</v>
      </c>
      <c r="D162" s="208" t="s">
        <v>933</v>
      </c>
      <c r="E162" s="185"/>
      <c r="F162" s="185"/>
      <c r="G162" s="185"/>
      <c r="H162" s="185"/>
      <c r="I162" s="185"/>
      <c r="J162" s="185"/>
      <c r="K162" s="185"/>
      <c r="L162" s="185"/>
      <c r="M162" s="185"/>
      <c r="N162" s="185"/>
      <c r="O162" s="185"/>
      <c r="P162" s="185"/>
      <c r="Q162" s="185"/>
      <c r="R162" s="185"/>
      <c r="S162" s="185" t="s">
        <v>290</v>
      </c>
      <c r="T162" s="417" t="s">
        <v>935</v>
      </c>
      <c r="U162" s="118">
        <f>П4ВСР!Z140</f>
        <v>5468689.3500000006</v>
      </c>
      <c r="V162" s="118">
        <v>0</v>
      </c>
      <c r="W162" s="118">
        <v>0</v>
      </c>
      <c r="X162" s="116"/>
    </row>
    <row r="163" spans="1:24" ht="24" customHeight="1" x14ac:dyDescent="0.25">
      <c r="A163" s="116" t="s">
        <v>149</v>
      </c>
      <c r="B163" s="117" t="s">
        <v>136</v>
      </c>
      <c r="C163" s="117" t="s">
        <v>129</v>
      </c>
      <c r="D163" s="117"/>
      <c r="E163" s="117"/>
      <c r="F163" s="117"/>
      <c r="G163" s="117"/>
      <c r="H163" s="117"/>
      <c r="I163" s="117"/>
      <c r="J163" s="117"/>
      <c r="K163" s="117"/>
      <c r="L163" s="117"/>
      <c r="M163" s="117"/>
      <c r="N163" s="117"/>
      <c r="O163" s="117"/>
      <c r="P163" s="117"/>
      <c r="Q163" s="117"/>
      <c r="R163" s="117"/>
      <c r="S163" s="117"/>
      <c r="T163" s="397" t="s">
        <v>149</v>
      </c>
      <c r="U163" s="118">
        <f>U166+U168+U170+U172+U164</f>
        <v>1654177.54</v>
      </c>
      <c r="V163" s="118">
        <f>V166+V168+V170</f>
        <v>200000</v>
      </c>
      <c r="W163" s="118">
        <f>W166+W168+W170</f>
        <v>200000</v>
      </c>
      <c r="X163" s="116" t="s">
        <v>149</v>
      </c>
    </row>
    <row r="164" spans="1:24" ht="66" customHeight="1" x14ac:dyDescent="0.25">
      <c r="A164" s="116"/>
      <c r="B164" s="117" t="s">
        <v>136</v>
      </c>
      <c r="C164" s="117" t="s">
        <v>129</v>
      </c>
      <c r="D164" s="117" t="s">
        <v>1087</v>
      </c>
      <c r="E164" s="117"/>
      <c r="F164" s="117"/>
      <c r="G164" s="117"/>
      <c r="H164" s="117"/>
      <c r="I164" s="117"/>
      <c r="J164" s="117"/>
      <c r="K164" s="117"/>
      <c r="L164" s="117"/>
      <c r="M164" s="117"/>
      <c r="N164" s="117"/>
      <c r="O164" s="117"/>
      <c r="P164" s="117"/>
      <c r="Q164" s="117"/>
      <c r="R164" s="117"/>
      <c r="S164" s="117"/>
      <c r="T164" s="402" t="s">
        <v>1086</v>
      </c>
      <c r="U164" s="118">
        <f>U165</f>
        <v>350000</v>
      </c>
      <c r="V164" s="118">
        <v>0</v>
      </c>
      <c r="W164" s="118">
        <v>0</v>
      </c>
      <c r="X164" s="116"/>
    </row>
    <row r="165" spans="1:24" ht="15.75" x14ac:dyDescent="0.25">
      <c r="A165" s="116"/>
      <c r="B165" s="117" t="s">
        <v>136</v>
      </c>
      <c r="C165" s="117" t="s">
        <v>129</v>
      </c>
      <c r="D165" s="117" t="s">
        <v>1087</v>
      </c>
      <c r="E165" s="117"/>
      <c r="F165" s="117"/>
      <c r="G165" s="117"/>
      <c r="H165" s="117"/>
      <c r="I165" s="117"/>
      <c r="J165" s="117"/>
      <c r="K165" s="117"/>
      <c r="L165" s="117"/>
      <c r="M165" s="117"/>
      <c r="N165" s="117"/>
      <c r="O165" s="117"/>
      <c r="P165" s="117"/>
      <c r="Q165" s="117"/>
      <c r="R165" s="117"/>
      <c r="S165" s="117" t="s">
        <v>443</v>
      </c>
      <c r="T165" s="402" t="s">
        <v>918</v>
      </c>
      <c r="U165" s="118">
        <f>П4ВСР!Z297</f>
        <v>350000</v>
      </c>
      <c r="V165" s="118">
        <v>0</v>
      </c>
      <c r="W165" s="118">
        <v>0</v>
      </c>
      <c r="X165" s="116"/>
    </row>
    <row r="166" spans="1:24" ht="68.25" customHeight="1" x14ac:dyDescent="0.25">
      <c r="A166" s="116" t="s">
        <v>356</v>
      </c>
      <c r="B166" s="117" t="s">
        <v>136</v>
      </c>
      <c r="C166" s="117" t="s">
        <v>129</v>
      </c>
      <c r="D166" s="183" t="s">
        <v>602</v>
      </c>
      <c r="E166" s="117"/>
      <c r="F166" s="117"/>
      <c r="G166" s="117"/>
      <c r="H166" s="117"/>
      <c r="I166" s="117"/>
      <c r="J166" s="117"/>
      <c r="K166" s="117"/>
      <c r="L166" s="117"/>
      <c r="M166" s="117"/>
      <c r="N166" s="117"/>
      <c r="O166" s="117"/>
      <c r="P166" s="117"/>
      <c r="Q166" s="117"/>
      <c r="R166" s="117"/>
      <c r="S166" s="117"/>
      <c r="T166" s="402" t="s">
        <v>652</v>
      </c>
      <c r="U166" s="118">
        <f>U167</f>
        <v>350000</v>
      </c>
      <c r="V166" s="118">
        <f>V167</f>
        <v>50000</v>
      </c>
      <c r="W166" s="118">
        <f>W167</f>
        <v>50000</v>
      </c>
      <c r="X166" s="116" t="s">
        <v>356</v>
      </c>
    </row>
    <row r="167" spans="1:24" ht="33.75" customHeight="1" x14ac:dyDescent="0.25">
      <c r="A167" s="116" t="s">
        <v>357</v>
      </c>
      <c r="B167" s="119" t="s">
        <v>136</v>
      </c>
      <c r="C167" s="119" t="s">
        <v>129</v>
      </c>
      <c r="D167" s="183" t="s">
        <v>602</v>
      </c>
      <c r="E167" s="119"/>
      <c r="F167" s="119"/>
      <c r="G167" s="119"/>
      <c r="H167" s="119"/>
      <c r="I167" s="119"/>
      <c r="J167" s="119"/>
      <c r="K167" s="119"/>
      <c r="L167" s="119"/>
      <c r="M167" s="119"/>
      <c r="N167" s="119"/>
      <c r="O167" s="119"/>
      <c r="P167" s="119"/>
      <c r="Q167" s="119"/>
      <c r="R167" s="119"/>
      <c r="S167" s="213" t="s">
        <v>244</v>
      </c>
      <c r="T167" s="400" t="s">
        <v>864</v>
      </c>
      <c r="U167" s="118">
        <f>П4ВСР!Z143</f>
        <v>350000</v>
      </c>
      <c r="V167" s="118">
        <f>П4ВСР!AA143</f>
        <v>50000</v>
      </c>
      <c r="W167" s="118">
        <f>П4ВСР!AB143</f>
        <v>50000</v>
      </c>
      <c r="X167" s="116" t="s">
        <v>357</v>
      </c>
    </row>
    <row r="168" spans="1:24" ht="104.25" customHeight="1" x14ac:dyDescent="0.25">
      <c r="A168" s="116" t="s">
        <v>358</v>
      </c>
      <c r="B168" s="117" t="s">
        <v>136</v>
      </c>
      <c r="C168" s="117" t="s">
        <v>129</v>
      </c>
      <c r="D168" s="183" t="s">
        <v>603</v>
      </c>
      <c r="E168" s="117"/>
      <c r="F168" s="117"/>
      <c r="G168" s="117"/>
      <c r="H168" s="117"/>
      <c r="I168" s="117"/>
      <c r="J168" s="117"/>
      <c r="K168" s="117"/>
      <c r="L168" s="117"/>
      <c r="M168" s="117"/>
      <c r="N168" s="117"/>
      <c r="O168" s="117"/>
      <c r="P168" s="117"/>
      <c r="Q168" s="117"/>
      <c r="R168" s="117"/>
      <c r="S168" s="117"/>
      <c r="T168" s="402" t="s">
        <v>651</v>
      </c>
      <c r="U168" s="118">
        <f>U169</f>
        <v>553000</v>
      </c>
      <c r="V168" s="118">
        <f>V169</f>
        <v>100000</v>
      </c>
      <c r="W168" s="118">
        <f>W169</f>
        <v>100000</v>
      </c>
      <c r="X168" s="116" t="s">
        <v>358</v>
      </c>
    </row>
    <row r="169" spans="1:24" ht="64.5" customHeight="1" x14ac:dyDescent="0.25">
      <c r="A169" s="121" t="s">
        <v>359</v>
      </c>
      <c r="B169" s="119" t="s">
        <v>136</v>
      </c>
      <c r="C169" s="119" t="s">
        <v>129</v>
      </c>
      <c r="D169" s="183" t="s">
        <v>603</v>
      </c>
      <c r="E169" s="119"/>
      <c r="F169" s="119"/>
      <c r="G169" s="119"/>
      <c r="H169" s="119"/>
      <c r="I169" s="119"/>
      <c r="J169" s="119"/>
      <c r="K169" s="119"/>
      <c r="L169" s="119"/>
      <c r="M169" s="119"/>
      <c r="N169" s="119"/>
      <c r="O169" s="119"/>
      <c r="P169" s="119"/>
      <c r="Q169" s="119"/>
      <c r="R169" s="119"/>
      <c r="S169" s="213" t="s">
        <v>244</v>
      </c>
      <c r="T169" s="403" t="s">
        <v>865</v>
      </c>
      <c r="U169" s="118">
        <f>П4ВСР!Z145</f>
        <v>553000</v>
      </c>
      <c r="V169" s="118">
        <f>П4ВСР!AA145</f>
        <v>100000</v>
      </c>
      <c r="W169" s="118">
        <f>П4ВСР!AB145</f>
        <v>100000</v>
      </c>
      <c r="X169" s="121" t="s">
        <v>359</v>
      </c>
    </row>
    <row r="170" spans="1:24" ht="72.75" customHeight="1" x14ac:dyDescent="0.25">
      <c r="A170" s="116" t="s">
        <v>360</v>
      </c>
      <c r="B170" s="117" t="s">
        <v>136</v>
      </c>
      <c r="C170" s="117" t="s">
        <v>129</v>
      </c>
      <c r="D170" s="183" t="s">
        <v>604</v>
      </c>
      <c r="E170" s="117"/>
      <c r="F170" s="117"/>
      <c r="G170" s="117"/>
      <c r="H170" s="117"/>
      <c r="I170" s="117"/>
      <c r="J170" s="117"/>
      <c r="K170" s="117"/>
      <c r="L170" s="117"/>
      <c r="M170" s="117"/>
      <c r="N170" s="117"/>
      <c r="O170" s="117"/>
      <c r="P170" s="117"/>
      <c r="Q170" s="117"/>
      <c r="R170" s="117"/>
      <c r="S170" s="117"/>
      <c r="T170" s="402" t="s">
        <v>650</v>
      </c>
      <c r="U170" s="118">
        <f>U171</f>
        <v>13148.5</v>
      </c>
      <c r="V170" s="118">
        <f>V171</f>
        <v>50000</v>
      </c>
      <c r="W170" s="118">
        <f>W171</f>
        <v>50000</v>
      </c>
      <c r="X170" s="116" t="s">
        <v>360</v>
      </c>
    </row>
    <row r="171" spans="1:24" ht="51.75" customHeight="1" x14ac:dyDescent="0.25">
      <c r="A171" s="116" t="s">
        <v>361</v>
      </c>
      <c r="B171" s="119" t="s">
        <v>136</v>
      </c>
      <c r="C171" s="119" t="s">
        <v>129</v>
      </c>
      <c r="D171" s="183" t="s">
        <v>604</v>
      </c>
      <c r="E171" s="119"/>
      <c r="F171" s="119"/>
      <c r="G171" s="119"/>
      <c r="H171" s="119"/>
      <c r="I171" s="119"/>
      <c r="J171" s="119"/>
      <c r="K171" s="119"/>
      <c r="L171" s="119"/>
      <c r="M171" s="119"/>
      <c r="N171" s="119"/>
      <c r="O171" s="119"/>
      <c r="P171" s="119"/>
      <c r="Q171" s="119"/>
      <c r="R171" s="119"/>
      <c r="S171" s="119" t="s">
        <v>290</v>
      </c>
      <c r="T171" s="400" t="s">
        <v>361</v>
      </c>
      <c r="U171" s="118">
        <f>П4ВСР!Z147</f>
        <v>13148.5</v>
      </c>
      <c r="V171" s="118">
        <f>П4ВСР!AA147</f>
        <v>50000</v>
      </c>
      <c r="W171" s="118">
        <f>П4ВСР!AB147</f>
        <v>50000</v>
      </c>
      <c r="X171" s="116" t="s">
        <v>361</v>
      </c>
    </row>
    <row r="172" spans="1:24" ht="63.75" customHeight="1" x14ac:dyDescent="0.25">
      <c r="A172" s="116"/>
      <c r="B172" s="185" t="s">
        <v>136</v>
      </c>
      <c r="C172" s="185" t="s">
        <v>129</v>
      </c>
      <c r="D172" s="276" t="s">
        <v>1061</v>
      </c>
      <c r="E172" s="185"/>
      <c r="F172" s="185"/>
      <c r="G172" s="185"/>
      <c r="H172" s="185"/>
      <c r="I172" s="185"/>
      <c r="J172" s="185"/>
      <c r="K172" s="185"/>
      <c r="L172" s="185"/>
      <c r="M172" s="185"/>
      <c r="N172" s="185"/>
      <c r="O172" s="185"/>
      <c r="P172" s="185"/>
      <c r="Q172" s="185"/>
      <c r="R172" s="185"/>
      <c r="S172" s="185"/>
      <c r="T172" s="400" t="s">
        <v>1062</v>
      </c>
      <c r="U172" s="118">
        <f>U173</f>
        <v>388029.04000000004</v>
      </c>
      <c r="V172" s="118">
        <f t="shared" ref="V172:W172" si="12">V173</f>
        <v>0</v>
      </c>
      <c r="W172" s="118">
        <f t="shared" si="12"/>
        <v>0</v>
      </c>
      <c r="X172" s="116"/>
    </row>
    <row r="173" spans="1:24" ht="50.25" customHeight="1" x14ac:dyDescent="0.25">
      <c r="A173" s="116"/>
      <c r="B173" s="185" t="s">
        <v>136</v>
      </c>
      <c r="C173" s="185" t="s">
        <v>129</v>
      </c>
      <c r="D173" s="276" t="s">
        <v>1061</v>
      </c>
      <c r="E173" s="185"/>
      <c r="F173" s="185"/>
      <c r="G173" s="185"/>
      <c r="H173" s="185"/>
      <c r="I173" s="185"/>
      <c r="J173" s="185"/>
      <c r="K173" s="185"/>
      <c r="L173" s="185"/>
      <c r="M173" s="185"/>
      <c r="N173" s="185"/>
      <c r="O173" s="185"/>
      <c r="P173" s="185"/>
      <c r="Q173" s="185"/>
      <c r="R173" s="185"/>
      <c r="S173" s="185" t="s">
        <v>290</v>
      </c>
      <c r="T173" s="400" t="s">
        <v>1063</v>
      </c>
      <c r="U173" s="118">
        <f>П4ВСР!Z149</f>
        <v>388029.04000000004</v>
      </c>
      <c r="V173" s="118">
        <f>П4ВСР!AA149</f>
        <v>0</v>
      </c>
      <c r="W173" s="118">
        <f>П4ВСР!AB149</f>
        <v>0</v>
      </c>
      <c r="X173" s="116"/>
    </row>
    <row r="174" spans="1:24" ht="18.75" customHeight="1" x14ac:dyDescent="0.25">
      <c r="A174" s="114" t="s">
        <v>363</v>
      </c>
      <c r="B174" s="123" t="s">
        <v>124</v>
      </c>
      <c r="C174" s="123" t="s">
        <v>133</v>
      </c>
      <c r="D174" s="123"/>
      <c r="E174" s="123"/>
      <c r="F174" s="123"/>
      <c r="G174" s="123"/>
      <c r="H174" s="123"/>
      <c r="I174" s="123"/>
      <c r="J174" s="123"/>
      <c r="K174" s="123"/>
      <c r="L174" s="123"/>
      <c r="M174" s="123"/>
      <c r="N174" s="123"/>
      <c r="O174" s="123"/>
      <c r="P174" s="123"/>
      <c r="Q174" s="123"/>
      <c r="R174" s="123"/>
      <c r="S174" s="123"/>
      <c r="T174" s="395" t="s">
        <v>363</v>
      </c>
      <c r="U174" s="115">
        <f>U175+U186+U195</f>
        <v>439650483.57000005</v>
      </c>
      <c r="V174" s="115">
        <f>V175+V186+V195</f>
        <v>92637190</v>
      </c>
      <c r="W174" s="115">
        <f>W175+W186+W195</f>
        <v>88907200</v>
      </c>
      <c r="X174" s="114" t="s">
        <v>363</v>
      </c>
    </row>
    <row r="175" spans="1:24" ht="18.600000000000001" customHeight="1" x14ac:dyDescent="0.25">
      <c r="A175" s="116" t="s">
        <v>150</v>
      </c>
      <c r="B175" s="117" t="s">
        <v>124</v>
      </c>
      <c r="C175" s="117" t="s">
        <v>122</v>
      </c>
      <c r="D175" s="117"/>
      <c r="E175" s="117"/>
      <c r="F175" s="117"/>
      <c r="G175" s="117"/>
      <c r="H175" s="117"/>
      <c r="I175" s="117"/>
      <c r="J175" s="117"/>
      <c r="K175" s="117"/>
      <c r="L175" s="117"/>
      <c r="M175" s="117"/>
      <c r="N175" s="117"/>
      <c r="O175" s="117"/>
      <c r="P175" s="117"/>
      <c r="Q175" s="117"/>
      <c r="R175" s="117"/>
      <c r="S175" s="117"/>
      <c r="T175" s="397" t="s">
        <v>150</v>
      </c>
      <c r="U175" s="118">
        <f>U178+U180+U184+U176+U182</f>
        <v>326772793.04000002</v>
      </c>
      <c r="V175" s="118">
        <f>V178+V180+V184+V176+V182</f>
        <v>3400000</v>
      </c>
      <c r="W175" s="118" t="b">
        <f>+W182=W178+W180+W184+W176</f>
        <v>0</v>
      </c>
      <c r="X175" s="116" t="s">
        <v>150</v>
      </c>
    </row>
    <row r="176" spans="1:24" ht="83.25" customHeight="1" x14ac:dyDescent="0.25">
      <c r="A176" s="116"/>
      <c r="B176" s="212" t="s">
        <v>124</v>
      </c>
      <c r="C176" s="212" t="s">
        <v>122</v>
      </c>
      <c r="D176" s="208" t="s">
        <v>880</v>
      </c>
      <c r="E176" s="117"/>
      <c r="F176" s="117"/>
      <c r="G176" s="117"/>
      <c r="H176" s="117"/>
      <c r="I176" s="117"/>
      <c r="J176" s="117"/>
      <c r="K176" s="117"/>
      <c r="L176" s="117"/>
      <c r="M176" s="117"/>
      <c r="N176" s="117"/>
      <c r="O176" s="117"/>
      <c r="P176" s="117"/>
      <c r="Q176" s="117"/>
      <c r="R176" s="117"/>
      <c r="S176" s="117"/>
      <c r="T176" s="281" t="s">
        <v>878</v>
      </c>
      <c r="U176" s="118">
        <f>U177</f>
        <v>700000</v>
      </c>
      <c r="V176" s="118">
        <f>V177</f>
        <v>0</v>
      </c>
      <c r="W176" s="118">
        <f>W177</f>
        <v>0</v>
      </c>
      <c r="X176" s="116"/>
    </row>
    <row r="177" spans="1:24" ht="51.75" customHeight="1" x14ac:dyDescent="0.25">
      <c r="A177" s="116"/>
      <c r="B177" s="212" t="s">
        <v>124</v>
      </c>
      <c r="C177" s="212" t="s">
        <v>122</v>
      </c>
      <c r="D177" s="208" t="s">
        <v>880</v>
      </c>
      <c r="E177" s="117"/>
      <c r="F177" s="117"/>
      <c r="G177" s="117"/>
      <c r="H177" s="117"/>
      <c r="I177" s="117"/>
      <c r="J177" s="117"/>
      <c r="K177" s="117"/>
      <c r="L177" s="117"/>
      <c r="M177" s="117"/>
      <c r="N177" s="117"/>
      <c r="O177" s="117"/>
      <c r="P177" s="117"/>
      <c r="Q177" s="117"/>
      <c r="R177" s="117"/>
      <c r="S177" s="212" t="s">
        <v>290</v>
      </c>
      <c r="T177" s="402" t="s">
        <v>879</v>
      </c>
      <c r="U177" s="118">
        <f>П4ВСР!Z153+П4ВСР!Z302</f>
        <v>700000</v>
      </c>
      <c r="V177" s="118">
        <f>П4ВСР!AA153</f>
        <v>0</v>
      </c>
      <c r="W177" s="118">
        <f>П4ВСР!AB153</f>
        <v>0</v>
      </c>
      <c r="X177" s="116"/>
    </row>
    <row r="178" spans="1:24" ht="93" hidden="1" customHeight="1" x14ac:dyDescent="0.25">
      <c r="A178" s="116" t="s">
        <v>364</v>
      </c>
      <c r="B178" s="117" t="s">
        <v>124</v>
      </c>
      <c r="C178" s="117" t="s">
        <v>122</v>
      </c>
      <c r="D178" s="196" t="s">
        <v>605</v>
      </c>
      <c r="E178" s="117"/>
      <c r="F178" s="117"/>
      <c r="G178" s="117"/>
      <c r="H178" s="117"/>
      <c r="I178" s="117"/>
      <c r="J178" s="117"/>
      <c r="K178" s="117"/>
      <c r="L178" s="117"/>
      <c r="M178" s="117"/>
      <c r="N178" s="117"/>
      <c r="O178" s="117"/>
      <c r="P178" s="117"/>
      <c r="Q178" s="117"/>
      <c r="R178" s="117"/>
      <c r="S178" s="117"/>
      <c r="T178" s="402" t="s">
        <v>677</v>
      </c>
      <c r="U178" s="118">
        <f>U179</f>
        <v>0</v>
      </c>
      <c r="V178" s="118">
        <f>V179</f>
        <v>0</v>
      </c>
      <c r="W178" s="118">
        <f>W179</f>
        <v>0</v>
      </c>
      <c r="X178" s="116" t="s">
        <v>364</v>
      </c>
    </row>
    <row r="179" spans="1:24" ht="88.5" hidden="1" customHeight="1" x14ac:dyDescent="0.25">
      <c r="A179" s="116" t="s">
        <v>365</v>
      </c>
      <c r="B179" s="119" t="s">
        <v>124</v>
      </c>
      <c r="C179" s="338" t="s">
        <v>122</v>
      </c>
      <c r="D179" s="195" t="s">
        <v>605</v>
      </c>
      <c r="E179" s="341"/>
      <c r="F179" s="119"/>
      <c r="G179" s="119"/>
      <c r="H179" s="119"/>
      <c r="I179" s="119"/>
      <c r="J179" s="119"/>
      <c r="K179" s="119"/>
      <c r="L179" s="119"/>
      <c r="M179" s="119"/>
      <c r="N179" s="119"/>
      <c r="O179" s="119"/>
      <c r="P179" s="119"/>
      <c r="Q179" s="119"/>
      <c r="R179" s="119"/>
      <c r="S179" s="119" t="s">
        <v>366</v>
      </c>
      <c r="T179" s="418" t="s">
        <v>365</v>
      </c>
      <c r="U179" s="118">
        <f>П4ВСР!Z155</f>
        <v>0</v>
      </c>
      <c r="V179" s="118">
        <f>П4ВСР!AA155</f>
        <v>0</v>
      </c>
      <c r="W179" s="118">
        <f>П4ВСР!AB155</f>
        <v>0</v>
      </c>
      <c r="X179" s="116" t="s">
        <v>365</v>
      </c>
    </row>
    <row r="180" spans="1:24" ht="126" hidden="1" customHeight="1" x14ac:dyDescent="0.25">
      <c r="A180" s="116"/>
      <c r="B180" s="197" t="s">
        <v>124</v>
      </c>
      <c r="C180" s="339" t="s">
        <v>122</v>
      </c>
      <c r="D180" s="195" t="s">
        <v>609</v>
      </c>
      <c r="E180" s="342"/>
      <c r="F180" s="197"/>
      <c r="G180" s="197"/>
      <c r="H180" s="197"/>
      <c r="I180" s="197"/>
      <c r="J180" s="197"/>
      <c r="K180" s="197"/>
      <c r="L180" s="197"/>
      <c r="M180" s="197"/>
      <c r="N180" s="197"/>
      <c r="O180" s="197"/>
      <c r="P180" s="197"/>
      <c r="Q180" s="197"/>
      <c r="R180" s="197"/>
      <c r="S180" s="197"/>
      <c r="T180" s="419" t="s">
        <v>608</v>
      </c>
      <c r="U180" s="118">
        <f>U181</f>
        <v>0</v>
      </c>
      <c r="V180" s="118">
        <f>V181</f>
        <v>0</v>
      </c>
      <c r="W180" s="118">
        <f>W181</f>
        <v>0</v>
      </c>
      <c r="X180" s="116"/>
    </row>
    <row r="181" spans="1:24" ht="63" hidden="1" customHeight="1" x14ac:dyDescent="0.25">
      <c r="A181" s="116"/>
      <c r="B181" s="197" t="s">
        <v>124</v>
      </c>
      <c r="C181" s="339" t="s">
        <v>122</v>
      </c>
      <c r="D181" s="195" t="s">
        <v>609</v>
      </c>
      <c r="E181" s="342"/>
      <c r="F181" s="197"/>
      <c r="G181" s="197"/>
      <c r="H181" s="197"/>
      <c r="I181" s="197"/>
      <c r="J181" s="197"/>
      <c r="K181" s="197"/>
      <c r="L181" s="197"/>
      <c r="M181" s="197"/>
      <c r="N181" s="197"/>
      <c r="O181" s="197"/>
      <c r="P181" s="197"/>
      <c r="Q181" s="197"/>
      <c r="R181" s="197"/>
      <c r="S181" s="197" t="s">
        <v>366</v>
      </c>
      <c r="T181" s="420" t="s">
        <v>365</v>
      </c>
      <c r="U181" s="118">
        <f>П4ВСР!Z157</f>
        <v>0</v>
      </c>
      <c r="V181" s="118">
        <f>П4ВСР!AA157</f>
        <v>0</v>
      </c>
      <c r="W181" s="118">
        <f>П4ВСР!AB157</f>
        <v>0</v>
      </c>
      <c r="X181" s="116"/>
    </row>
    <row r="182" spans="1:24" ht="121.5" customHeight="1" x14ac:dyDescent="0.25">
      <c r="A182" s="116"/>
      <c r="B182" s="117" t="s">
        <v>124</v>
      </c>
      <c r="C182" s="117" t="s">
        <v>122</v>
      </c>
      <c r="D182" s="331" t="s">
        <v>609</v>
      </c>
      <c r="E182" s="117"/>
      <c r="F182" s="117"/>
      <c r="G182" s="117"/>
      <c r="H182" s="117"/>
      <c r="I182" s="117"/>
      <c r="J182" s="117"/>
      <c r="K182" s="117"/>
      <c r="L182" s="117"/>
      <c r="M182" s="117"/>
      <c r="N182" s="117"/>
      <c r="O182" s="117"/>
      <c r="P182" s="117"/>
      <c r="Q182" s="117"/>
      <c r="R182" s="117"/>
      <c r="S182" s="117"/>
      <c r="T182" s="421" t="s">
        <v>677</v>
      </c>
      <c r="U182" s="225">
        <f>U183</f>
        <v>41042384.170000002</v>
      </c>
      <c r="V182" s="118">
        <f>V183</f>
        <v>3400000</v>
      </c>
      <c r="W182" s="118">
        <f>W183</f>
        <v>500000</v>
      </c>
      <c r="X182" s="116"/>
    </row>
    <row r="183" spans="1:24" ht="84" customHeight="1" x14ac:dyDescent="0.25">
      <c r="A183" s="116"/>
      <c r="B183" s="119" t="s">
        <v>124</v>
      </c>
      <c r="C183" s="338" t="s">
        <v>122</v>
      </c>
      <c r="D183" s="278" t="s">
        <v>609</v>
      </c>
      <c r="E183" s="341"/>
      <c r="F183" s="119"/>
      <c r="G183" s="119"/>
      <c r="H183" s="119"/>
      <c r="I183" s="119"/>
      <c r="J183" s="119"/>
      <c r="K183" s="119"/>
      <c r="L183" s="119"/>
      <c r="M183" s="119"/>
      <c r="N183" s="119"/>
      <c r="O183" s="119"/>
      <c r="P183" s="119"/>
      <c r="Q183" s="119"/>
      <c r="R183" s="119"/>
      <c r="S183" s="338" t="s">
        <v>366</v>
      </c>
      <c r="T183" s="422" t="s">
        <v>365</v>
      </c>
      <c r="U183" s="225">
        <f>П4ВСР!Z159</f>
        <v>41042384.170000002</v>
      </c>
      <c r="V183" s="118">
        <f>П4ВСР!AA159</f>
        <v>3400000</v>
      </c>
      <c r="W183" s="118">
        <f>П4ВСР!AB159</f>
        <v>500000</v>
      </c>
      <c r="X183" s="116"/>
    </row>
    <row r="184" spans="1:24" ht="115.5" customHeight="1" x14ac:dyDescent="0.25">
      <c r="A184" s="116"/>
      <c r="B184" s="198" t="s">
        <v>124</v>
      </c>
      <c r="C184" s="340" t="s">
        <v>122</v>
      </c>
      <c r="D184" s="195" t="s">
        <v>610</v>
      </c>
      <c r="E184" s="199"/>
      <c r="F184" s="201"/>
      <c r="G184" s="201"/>
      <c r="H184" s="201"/>
      <c r="I184" s="201"/>
      <c r="J184" s="201"/>
      <c r="K184" s="201"/>
      <c r="L184" s="201"/>
      <c r="M184" s="201"/>
      <c r="N184" s="201"/>
      <c r="O184" s="201"/>
      <c r="P184" s="201"/>
      <c r="Q184" s="201"/>
      <c r="R184" s="201"/>
      <c r="S184" s="279"/>
      <c r="T184" s="423" t="s">
        <v>903</v>
      </c>
      <c r="U184" s="225">
        <f>U185</f>
        <v>285030408.87</v>
      </c>
      <c r="V184" s="118">
        <f>V185</f>
        <v>0</v>
      </c>
      <c r="W184" s="118">
        <f>W185</f>
        <v>0</v>
      </c>
      <c r="X184" s="116"/>
    </row>
    <row r="185" spans="1:24" ht="34.5" customHeight="1" x14ac:dyDescent="0.25">
      <c r="A185" s="116"/>
      <c r="B185" s="197" t="s">
        <v>124</v>
      </c>
      <c r="C185" s="202" t="s">
        <v>122</v>
      </c>
      <c r="D185" s="200" t="s">
        <v>610</v>
      </c>
      <c r="E185" s="188"/>
      <c r="F185" s="188"/>
      <c r="G185" s="188"/>
      <c r="H185" s="188"/>
      <c r="I185" s="188"/>
      <c r="J185" s="188"/>
      <c r="K185" s="188"/>
      <c r="L185" s="188"/>
      <c r="M185" s="188"/>
      <c r="N185" s="188"/>
      <c r="O185" s="188"/>
      <c r="P185" s="188"/>
      <c r="Q185" s="188"/>
      <c r="R185" s="188"/>
      <c r="S185" s="188" t="s">
        <v>290</v>
      </c>
      <c r="T185" s="423" t="s">
        <v>905</v>
      </c>
      <c r="U185" s="118">
        <f>П4ВСР!Z161</f>
        <v>285030408.87</v>
      </c>
      <c r="V185" s="118">
        <f>П4ВСР!AA161</f>
        <v>0</v>
      </c>
      <c r="W185" s="118">
        <f>П4ВСР!AB161</f>
        <v>0</v>
      </c>
      <c r="X185" s="116"/>
    </row>
    <row r="186" spans="1:24" ht="18.600000000000001" customHeight="1" x14ac:dyDescent="0.25">
      <c r="A186" s="116" t="s">
        <v>151</v>
      </c>
      <c r="B186" s="117" t="s">
        <v>124</v>
      </c>
      <c r="C186" s="117" t="s">
        <v>132</v>
      </c>
      <c r="D186" s="117"/>
      <c r="E186" s="117"/>
      <c r="F186" s="117"/>
      <c r="G186" s="117"/>
      <c r="H186" s="117"/>
      <c r="I186" s="117"/>
      <c r="J186" s="117"/>
      <c r="K186" s="117"/>
      <c r="L186" s="117"/>
      <c r="M186" s="117"/>
      <c r="N186" s="117"/>
      <c r="O186" s="117"/>
      <c r="P186" s="117"/>
      <c r="Q186" s="117"/>
      <c r="R186" s="117"/>
      <c r="S186" s="117"/>
      <c r="T186" s="397" t="s">
        <v>151</v>
      </c>
      <c r="U186" s="118">
        <f>U187+U189+U193+U191</f>
        <v>105148597.91999999</v>
      </c>
      <c r="V186" s="118">
        <f>V187+V189+V193</f>
        <v>88607200</v>
      </c>
      <c r="W186" s="118">
        <f>W187+W189+W193</f>
        <v>88207200</v>
      </c>
      <c r="X186" s="116" t="s">
        <v>151</v>
      </c>
    </row>
    <row r="187" spans="1:24" ht="53.25" customHeight="1" x14ac:dyDescent="0.25">
      <c r="A187" s="116"/>
      <c r="B187" s="183" t="s">
        <v>124</v>
      </c>
      <c r="C187" s="183" t="s">
        <v>132</v>
      </c>
      <c r="D187" s="183" t="s">
        <v>607</v>
      </c>
      <c r="E187" s="183"/>
      <c r="F187" s="183"/>
      <c r="G187" s="183"/>
      <c r="H187" s="183"/>
      <c r="I187" s="183"/>
      <c r="J187" s="183"/>
      <c r="K187" s="183"/>
      <c r="L187" s="183"/>
      <c r="M187" s="183"/>
      <c r="N187" s="183"/>
      <c r="O187" s="183"/>
      <c r="P187" s="183"/>
      <c r="Q187" s="183"/>
      <c r="R187" s="183"/>
      <c r="S187" s="183"/>
      <c r="T187" s="402" t="s">
        <v>606</v>
      </c>
      <c r="U187" s="118">
        <f>U188</f>
        <v>0</v>
      </c>
      <c r="V187" s="118">
        <f>V188</f>
        <v>500000</v>
      </c>
      <c r="W187" s="118">
        <f>W188</f>
        <v>100000</v>
      </c>
      <c r="X187" s="116"/>
    </row>
    <row r="188" spans="1:24" ht="50.25" customHeight="1" x14ac:dyDescent="0.25">
      <c r="A188" s="116"/>
      <c r="B188" s="183" t="s">
        <v>124</v>
      </c>
      <c r="C188" s="183" t="s">
        <v>132</v>
      </c>
      <c r="D188" s="183" t="s">
        <v>607</v>
      </c>
      <c r="E188" s="183"/>
      <c r="F188" s="183"/>
      <c r="G188" s="183"/>
      <c r="H188" s="183"/>
      <c r="I188" s="183"/>
      <c r="J188" s="183"/>
      <c r="K188" s="183"/>
      <c r="L188" s="183"/>
      <c r="M188" s="183"/>
      <c r="N188" s="183"/>
      <c r="O188" s="183"/>
      <c r="P188" s="183"/>
      <c r="Q188" s="183"/>
      <c r="R188" s="183"/>
      <c r="S188" s="183" t="s">
        <v>290</v>
      </c>
      <c r="T188" s="400" t="s">
        <v>362</v>
      </c>
      <c r="U188" s="118">
        <f>П4ВСР!Z164</f>
        <v>0</v>
      </c>
      <c r="V188" s="118">
        <f>П4ВСР!AA164</f>
        <v>500000</v>
      </c>
      <c r="W188" s="118">
        <f>П4ВСР!AB164</f>
        <v>100000</v>
      </c>
      <c r="X188" s="116"/>
    </row>
    <row r="189" spans="1:24" ht="102" customHeight="1" x14ac:dyDescent="0.25">
      <c r="A189" s="116"/>
      <c r="B189" s="183" t="s">
        <v>124</v>
      </c>
      <c r="C189" s="183" t="s">
        <v>132</v>
      </c>
      <c r="D189" s="183" t="s">
        <v>613</v>
      </c>
      <c r="E189" s="183"/>
      <c r="F189" s="183"/>
      <c r="G189" s="183"/>
      <c r="H189" s="183"/>
      <c r="I189" s="183"/>
      <c r="J189" s="183"/>
      <c r="K189" s="183"/>
      <c r="L189" s="183"/>
      <c r="M189" s="183"/>
      <c r="N189" s="183"/>
      <c r="O189" s="183"/>
      <c r="P189" s="183"/>
      <c r="Q189" s="183"/>
      <c r="R189" s="183"/>
      <c r="S189" s="183"/>
      <c r="T189" s="402" t="s">
        <v>612</v>
      </c>
      <c r="U189" s="118">
        <f>U190</f>
        <v>12402357.52</v>
      </c>
      <c r="V189" s="118">
        <f>V190</f>
        <v>1000000</v>
      </c>
      <c r="W189" s="118">
        <f>W190</f>
        <v>1000000</v>
      </c>
      <c r="X189" s="116"/>
    </row>
    <row r="190" spans="1:24" ht="50.25" customHeight="1" x14ac:dyDescent="0.25">
      <c r="A190" s="116"/>
      <c r="B190" s="183" t="s">
        <v>124</v>
      </c>
      <c r="C190" s="183" t="s">
        <v>132</v>
      </c>
      <c r="D190" s="183" t="s">
        <v>613</v>
      </c>
      <c r="E190" s="183"/>
      <c r="F190" s="183"/>
      <c r="G190" s="183"/>
      <c r="H190" s="183"/>
      <c r="I190" s="183"/>
      <c r="J190" s="183"/>
      <c r="K190" s="183"/>
      <c r="L190" s="183"/>
      <c r="M190" s="183"/>
      <c r="N190" s="183"/>
      <c r="O190" s="183"/>
      <c r="P190" s="183"/>
      <c r="Q190" s="183"/>
      <c r="R190" s="183"/>
      <c r="S190" s="183" t="s">
        <v>290</v>
      </c>
      <c r="T190" s="400" t="s">
        <v>867</v>
      </c>
      <c r="U190" s="118">
        <f>П4ВСР!Z166</f>
        <v>12402357.52</v>
      </c>
      <c r="V190" s="118">
        <f>П4ВСР!AA166</f>
        <v>1000000</v>
      </c>
      <c r="W190" s="118">
        <f>П4ВСР!AB166</f>
        <v>1000000</v>
      </c>
      <c r="X190" s="116"/>
    </row>
    <row r="191" spans="1:24" ht="114.75" customHeight="1" x14ac:dyDescent="0.25">
      <c r="A191" s="116"/>
      <c r="B191" s="276" t="s">
        <v>124</v>
      </c>
      <c r="C191" s="276" t="s">
        <v>132</v>
      </c>
      <c r="D191" s="276" t="s">
        <v>922</v>
      </c>
      <c r="E191" s="183"/>
      <c r="F191" s="183"/>
      <c r="G191" s="183"/>
      <c r="H191" s="183"/>
      <c r="I191" s="183"/>
      <c r="J191" s="183"/>
      <c r="K191" s="183"/>
      <c r="L191" s="183"/>
      <c r="M191" s="183"/>
      <c r="N191" s="183"/>
      <c r="O191" s="183"/>
      <c r="P191" s="183"/>
      <c r="Q191" s="183"/>
      <c r="R191" s="183"/>
      <c r="S191" s="183"/>
      <c r="T191" s="400" t="s">
        <v>612</v>
      </c>
      <c r="U191" s="118">
        <f>U192</f>
        <v>8207449.4399999995</v>
      </c>
      <c r="V191" s="118">
        <v>0</v>
      </c>
      <c r="W191" s="118">
        <v>0</v>
      </c>
      <c r="X191" s="116"/>
    </row>
    <row r="192" spans="1:24" ht="24.75" customHeight="1" x14ac:dyDescent="0.25">
      <c r="A192" s="116"/>
      <c r="B192" s="276" t="s">
        <v>124</v>
      </c>
      <c r="C192" s="276" t="s">
        <v>132</v>
      </c>
      <c r="D192" s="276" t="s">
        <v>922</v>
      </c>
      <c r="E192" s="183"/>
      <c r="F192" s="183"/>
      <c r="G192" s="183"/>
      <c r="H192" s="183"/>
      <c r="I192" s="183"/>
      <c r="J192" s="183"/>
      <c r="K192" s="183"/>
      <c r="L192" s="183"/>
      <c r="M192" s="183"/>
      <c r="N192" s="183"/>
      <c r="O192" s="183"/>
      <c r="P192" s="183"/>
      <c r="Q192" s="183"/>
      <c r="R192" s="183"/>
      <c r="S192" s="276" t="s">
        <v>443</v>
      </c>
      <c r="T192" s="402" t="s">
        <v>918</v>
      </c>
      <c r="U192" s="118">
        <f>П4ВСР!Z308</f>
        <v>8207449.4399999995</v>
      </c>
      <c r="V192" s="118">
        <v>0</v>
      </c>
      <c r="W192" s="118">
        <v>0</v>
      </c>
      <c r="X192" s="116"/>
    </row>
    <row r="193" spans="1:24" ht="132" customHeight="1" x14ac:dyDescent="0.25">
      <c r="A193" s="121" t="s">
        <v>227</v>
      </c>
      <c r="B193" s="117" t="s">
        <v>124</v>
      </c>
      <c r="C193" s="117" t="s">
        <v>132</v>
      </c>
      <c r="D193" s="212" t="s">
        <v>845</v>
      </c>
      <c r="E193" s="117"/>
      <c r="F193" s="117"/>
      <c r="G193" s="117"/>
      <c r="H193" s="117"/>
      <c r="I193" s="117"/>
      <c r="J193" s="117"/>
      <c r="K193" s="117"/>
      <c r="L193" s="117"/>
      <c r="M193" s="117"/>
      <c r="N193" s="117"/>
      <c r="O193" s="117"/>
      <c r="P193" s="117"/>
      <c r="Q193" s="117"/>
      <c r="R193" s="117"/>
      <c r="S193" s="117"/>
      <c r="T193" s="405" t="s">
        <v>868</v>
      </c>
      <c r="U193" s="118">
        <f>U194</f>
        <v>84538790.959999993</v>
      </c>
      <c r="V193" s="118">
        <f>V194</f>
        <v>87107200</v>
      </c>
      <c r="W193" s="118">
        <f>W194</f>
        <v>87107200</v>
      </c>
      <c r="X193" s="121" t="s">
        <v>227</v>
      </c>
    </row>
    <row r="194" spans="1:24" ht="75" customHeight="1" x14ac:dyDescent="0.25">
      <c r="A194" s="121" t="s">
        <v>367</v>
      </c>
      <c r="B194" s="119" t="s">
        <v>124</v>
      </c>
      <c r="C194" s="119" t="s">
        <v>132</v>
      </c>
      <c r="D194" s="213" t="s">
        <v>845</v>
      </c>
      <c r="E194" s="119"/>
      <c r="F194" s="119"/>
      <c r="G194" s="119"/>
      <c r="H194" s="119"/>
      <c r="I194" s="119"/>
      <c r="J194" s="119"/>
      <c r="K194" s="119"/>
      <c r="L194" s="119"/>
      <c r="M194" s="119"/>
      <c r="N194" s="119"/>
      <c r="O194" s="119"/>
      <c r="P194" s="119"/>
      <c r="Q194" s="119"/>
      <c r="R194" s="119"/>
      <c r="S194" s="119" t="s">
        <v>244</v>
      </c>
      <c r="T194" s="403" t="s">
        <v>848</v>
      </c>
      <c r="U194" s="118">
        <f>П4ВСР!Z168</f>
        <v>84538790.959999993</v>
      </c>
      <c r="V194" s="118">
        <f>П4ВСР!AA168</f>
        <v>87107200</v>
      </c>
      <c r="W194" s="118">
        <f>П4ВСР!AB168</f>
        <v>87107200</v>
      </c>
      <c r="X194" s="121" t="s">
        <v>367</v>
      </c>
    </row>
    <row r="195" spans="1:24" ht="18.600000000000001" customHeight="1" x14ac:dyDescent="0.25">
      <c r="A195" s="116" t="s">
        <v>152</v>
      </c>
      <c r="B195" s="117" t="s">
        <v>124</v>
      </c>
      <c r="C195" s="117" t="s">
        <v>123</v>
      </c>
      <c r="D195" s="117"/>
      <c r="E195" s="117"/>
      <c r="F195" s="117"/>
      <c r="G195" s="117"/>
      <c r="H195" s="117"/>
      <c r="I195" s="117"/>
      <c r="J195" s="117"/>
      <c r="K195" s="117"/>
      <c r="L195" s="117"/>
      <c r="M195" s="117"/>
      <c r="N195" s="117"/>
      <c r="O195" s="117"/>
      <c r="P195" s="117"/>
      <c r="Q195" s="117"/>
      <c r="R195" s="117"/>
      <c r="S195" s="117"/>
      <c r="T195" s="397" t="s">
        <v>152</v>
      </c>
      <c r="U195" s="118">
        <f>U196+U200+U202+U206+U208+U210+U212+U216+U198+U214+U204</f>
        <v>7729092.6100000003</v>
      </c>
      <c r="V195" s="118">
        <f>V196+V200+V202+V206+V208+V210+V212+V216</f>
        <v>629990</v>
      </c>
      <c r="W195" s="118">
        <f>W196+W200+W202+W206+W208+W210+W212+W216</f>
        <v>700000</v>
      </c>
      <c r="X195" s="116" t="s">
        <v>152</v>
      </c>
    </row>
    <row r="196" spans="1:24" ht="113.25" customHeight="1" x14ac:dyDescent="0.25">
      <c r="A196" s="116" t="s">
        <v>368</v>
      </c>
      <c r="B196" s="183" t="s">
        <v>124</v>
      </c>
      <c r="C196" s="183" t="s">
        <v>123</v>
      </c>
      <c r="D196" s="183" t="s">
        <v>616</v>
      </c>
      <c r="E196" s="183"/>
      <c r="F196" s="183"/>
      <c r="G196" s="183"/>
      <c r="H196" s="183"/>
      <c r="I196" s="183"/>
      <c r="J196" s="183"/>
      <c r="K196" s="183"/>
      <c r="L196" s="183"/>
      <c r="M196" s="183"/>
      <c r="N196" s="183"/>
      <c r="O196" s="183"/>
      <c r="P196" s="183"/>
      <c r="Q196" s="183"/>
      <c r="R196" s="183"/>
      <c r="S196" s="183"/>
      <c r="T196" s="424" t="s">
        <v>614</v>
      </c>
      <c r="U196" s="118">
        <f>U197</f>
        <v>279864</v>
      </c>
      <c r="V196" s="118">
        <f>V197</f>
        <v>279990</v>
      </c>
      <c r="W196" s="118">
        <f>W197</f>
        <v>300000</v>
      </c>
      <c r="X196" s="116" t="s">
        <v>368</v>
      </c>
    </row>
    <row r="197" spans="1:24" ht="87" customHeight="1" x14ac:dyDescent="0.25">
      <c r="A197" s="116" t="s">
        <v>369</v>
      </c>
      <c r="B197" s="188" t="s">
        <v>124</v>
      </c>
      <c r="C197" s="188" t="s">
        <v>123</v>
      </c>
      <c r="D197" s="183" t="s">
        <v>616</v>
      </c>
      <c r="E197" s="188"/>
      <c r="F197" s="188"/>
      <c r="G197" s="188"/>
      <c r="H197" s="188"/>
      <c r="I197" s="188"/>
      <c r="J197" s="188"/>
      <c r="K197" s="188"/>
      <c r="L197" s="188"/>
      <c r="M197" s="188"/>
      <c r="N197" s="188"/>
      <c r="O197" s="188"/>
      <c r="P197" s="188"/>
      <c r="Q197" s="188"/>
      <c r="R197" s="188"/>
      <c r="S197" s="188" t="s">
        <v>290</v>
      </c>
      <c r="T197" s="400" t="s">
        <v>615</v>
      </c>
      <c r="U197" s="118">
        <f>П4ВСР!Z171</f>
        <v>279864</v>
      </c>
      <c r="V197" s="118">
        <f>П4ВСР!AA171</f>
        <v>279990</v>
      </c>
      <c r="W197" s="118">
        <f>П4ВСР!AB171</f>
        <v>300000</v>
      </c>
      <c r="X197" s="116" t="s">
        <v>369</v>
      </c>
    </row>
    <row r="198" spans="1:24" ht="116.25" customHeight="1" x14ac:dyDescent="0.25">
      <c r="A198" s="116"/>
      <c r="B198" s="188" t="s">
        <v>124</v>
      </c>
      <c r="C198" s="188" t="s">
        <v>123</v>
      </c>
      <c r="D198" s="183" t="s">
        <v>616</v>
      </c>
      <c r="E198" s="188"/>
      <c r="F198" s="188"/>
      <c r="G198" s="188"/>
      <c r="H198" s="188"/>
      <c r="I198" s="188"/>
      <c r="J198" s="188"/>
      <c r="K198" s="188"/>
      <c r="L198" s="188"/>
      <c r="M198" s="188"/>
      <c r="N198" s="188"/>
      <c r="O198" s="188"/>
      <c r="P198" s="188"/>
      <c r="Q198" s="188"/>
      <c r="R198" s="188"/>
      <c r="S198" s="188"/>
      <c r="T198" s="424" t="s">
        <v>944</v>
      </c>
      <c r="U198" s="118">
        <f>U199</f>
        <v>820136</v>
      </c>
      <c r="V198" s="118">
        <f>V199</f>
        <v>0</v>
      </c>
      <c r="W198" s="118">
        <f>W199</f>
        <v>0</v>
      </c>
      <c r="X198" s="116"/>
    </row>
    <row r="199" spans="1:24" ht="24.75" customHeight="1" x14ac:dyDescent="0.25">
      <c r="A199" s="116"/>
      <c r="B199" s="188" t="s">
        <v>124</v>
      </c>
      <c r="C199" s="188" t="s">
        <v>123</v>
      </c>
      <c r="D199" s="183" t="s">
        <v>616</v>
      </c>
      <c r="E199" s="188"/>
      <c r="F199" s="188"/>
      <c r="G199" s="188"/>
      <c r="H199" s="188"/>
      <c r="I199" s="188"/>
      <c r="J199" s="188"/>
      <c r="K199" s="188"/>
      <c r="L199" s="188"/>
      <c r="M199" s="188"/>
      <c r="N199" s="188"/>
      <c r="O199" s="188"/>
      <c r="P199" s="188"/>
      <c r="Q199" s="188"/>
      <c r="R199" s="188"/>
      <c r="S199" s="188" t="s">
        <v>443</v>
      </c>
      <c r="T199" s="402" t="s">
        <v>918</v>
      </c>
      <c r="U199" s="118">
        <f>П4ВСР!Z318</f>
        <v>820136</v>
      </c>
      <c r="V199" s="118">
        <v>0</v>
      </c>
      <c r="W199" s="118">
        <v>0</v>
      </c>
      <c r="X199" s="116"/>
    </row>
    <row r="200" spans="1:24" ht="72.75" customHeight="1" x14ac:dyDescent="0.25">
      <c r="A200" s="116" t="s">
        <v>370</v>
      </c>
      <c r="B200" s="183" t="s">
        <v>124</v>
      </c>
      <c r="C200" s="183" t="s">
        <v>123</v>
      </c>
      <c r="D200" s="183" t="s">
        <v>618</v>
      </c>
      <c r="E200" s="183"/>
      <c r="F200" s="183"/>
      <c r="G200" s="183"/>
      <c r="H200" s="183"/>
      <c r="I200" s="183"/>
      <c r="J200" s="183"/>
      <c r="K200" s="183"/>
      <c r="L200" s="183"/>
      <c r="M200" s="183"/>
      <c r="N200" s="183"/>
      <c r="O200" s="183"/>
      <c r="P200" s="183"/>
      <c r="Q200" s="183"/>
      <c r="R200" s="183"/>
      <c r="S200" s="183"/>
      <c r="T200" s="402" t="s">
        <v>617</v>
      </c>
      <c r="U200" s="118">
        <f>U201</f>
        <v>0</v>
      </c>
      <c r="V200" s="118">
        <f>V201</f>
        <v>100000</v>
      </c>
      <c r="W200" s="118">
        <f>W201</f>
        <v>100000</v>
      </c>
      <c r="X200" s="116" t="s">
        <v>370</v>
      </c>
    </row>
    <row r="201" spans="1:24" ht="46.5" customHeight="1" x14ac:dyDescent="0.25">
      <c r="A201" s="116" t="s">
        <v>371</v>
      </c>
      <c r="B201" s="188" t="s">
        <v>124</v>
      </c>
      <c r="C201" s="188" t="s">
        <v>123</v>
      </c>
      <c r="D201" s="183" t="s">
        <v>618</v>
      </c>
      <c r="E201" s="188"/>
      <c r="F201" s="188"/>
      <c r="G201" s="188"/>
      <c r="H201" s="188"/>
      <c r="I201" s="188"/>
      <c r="J201" s="188"/>
      <c r="K201" s="188"/>
      <c r="L201" s="188"/>
      <c r="M201" s="188"/>
      <c r="N201" s="188"/>
      <c r="O201" s="188"/>
      <c r="P201" s="188"/>
      <c r="Q201" s="188"/>
      <c r="R201" s="188"/>
      <c r="S201" s="188" t="s">
        <v>290</v>
      </c>
      <c r="T201" s="400" t="s">
        <v>371</v>
      </c>
      <c r="U201" s="118">
        <f>П4ВСР!Z173</f>
        <v>0</v>
      </c>
      <c r="V201" s="118">
        <f>П4ВСР!AA173</f>
        <v>100000</v>
      </c>
      <c r="W201" s="118">
        <f>П4ВСР!AB173</f>
        <v>100000</v>
      </c>
      <c r="X201" s="116" t="s">
        <v>371</v>
      </c>
    </row>
    <row r="202" spans="1:24" ht="63" hidden="1" customHeight="1" x14ac:dyDescent="0.25">
      <c r="A202" s="116"/>
      <c r="B202" s="188" t="s">
        <v>124</v>
      </c>
      <c r="C202" s="188" t="s">
        <v>123</v>
      </c>
      <c r="D202" s="183" t="s">
        <v>619</v>
      </c>
      <c r="E202" s="188"/>
      <c r="F202" s="188"/>
      <c r="G202" s="188"/>
      <c r="H202" s="188"/>
      <c r="I202" s="188"/>
      <c r="J202" s="188"/>
      <c r="K202" s="188"/>
      <c r="L202" s="188"/>
      <c r="M202" s="188"/>
      <c r="N202" s="188"/>
      <c r="O202" s="188"/>
      <c r="P202" s="188"/>
      <c r="Q202" s="188"/>
      <c r="R202" s="188"/>
      <c r="S202" s="188"/>
      <c r="T202" s="402" t="s">
        <v>620</v>
      </c>
      <c r="U202" s="118">
        <f>U203</f>
        <v>0</v>
      </c>
      <c r="V202" s="118">
        <f>V203</f>
        <v>0</v>
      </c>
      <c r="W202" s="118">
        <f>W203</f>
        <v>0</v>
      </c>
      <c r="X202" s="116"/>
    </row>
    <row r="203" spans="1:24" ht="63" hidden="1" customHeight="1" x14ac:dyDescent="0.25">
      <c r="A203" s="116"/>
      <c r="B203" s="188" t="s">
        <v>124</v>
      </c>
      <c r="C203" s="188" t="s">
        <v>123</v>
      </c>
      <c r="D203" s="183" t="s">
        <v>619</v>
      </c>
      <c r="E203" s="188"/>
      <c r="F203" s="188"/>
      <c r="G203" s="188"/>
      <c r="H203" s="188"/>
      <c r="I203" s="188"/>
      <c r="J203" s="188"/>
      <c r="K203" s="188"/>
      <c r="L203" s="188"/>
      <c r="M203" s="188"/>
      <c r="N203" s="188"/>
      <c r="O203" s="188"/>
      <c r="P203" s="188"/>
      <c r="Q203" s="188"/>
      <c r="R203" s="188"/>
      <c r="S203" s="188" t="s">
        <v>290</v>
      </c>
      <c r="T203" s="400" t="s">
        <v>620</v>
      </c>
      <c r="U203" s="118">
        <f>П4ВСР!Z175</f>
        <v>0</v>
      </c>
      <c r="V203" s="118">
        <f>П4ВСР!AA175</f>
        <v>0</v>
      </c>
      <c r="W203" s="118">
        <f>П4ВСР!AB175</f>
        <v>0</v>
      </c>
      <c r="X203" s="116"/>
    </row>
    <row r="204" spans="1:24" ht="58.5" customHeight="1" x14ac:dyDescent="0.25">
      <c r="A204" s="116"/>
      <c r="B204" s="188" t="s">
        <v>124</v>
      </c>
      <c r="C204" s="188" t="s">
        <v>123</v>
      </c>
      <c r="D204" s="183" t="s">
        <v>618</v>
      </c>
      <c r="E204" s="188"/>
      <c r="F204" s="188"/>
      <c r="G204" s="188"/>
      <c r="H204" s="188"/>
      <c r="I204" s="188"/>
      <c r="J204" s="188"/>
      <c r="K204" s="188"/>
      <c r="L204" s="188"/>
      <c r="M204" s="188"/>
      <c r="N204" s="188"/>
      <c r="O204" s="188"/>
      <c r="P204" s="188"/>
      <c r="Q204" s="188"/>
      <c r="R204" s="188"/>
      <c r="S204" s="188"/>
      <c r="T204" s="402" t="s">
        <v>617</v>
      </c>
      <c r="U204" s="118">
        <f>U205</f>
        <v>1010000</v>
      </c>
      <c r="V204" s="118">
        <v>0</v>
      </c>
      <c r="W204" s="118">
        <v>0</v>
      </c>
      <c r="X204" s="116"/>
    </row>
    <row r="205" spans="1:24" ht="18" customHeight="1" x14ac:dyDescent="0.25">
      <c r="A205" s="116"/>
      <c r="B205" s="188" t="s">
        <v>124</v>
      </c>
      <c r="C205" s="188" t="s">
        <v>123</v>
      </c>
      <c r="D205" s="183" t="s">
        <v>618</v>
      </c>
      <c r="E205" s="188"/>
      <c r="F205" s="188"/>
      <c r="G205" s="188"/>
      <c r="H205" s="188"/>
      <c r="I205" s="188"/>
      <c r="J205" s="188"/>
      <c r="K205" s="188"/>
      <c r="L205" s="188"/>
      <c r="M205" s="188"/>
      <c r="N205" s="188"/>
      <c r="O205" s="188"/>
      <c r="P205" s="188"/>
      <c r="Q205" s="188"/>
      <c r="R205" s="188"/>
      <c r="S205" s="188" t="s">
        <v>443</v>
      </c>
      <c r="T205" s="402" t="s">
        <v>918</v>
      </c>
      <c r="U205" s="118">
        <f>П4ВСР!Z330</f>
        <v>1010000</v>
      </c>
      <c r="V205" s="118">
        <v>0</v>
      </c>
      <c r="W205" s="118">
        <v>0</v>
      </c>
      <c r="X205" s="116"/>
    </row>
    <row r="206" spans="1:24" ht="53.25" customHeight="1" x14ac:dyDescent="0.25">
      <c r="A206" s="116" t="s">
        <v>372</v>
      </c>
      <c r="B206" s="183" t="s">
        <v>124</v>
      </c>
      <c r="C206" s="183" t="s">
        <v>123</v>
      </c>
      <c r="D206" s="183" t="s">
        <v>621</v>
      </c>
      <c r="E206" s="183"/>
      <c r="F206" s="183"/>
      <c r="G206" s="183"/>
      <c r="H206" s="183"/>
      <c r="I206" s="183"/>
      <c r="J206" s="183"/>
      <c r="K206" s="183"/>
      <c r="L206" s="183"/>
      <c r="M206" s="183"/>
      <c r="N206" s="183"/>
      <c r="O206" s="183"/>
      <c r="P206" s="183"/>
      <c r="Q206" s="183"/>
      <c r="R206" s="183"/>
      <c r="S206" s="183"/>
      <c r="T206" s="402" t="s">
        <v>624</v>
      </c>
      <c r="U206" s="118">
        <f>U207</f>
        <v>0</v>
      </c>
      <c r="V206" s="118">
        <f>V207</f>
        <v>50000</v>
      </c>
      <c r="W206" s="118">
        <f>W207</f>
        <v>100000</v>
      </c>
      <c r="X206" s="116" t="s">
        <v>372</v>
      </c>
    </row>
    <row r="207" spans="1:24" ht="41.25" customHeight="1" x14ac:dyDescent="0.25">
      <c r="A207" s="116" t="s">
        <v>373</v>
      </c>
      <c r="B207" s="188" t="s">
        <v>124</v>
      </c>
      <c r="C207" s="188" t="s">
        <v>123</v>
      </c>
      <c r="D207" s="183" t="s">
        <v>621</v>
      </c>
      <c r="E207" s="188"/>
      <c r="F207" s="188"/>
      <c r="G207" s="188"/>
      <c r="H207" s="188"/>
      <c r="I207" s="188"/>
      <c r="J207" s="188"/>
      <c r="K207" s="188"/>
      <c r="L207" s="188"/>
      <c r="M207" s="188"/>
      <c r="N207" s="188"/>
      <c r="O207" s="188"/>
      <c r="P207" s="188"/>
      <c r="Q207" s="188"/>
      <c r="R207" s="188"/>
      <c r="S207" s="188" t="s">
        <v>290</v>
      </c>
      <c r="T207" s="400" t="s">
        <v>373</v>
      </c>
      <c r="U207" s="118">
        <f>П4ВСР!Z177</f>
        <v>0</v>
      </c>
      <c r="V207" s="118">
        <f>П4ВСР!AA177</f>
        <v>50000</v>
      </c>
      <c r="W207" s="118">
        <f>П4ВСР!AB177</f>
        <v>100000</v>
      </c>
      <c r="X207" s="116" t="s">
        <v>373</v>
      </c>
    </row>
    <row r="208" spans="1:24" ht="42" customHeight="1" x14ac:dyDescent="0.25">
      <c r="A208" s="116" t="s">
        <v>374</v>
      </c>
      <c r="B208" s="188" t="s">
        <v>124</v>
      </c>
      <c r="C208" s="188" t="s">
        <v>123</v>
      </c>
      <c r="D208" s="183" t="s">
        <v>622</v>
      </c>
      <c r="E208" s="188"/>
      <c r="F208" s="188"/>
      <c r="G208" s="188"/>
      <c r="H208" s="188"/>
      <c r="I208" s="188"/>
      <c r="J208" s="188"/>
      <c r="K208" s="188"/>
      <c r="L208" s="188"/>
      <c r="M208" s="188"/>
      <c r="N208" s="188"/>
      <c r="O208" s="188"/>
      <c r="P208" s="188"/>
      <c r="Q208" s="188"/>
      <c r="R208" s="188"/>
      <c r="S208" s="188"/>
      <c r="T208" s="425" t="s">
        <v>625</v>
      </c>
      <c r="U208" s="118">
        <f>U209</f>
        <v>1000000</v>
      </c>
      <c r="V208" s="118">
        <f>V209</f>
        <v>0</v>
      </c>
      <c r="W208" s="118">
        <f>W209</f>
        <v>0</v>
      </c>
      <c r="X208" s="116" t="s">
        <v>374</v>
      </c>
    </row>
    <row r="209" spans="1:24" ht="41.25" customHeight="1" x14ac:dyDescent="0.25">
      <c r="A209" s="116" t="s">
        <v>375</v>
      </c>
      <c r="B209" s="188" t="s">
        <v>124</v>
      </c>
      <c r="C209" s="188" t="s">
        <v>123</v>
      </c>
      <c r="D209" s="183" t="s">
        <v>622</v>
      </c>
      <c r="E209" s="188"/>
      <c r="F209" s="188"/>
      <c r="G209" s="188"/>
      <c r="H209" s="188"/>
      <c r="I209" s="188"/>
      <c r="J209" s="188"/>
      <c r="K209" s="188"/>
      <c r="L209" s="188"/>
      <c r="M209" s="188"/>
      <c r="N209" s="188"/>
      <c r="O209" s="188"/>
      <c r="P209" s="188"/>
      <c r="Q209" s="188"/>
      <c r="R209" s="188"/>
      <c r="S209" s="188" t="s">
        <v>290</v>
      </c>
      <c r="T209" s="401" t="s">
        <v>375</v>
      </c>
      <c r="U209" s="118">
        <f>П4ВСР!Z179</f>
        <v>1000000</v>
      </c>
      <c r="V209" s="118">
        <f>П4ВСР!AA179</f>
        <v>0</v>
      </c>
      <c r="W209" s="118">
        <f>П4ВСР!AB179</f>
        <v>0</v>
      </c>
      <c r="X209" s="116" t="s">
        <v>375</v>
      </c>
    </row>
    <row r="210" spans="1:24" ht="51.75" customHeight="1" x14ac:dyDescent="0.25">
      <c r="A210" s="116" t="s">
        <v>376</v>
      </c>
      <c r="B210" s="183" t="s">
        <v>124</v>
      </c>
      <c r="C210" s="183" t="s">
        <v>123</v>
      </c>
      <c r="D210" s="183" t="s">
        <v>623</v>
      </c>
      <c r="E210" s="183"/>
      <c r="F210" s="183"/>
      <c r="G210" s="183"/>
      <c r="H210" s="183"/>
      <c r="I210" s="183"/>
      <c r="J210" s="183"/>
      <c r="K210" s="183"/>
      <c r="L210" s="183"/>
      <c r="M210" s="183"/>
      <c r="N210" s="183"/>
      <c r="O210" s="183"/>
      <c r="P210" s="183"/>
      <c r="Q210" s="183"/>
      <c r="R210" s="183"/>
      <c r="S210" s="183"/>
      <c r="T210" s="402" t="s">
        <v>626</v>
      </c>
      <c r="U210" s="118">
        <f>U211</f>
        <v>2750000</v>
      </c>
      <c r="V210" s="118">
        <f>V211</f>
        <v>200000</v>
      </c>
      <c r="W210" s="118">
        <f>W211</f>
        <v>200000</v>
      </c>
      <c r="X210" s="116" t="s">
        <v>376</v>
      </c>
    </row>
    <row r="211" spans="1:24" ht="33.75" customHeight="1" x14ac:dyDescent="0.25">
      <c r="A211" s="116" t="s">
        <v>377</v>
      </c>
      <c r="B211" s="188" t="s">
        <v>124</v>
      </c>
      <c r="C211" s="188" t="s">
        <v>123</v>
      </c>
      <c r="D211" s="183" t="s">
        <v>623</v>
      </c>
      <c r="E211" s="188"/>
      <c r="F211" s="188"/>
      <c r="G211" s="188"/>
      <c r="H211" s="188"/>
      <c r="I211" s="188"/>
      <c r="J211" s="188"/>
      <c r="K211" s="188"/>
      <c r="L211" s="188"/>
      <c r="M211" s="188"/>
      <c r="N211" s="188"/>
      <c r="O211" s="188"/>
      <c r="P211" s="188"/>
      <c r="Q211" s="188"/>
      <c r="R211" s="188"/>
      <c r="S211" s="188" t="s">
        <v>290</v>
      </c>
      <c r="T211" s="400" t="s">
        <v>377</v>
      </c>
      <c r="U211" s="118">
        <f>П4ВСР!Z181</f>
        <v>2750000</v>
      </c>
      <c r="V211" s="118">
        <f>П4ВСР!AA181</f>
        <v>200000</v>
      </c>
      <c r="W211" s="118">
        <f>П4ВСР!AB181</f>
        <v>200000</v>
      </c>
      <c r="X211" s="116" t="s">
        <v>377</v>
      </c>
    </row>
    <row r="212" spans="1:24" ht="66.75" customHeight="1" x14ac:dyDescent="0.25">
      <c r="A212" s="116" t="s">
        <v>378</v>
      </c>
      <c r="B212" s="183" t="s">
        <v>124</v>
      </c>
      <c r="C212" s="183" t="s">
        <v>123</v>
      </c>
      <c r="D212" s="276" t="s">
        <v>623</v>
      </c>
      <c r="E212" s="183"/>
      <c r="F212" s="183"/>
      <c r="G212" s="183"/>
      <c r="H212" s="183"/>
      <c r="I212" s="183"/>
      <c r="J212" s="183"/>
      <c r="K212" s="183"/>
      <c r="L212" s="183"/>
      <c r="M212" s="183"/>
      <c r="N212" s="183"/>
      <c r="O212" s="183"/>
      <c r="P212" s="183"/>
      <c r="Q212" s="183"/>
      <c r="R212" s="183"/>
      <c r="S212" s="183"/>
      <c r="T212" s="402" t="s">
        <v>870</v>
      </c>
      <c r="U212" s="118">
        <f>U213</f>
        <v>280000</v>
      </c>
      <c r="V212" s="118">
        <f>V213</f>
        <v>0</v>
      </c>
      <c r="W212" s="118">
        <f>W213</f>
        <v>0</v>
      </c>
      <c r="X212" s="116" t="s">
        <v>378</v>
      </c>
    </row>
    <row r="213" spans="1:24" ht="18.75" customHeight="1" x14ac:dyDescent="0.25">
      <c r="A213" s="116" t="s">
        <v>379</v>
      </c>
      <c r="B213" s="188" t="s">
        <v>124</v>
      </c>
      <c r="C213" s="188" t="s">
        <v>123</v>
      </c>
      <c r="D213" s="276" t="s">
        <v>623</v>
      </c>
      <c r="E213" s="188"/>
      <c r="F213" s="188"/>
      <c r="G213" s="188"/>
      <c r="H213" s="188"/>
      <c r="I213" s="188"/>
      <c r="J213" s="188"/>
      <c r="K213" s="188"/>
      <c r="L213" s="188"/>
      <c r="M213" s="188"/>
      <c r="N213" s="188"/>
      <c r="O213" s="188"/>
      <c r="P213" s="188"/>
      <c r="Q213" s="188"/>
      <c r="R213" s="188"/>
      <c r="S213" s="188" t="s">
        <v>443</v>
      </c>
      <c r="T213" s="402" t="s">
        <v>918</v>
      </c>
      <c r="U213" s="118">
        <f>П4ВСР!Z342</f>
        <v>280000</v>
      </c>
      <c r="V213" s="118">
        <f>П4ВСР!AA183</f>
        <v>0</v>
      </c>
      <c r="W213" s="118">
        <f>П4ВСР!AB183</f>
        <v>0</v>
      </c>
      <c r="X213" s="116" t="s">
        <v>379</v>
      </c>
    </row>
    <row r="214" spans="1:24" ht="55.5" customHeight="1" x14ac:dyDescent="0.25">
      <c r="A214" s="116"/>
      <c r="B214" s="188" t="s">
        <v>124</v>
      </c>
      <c r="C214" s="188" t="s">
        <v>123</v>
      </c>
      <c r="D214" s="276" t="s">
        <v>1059</v>
      </c>
      <c r="E214" s="188"/>
      <c r="F214" s="188"/>
      <c r="G214" s="188"/>
      <c r="H214" s="188"/>
      <c r="I214" s="188"/>
      <c r="J214" s="188"/>
      <c r="K214" s="188"/>
      <c r="L214" s="188"/>
      <c r="M214" s="188"/>
      <c r="N214" s="188"/>
      <c r="O214" s="188"/>
      <c r="P214" s="188"/>
      <c r="Q214" s="188"/>
      <c r="R214" s="188"/>
      <c r="S214" s="188"/>
      <c r="T214" s="402" t="s">
        <v>1060</v>
      </c>
      <c r="U214" s="118">
        <f>U215</f>
        <v>645253.38</v>
      </c>
      <c r="V214" s="118">
        <v>0</v>
      </c>
      <c r="W214" s="118">
        <v>0</v>
      </c>
      <c r="X214" s="116"/>
    </row>
    <row r="215" spans="1:24" ht="49.5" customHeight="1" x14ac:dyDescent="0.25">
      <c r="A215" s="116"/>
      <c r="B215" s="188" t="s">
        <v>124</v>
      </c>
      <c r="C215" s="188" t="s">
        <v>123</v>
      </c>
      <c r="D215" s="276" t="s">
        <v>1059</v>
      </c>
      <c r="E215" s="188"/>
      <c r="F215" s="188"/>
      <c r="G215" s="188"/>
      <c r="H215" s="188"/>
      <c r="I215" s="188"/>
      <c r="J215" s="188"/>
      <c r="K215" s="188"/>
      <c r="L215" s="188"/>
      <c r="M215" s="188"/>
      <c r="N215" s="188"/>
      <c r="O215" s="188"/>
      <c r="P215" s="188"/>
      <c r="Q215" s="188"/>
      <c r="R215" s="188"/>
      <c r="S215" s="188" t="s">
        <v>290</v>
      </c>
      <c r="T215" s="400" t="s">
        <v>381</v>
      </c>
      <c r="U215" s="118">
        <f>П4ВСР!Z182</f>
        <v>645253.38</v>
      </c>
      <c r="V215" s="118">
        <v>0</v>
      </c>
      <c r="W215" s="118">
        <v>0</v>
      </c>
      <c r="X215" s="116"/>
    </row>
    <row r="216" spans="1:24" ht="53.25" customHeight="1" x14ac:dyDescent="0.25">
      <c r="A216" s="116" t="s">
        <v>380</v>
      </c>
      <c r="B216" s="183" t="s">
        <v>124</v>
      </c>
      <c r="C216" s="183" t="s">
        <v>123</v>
      </c>
      <c r="D216" s="183" t="s">
        <v>887</v>
      </c>
      <c r="E216" s="183"/>
      <c r="F216" s="183"/>
      <c r="G216" s="183"/>
      <c r="H216" s="183"/>
      <c r="I216" s="183"/>
      <c r="J216" s="183"/>
      <c r="K216" s="183"/>
      <c r="L216" s="183"/>
      <c r="M216" s="183"/>
      <c r="N216" s="183"/>
      <c r="O216" s="183"/>
      <c r="P216" s="183"/>
      <c r="Q216" s="183"/>
      <c r="R216" s="183"/>
      <c r="S216" s="183"/>
      <c r="T216" s="426" t="s">
        <v>885</v>
      </c>
      <c r="U216" s="118">
        <f>U217</f>
        <v>943839.23</v>
      </c>
      <c r="V216" s="118">
        <f>V217</f>
        <v>0</v>
      </c>
      <c r="W216" s="118">
        <f>W217</f>
        <v>0</v>
      </c>
      <c r="X216" s="116" t="s">
        <v>380</v>
      </c>
    </row>
    <row r="217" spans="1:24" ht="30.75" customHeight="1" x14ac:dyDescent="0.25">
      <c r="A217" s="116" t="s">
        <v>381</v>
      </c>
      <c r="B217" s="188" t="s">
        <v>124</v>
      </c>
      <c r="C217" s="188" t="s">
        <v>123</v>
      </c>
      <c r="D217" s="183" t="s">
        <v>887</v>
      </c>
      <c r="E217" s="188"/>
      <c r="F217" s="188"/>
      <c r="G217" s="188"/>
      <c r="H217" s="188"/>
      <c r="I217" s="188"/>
      <c r="J217" s="188"/>
      <c r="K217" s="188"/>
      <c r="L217" s="188"/>
      <c r="M217" s="188"/>
      <c r="N217" s="188"/>
      <c r="O217" s="188"/>
      <c r="P217" s="188"/>
      <c r="Q217" s="188"/>
      <c r="R217" s="188"/>
      <c r="S217" s="188" t="s">
        <v>290</v>
      </c>
      <c r="T217" s="400" t="s">
        <v>886</v>
      </c>
      <c r="U217" s="118">
        <f>П4ВСР!Z185</f>
        <v>943839.23</v>
      </c>
      <c r="V217" s="118">
        <f>П4ВСР!AA185</f>
        <v>0</v>
      </c>
      <c r="W217" s="118">
        <f>П4ВСР!AB185</f>
        <v>0</v>
      </c>
      <c r="X217" s="116" t="s">
        <v>381</v>
      </c>
    </row>
    <row r="218" spans="1:24" ht="18.600000000000001" customHeight="1" x14ac:dyDescent="0.25">
      <c r="A218" s="114" t="s">
        <v>382</v>
      </c>
      <c r="B218" s="123" t="s">
        <v>138</v>
      </c>
      <c r="C218" s="123" t="s">
        <v>133</v>
      </c>
      <c r="D218" s="123"/>
      <c r="E218" s="123"/>
      <c r="F218" s="123"/>
      <c r="G218" s="123"/>
      <c r="H218" s="123"/>
      <c r="I218" s="123"/>
      <c r="J218" s="123"/>
      <c r="K218" s="123"/>
      <c r="L218" s="123"/>
      <c r="M218" s="123"/>
      <c r="N218" s="123"/>
      <c r="O218" s="123"/>
      <c r="P218" s="123"/>
      <c r="Q218" s="123"/>
      <c r="R218" s="123"/>
      <c r="S218" s="123"/>
      <c r="T218" s="395" t="s">
        <v>382</v>
      </c>
      <c r="U218" s="115">
        <f>U219+U232+U266+U289+U263</f>
        <v>398373002.28999996</v>
      </c>
      <c r="V218" s="115">
        <f>V219+V232+V266+V289+V263</f>
        <v>386522265.89999998</v>
      </c>
      <c r="W218" s="115">
        <f>W219+W232+W266+W289+W263</f>
        <v>381283980.17000002</v>
      </c>
      <c r="X218" s="114" t="s">
        <v>382</v>
      </c>
    </row>
    <row r="219" spans="1:24" ht="18.600000000000001" customHeight="1" x14ac:dyDescent="0.25">
      <c r="A219" s="116" t="s">
        <v>155</v>
      </c>
      <c r="B219" s="117" t="s">
        <v>138</v>
      </c>
      <c r="C219" s="117" t="s">
        <v>122</v>
      </c>
      <c r="D219" s="117"/>
      <c r="E219" s="117"/>
      <c r="F219" s="117"/>
      <c r="G219" s="117"/>
      <c r="H219" s="117"/>
      <c r="I219" s="117"/>
      <c r="J219" s="117"/>
      <c r="K219" s="117"/>
      <c r="L219" s="117"/>
      <c r="M219" s="117"/>
      <c r="N219" s="117"/>
      <c r="O219" s="117"/>
      <c r="P219" s="117"/>
      <c r="Q219" s="117"/>
      <c r="R219" s="117"/>
      <c r="S219" s="117"/>
      <c r="T219" s="397" t="s">
        <v>155</v>
      </c>
      <c r="U219" s="118">
        <f>U220+U224+U226+U228+U230+U222</f>
        <v>97408580.539999992</v>
      </c>
      <c r="V219" s="118">
        <f>V220+V224+V226+V228+V230</f>
        <v>94466256.439999998</v>
      </c>
      <c r="W219" s="118">
        <f>W220+W224+W226+W228+W230</f>
        <v>89808043.680000007</v>
      </c>
      <c r="X219" s="116" t="s">
        <v>155</v>
      </c>
    </row>
    <row r="220" spans="1:24" ht="97.5" customHeight="1" x14ac:dyDescent="0.25">
      <c r="A220" s="116"/>
      <c r="B220" s="208" t="s">
        <v>138</v>
      </c>
      <c r="C220" s="208" t="s">
        <v>122</v>
      </c>
      <c r="D220" s="208" t="s">
        <v>908</v>
      </c>
      <c r="E220" s="208"/>
      <c r="F220" s="208"/>
      <c r="G220" s="208"/>
      <c r="H220" s="208"/>
      <c r="I220" s="208"/>
      <c r="J220" s="208"/>
      <c r="K220" s="208"/>
      <c r="L220" s="208"/>
      <c r="M220" s="208"/>
      <c r="N220" s="208"/>
      <c r="O220" s="208"/>
      <c r="P220" s="208"/>
      <c r="Q220" s="208"/>
      <c r="R220" s="208"/>
      <c r="S220" s="208"/>
      <c r="T220" s="281" t="s">
        <v>909</v>
      </c>
      <c r="U220" s="118">
        <f>U221</f>
        <v>75000</v>
      </c>
      <c r="V220" s="118">
        <f>V221</f>
        <v>500000</v>
      </c>
      <c r="W220" s="118">
        <f>W221</f>
        <v>500000</v>
      </c>
      <c r="X220" s="116"/>
    </row>
    <row r="221" spans="1:24" ht="53.25" customHeight="1" x14ac:dyDescent="0.25">
      <c r="A221" s="116"/>
      <c r="B221" s="185" t="s">
        <v>138</v>
      </c>
      <c r="C221" s="185" t="s">
        <v>122</v>
      </c>
      <c r="D221" s="208" t="s">
        <v>908</v>
      </c>
      <c r="E221" s="185"/>
      <c r="F221" s="185"/>
      <c r="G221" s="185"/>
      <c r="H221" s="185"/>
      <c r="I221" s="185"/>
      <c r="J221" s="185"/>
      <c r="K221" s="185"/>
      <c r="L221" s="185"/>
      <c r="M221" s="185"/>
      <c r="N221" s="185"/>
      <c r="O221" s="185"/>
      <c r="P221" s="185"/>
      <c r="Q221" s="185"/>
      <c r="R221" s="185"/>
      <c r="S221" s="185" t="s">
        <v>309</v>
      </c>
      <c r="T221" s="400" t="s">
        <v>907</v>
      </c>
      <c r="U221" s="118">
        <f>П4ВСР!Z360</f>
        <v>75000</v>
      </c>
      <c r="V221" s="118">
        <f>П4ВСР!AA360</f>
        <v>500000</v>
      </c>
      <c r="W221" s="118">
        <f>П4ВСР!AB360</f>
        <v>500000</v>
      </c>
      <c r="X221" s="116"/>
    </row>
    <row r="222" spans="1:24" ht="94.5" customHeight="1" x14ac:dyDescent="0.25">
      <c r="A222" s="116"/>
      <c r="B222" s="185" t="s">
        <v>138</v>
      </c>
      <c r="C222" s="185" t="s">
        <v>122</v>
      </c>
      <c r="D222" s="208" t="s">
        <v>931</v>
      </c>
      <c r="E222" s="185"/>
      <c r="F222" s="185"/>
      <c r="G222" s="185"/>
      <c r="H222" s="185"/>
      <c r="I222" s="185"/>
      <c r="J222" s="185"/>
      <c r="K222" s="185"/>
      <c r="L222" s="185"/>
      <c r="M222" s="185"/>
      <c r="N222" s="185"/>
      <c r="O222" s="185"/>
      <c r="P222" s="185"/>
      <c r="Q222" s="185"/>
      <c r="R222" s="185"/>
      <c r="S222" s="185"/>
      <c r="T222" s="402" t="s">
        <v>930</v>
      </c>
      <c r="U222" s="118">
        <f>U223</f>
        <v>230419.99999999997</v>
      </c>
      <c r="V222" s="118">
        <v>0</v>
      </c>
      <c r="W222" s="118">
        <v>0</v>
      </c>
      <c r="X222" s="116"/>
    </row>
    <row r="223" spans="1:24" ht="51" customHeight="1" x14ac:dyDescent="0.25">
      <c r="A223" s="116"/>
      <c r="B223" s="185" t="s">
        <v>138</v>
      </c>
      <c r="C223" s="185" t="s">
        <v>122</v>
      </c>
      <c r="D223" s="208" t="s">
        <v>931</v>
      </c>
      <c r="E223" s="185"/>
      <c r="F223" s="185"/>
      <c r="G223" s="185"/>
      <c r="H223" s="185"/>
      <c r="I223" s="185"/>
      <c r="J223" s="185"/>
      <c r="K223" s="185"/>
      <c r="L223" s="185"/>
      <c r="M223" s="185"/>
      <c r="N223" s="185"/>
      <c r="O223" s="185"/>
      <c r="P223" s="185"/>
      <c r="Q223" s="185"/>
      <c r="R223" s="185"/>
      <c r="S223" s="185" t="s">
        <v>309</v>
      </c>
      <c r="T223" s="400" t="s">
        <v>453</v>
      </c>
      <c r="U223" s="118">
        <f>П4ВСР!Z361</f>
        <v>230419.99999999997</v>
      </c>
      <c r="V223" s="118">
        <v>0</v>
      </c>
      <c r="W223" s="118">
        <v>0</v>
      </c>
      <c r="X223" s="116"/>
    </row>
    <row r="224" spans="1:24" ht="82.5" customHeight="1" x14ac:dyDescent="0.25">
      <c r="A224" s="116" t="s">
        <v>445</v>
      </c>
      <c r="B224" s="208" t="s">
        <v>138</v>
      </c>
      <c r="C224" s="208" t="s">
        <v>122</v>
      </c>
      <c r="D224" s="208" t="s">
        <v>709</v>
      </c>
      <c r="E224" s="208"/>
      <c r="F224" s="208"/>
      <c r="G224" s="208"/>
      <c r="H224" s="208"/>
      <c r="I224" s="208"/>
      <c r="J224" s="208"/>
      <c r="K224" s="208"/>
      <c r="L224" s="208"/>
      <c r="M224" s="208"/>
      <c r="N224" s="208"/>
      <c r="O224" s="208"/>
      <c r="P224" s="208"/>
      <c r="Q224" s="208"/>
      <c r="R224" s="208"/>
      <c r="S224" s="208"/>
      <c r="T224" s="402" t="s">
        <v>708</v>
      </c>
      <c r="U224" s="118">
        <f>U225</f>
        <v>49500247.439999998</v>
      </c>
      <c r="V224" s="118">
        <f>V225</f>
        <v>46268159.439999998</v>
      </c>
      <c r="W224" s="118">
        <f>W225</f>
        <v>45268159.439999998</v>
      </c>
      <c r="X224" s="116" t="s">
        <v>445</v>
      </c>
    </row>
    <row r="225" spans="1:24" ht="55.5" customHeight="1" x14ac:dyDescent="0.25">
      <c r="A225" s="116" t="s">
        <v>446</v>
      </c>
      <c r="B225" s="185" t="s">
        <v>138</v>
      </c>
      <c r="C225" s="185" t="s">
        <v>122</v>
      </c>
      <c r="D225" s="208" t="s">
        <v>709</v>
      </c>
      <c r="E225" s="185"/>
      <c r="F225" s="185"/>
      <c r="G225" s="185"/>
      <c r="H225" s="185"/>
      <c r="I225" s="185"/>
      <c r="J225" s="185"/>
      <c r="K225" s="185"/>
      <c r="L225" s="185"/>
      <c r="M225" s="185"/>
      <c r="N225" s="185"/>
      <c r="O225" s="185"/>
      <c r="P225" s="185"/>
      <c r="Q225" s="185"/>
      <c r="R225" s="185"/>
      <c r="S225" s="185" t="s">
        <v>309</v>
      </c>
      <c r="T225" s="400" t="s">
        <v>446</v>
      </c>
      <c r="U225" s="118">
        <f>П4ВСР!Z364</f>
        <v>49500247.439999998</v>
      </c>
      <c r="V225" s="118">
        <f>П4ВСР!AA364</f>
        <v>46268159.439999998</v>
      </c>
      <c r="W225" s="118">
        <f>П4ВСР!AB364</f>
        <v>45268159.439999998</v>
      </c>
      <c r="X225" s="116" t="s">
        <v>446</v>
      </c>
    </row>
    <row r="226" spans="1:24" ht="63.75" customHeight="1" x14ac:dyDescent="0.25">
      <c r="A226" s="116" t="s">
        <v>447</v>
      </c>
      <c r="B226" s="208" t="s">
        <v>138</v>
      </c>
      <c r="C226" s="208" t="s">
        <v>122</v>
      </c>
      <c r="D226" s="208" t="s">
        <v>711</v>
      </c>
      <c r="E226" s="208"/>
      <c r="F226" s="208"/>
      <c r="G226" s="208"/>
      <c r="H226" s="208"/>
      <c r="I226" s="208"/>
      <c r="J226" s="208"/>
      <c r="K226" s="208"/>
      <c r="L226" s="208"/>
      <c r="M226" s="208"/>
      <c r="N226" s="208"/>
      <c r="O226" s="208"/>
      <c r="P226" s="208"/>
      <c r="Q226" s="208"/>
      <c r="R226" s="208"/>
      <c r="S226" s="208"/>
      <c r="T226" s="402" t="s">
        <v>710</v>
      </c>
      <c r="U226" s="118">
        <f>U227</f>
        <v>5238276</v>
      </c>
      <c r="V226" s="118">
        <f>V227</f>
        <v>5000000</v>
      </c>
      <c r="W226" s="118">
        <f>W227</f>
        <v>1341787.24</v>
      </c>
      <c r="X226" s="116" t="s">
        <v>447</v>
      </c>
    </row>
    <row r="227" spans="1:24" ht="50.25" customHeight="1" x14ac:dyDescent="0.25">
      <c r="A227" s="116" t="s">
        <v>448</v>
      </c>
      <c r="B227" s="185" t="s">
        <v>138</v>
      </c>
      <c r="C227" s="185" t="s">
        <v>122</v>
      </c>
      <c r="D227" s="208" t="s">
        <v>711</v>
      </c>
      <c r="E227" s="185"/>
      <c r="F227" s="185"/>
      <c r="G227" s="185"/>
      <c r="H227" s="185"/>
      <c r="I227" s="185"/>
      <c r="J227" s="185"/>
      <c r="K227" s="185"/>
      <c r="L227" s="185"/>
      <c r="M227" s="185"/>
      <c r="N227" s="185"/>
      <c r="O227" s="185"/>
      <c r="P227" s="185"/>
      <c r="Q227" s="185"/>
      <c r="R227" s="185"/>
      <c r="S227" s="185" t="s">
        <v>309</v>
      </c>
      <c r="T227" s="400" t="s">
        <v>448</v>
      </c>
      <c r="U227" s="118">
        <f>П4ВСР!Z366</f>
        <v>5238276</v>
      </c>
      <c r="V227" s="118">
        <f>П4ВСР!AA366</f>
        <v>5000000</v>
      </c>
      <c r="W227" s="118">
        <f>П4ВСР!AB366</f>
        <v>1341787.24</v>
      </c>
      <c r="X227" s="116" t="s">
        <v>448</v>
      </c>
    </row>
    <row r="228" spans="1:24" ht="108" customHeight="1" x14ac:dyDescent="0.25">
      <c r="A228" s="121" t="s">
        <v>235</v>
      </c>
      <c r="B228" s="210" t="s">
        <v>138</v>
      </c>
      <c r="C228" s="210" t="s">
        <v>122</v>
      </c>
      <c r="D228" s="210" t="s">
        <v>824</v>
      </c>
      <c r="E228" s="208"/>
      <c r="F228" s="208"/>
      <c r="G228" s="208"/>
      <c r="H228" s="208"/>
      <c r="I228" s="208"/>
      <c r="J228" s="208"/>
      <c r="K228" s="208"/>
      <c r="L228" s="208"/>
      <c r="M228" s="208"/>
      <c r="N228" s="208"/>
      <c r="O228" s="208"/>
      <c r="P228" s="208"/>
      <c r="Q228" s="208"/>
      <c r="R228" s="208"/>
      <c r="S228" s="208"/>
      <c r="T228" s="484" t="s">
        <v>855</v>
      </c>
      <c r="U228" s="118">
        <f>U229</f>
        <v>42364637.100000001</v>
      </c>
      <c r="V228" s="118">
        <f>V229</f>
        <v>42378097</v>
      </c>
      <c r="W228" s="118">
        <f>W229</f>
        <v>42378097</v>
      </c>
      <c r="X228" s="121" t="s">
        <v>235</v>
      </c>
    </row>
    <row r="229" spans="1:24" ht="33.75" customHeight="1" x14ac:dyDescent="0.25">
      <c r="A229" s="121" t="s">
        <v>449</v>
      </c>
      <c r="B229" s="185" t="s">
        <v>138</v>
      </c>
      <c r="C229" s="185" t="s">
        <v>122</v>
      </c>
      <c r="D229" s="210" t="s">
        <v>824</v>
      </c>
      <c r="E229" s="185"/>
      <c r="F229" s="185"/>
      <c r="G229" s="185"/>
      <c r="H229" s="185"/>
      <c r="I229" s="185"/>
      <c r="J229" s="185"/>
      <c r="K229" s="185"/>
      <c r="L229" s="185"/>
      <c r="M229" s="185"/>
      <c r="N229" s="185"/>
      <c r="O229" s="185"/>
      <c r="P229" s="185"/>
      <c r="Q229" s="185"/>
      <c r="R229" s="185"/>
      <c r="S229" s="483" t="s">
        <v>309</v>
      </c>
      <c r="T229" s="485" t="s">
        <v>827</v>
      </c>
      <c r="U229" s="225">
        <f>П4ВСР!Z368</f>
        <v>42364637.100000001</v>
      </c>
      <c r="V229" s="118">
        <f>П4ВСР!AA368</f>
        <v>42378097</v>
      </c>
      <c r="W229" s="118">
        <f>П4ВСР!AB368</f>
        <v>42378097</v>
      </c>
      <c r="X229" s="121" t="s">
        <v>449</v>
      </c>
    </row>
    <row r="230" spans="1:24" ht="52.5" customHeight="1" x14ac:dyDescent="0.25">
      <c r="A230" s="121"/>
      <c r="B230" s="185" t="s">
        <v>138</v>
      </c>
      <c r="C230" s="185" t="s">
        <v>122</v>
      </c>
      <c r="D230" s="208" t="s">
        <v>688</v>
      </c>
      <c r="E230" s="185"/>
      <c r="F230" s="185"/>
      <c r="G230" s="185"/>
      <c r="H230" s="185"/>
      <c r="I230" s="185"/>
      <c r="J230" s="185"/>
      <c r="K230" s="185"/>
      <c r="L230" s="185"/>
      <c r="M230" s="185"/>
      <c r="N230" s="185"/>
      <c r="O230" s="185"/>
      <c r="P230" s="185"/>
      <c r="Q230" s="185"/>
      <c r="R230" s="185"/>
      <c r="S230" s="483"/>
      <c r="T230" s="433" t="s">
        <v>687</v>
      </c>
      <c r="U230" s="225">
        <f>U231</f>
        <v>0</v>
      </c>
      <c r="V230" s="118">
        <f>V231</f>
        <v>320000</v>
      </c>
      <c r="W230" s="118">
        <f>W231</f>
        <v>320000</v>
      </c>
      <c r="X230" s="121"/>
    </row>
    <row r="231" spans="1:24" ht="93" customHeight="1" x14ac:dyDescent="0.25">
      <c r="A231" s="121"/>
      <c r="B231" s="185" t="s">
        <v>138</v>
      </c>
      <c r="C231" s="185" t="s">
        <v>122</v>
      </c>
      <c r="D231" s="208" t="s">
        <v>688</v>
      </c>
      <c r="E231" s="185"/>
      <c r="F231" s="185"/>
      <c r="G231" s="185"/>
      <c r="H231" s="185"/>
      <c r="I231" s="185"/>
      <c r="J231" s="185"/>
      <c r="K231" s="185"/>
      <c r="L231" s="185"/>
      <c r="M231" s="185"/>
      <c r="N231" s="185"/>
      <c r="O231" s="185"/>
      <c r="P231" s="185"/>
      <c r="Q231" s="185"/>
      <c r="R231" s="185"/>
      <c r="S231" s="483" t="s">
        <v>309</v>
      </c>
      <c r="T231" s="417" t="s">
        <v>875</v>
      </c>
      <c r="U231" s="225">
        <f>П4ВСР!Z370</f>
        <v>0</v>
      </c>
      <c r="V231" s="118">
        <f>П4ВСР!AA370</f>
        <v>320000</v>
      </c>
      <c r="W231" s="118">
        <f>П4ВСР!AB370</f>
        <v>320000</v>
      </c>
      <c r="X231" s="121"/>
    </row>
    <row r="232" spans="1:24" ht="18.600000000000001" customHeight="1" x14ac:dyDescent="0.25">
      <c r="A232" s="116" t="s">
        <v>156</v>
      </c>
      <c r="B232" s="117" t="s">
        <v>138</v>
      </c>
      <c r="C232" s="117" t="s">
        <v>132</v>
      </c>
      <c r="D232" s="117"/>
      <c r="E232" s="117"/>
      <c r="F232" s="117"/>
      <c r="G232" s="117"/>
      <c r="H232" s="117"/>
      <c r="I232" s="117"/>
      <c r="J232" s="117"/>
      <c r="K232" s="117"/>
      <c r="L232" s="117"/>
      <c r="M232" s="117"/>
      <c r="N232" s="117"/>
      <c r="O232" s="117"/>
      <c r="P232" s="117"/>
      <c r="Q232" s="117"/>
      <c r="R232" s="117"/>
      <c r="S232" s="117"/>
      <c r="T232" s="413" t="s">
        <v>156</v>
      </c>
      <c r="U232" s="118">
        <f>U233+U237+U239+U241+U243+U245+U247+U249+U251+U253+U255+U257+U259+U261+U235</f>
        <v>265537601.36999997</v>
      </c>
      <c r="V232" s="118">
        <f>V233+V237+V239+V241+V243+V245+V247+V249+V251+V253+V255+V257+V259+V261</f>
        <v>252679280.69999999</v>
      </c>
      <c r="W232" s="118">
        <f>W233+W237+W239+W241+W243+W245+W247+W249+W251+W253+W255+W257+W259+W261</f>
        <v>251997066.65000001</v>
      </c>
      <c r="X232" s="116" t="s">
        <v>156</v>
      </c>
    </row>
    <row r="233" spans="1:24" ht="96.75" customHeight="1" x14ac:dyDescent="0.25">
      <c r="A233" s="116" t="s">
        <v>450</v>
      </c>
      <c r="B233" s="208" t="s">
        <v>138</v>
      </c>
      <c r="C233" s="208" t="s">
        <v>132</v>
      </c>
      <c r="D233" s="208" t="s">
        <v>908</v>
      </c>
      <c r="E233" s="208"/>
      <c r="F233" s="208"/>
      <c r="G233" s="208"/>
      <c r="H233" s="208"/>
      <c r="I233" s="208"/>
      <c r="J233" s="208"/>
      <c r="K233" s="208"/>
      <c r="L233" s="208"/>
      <c r="M233" s="208"/>
      <c r="N233" s="208"/>
      <c r="O233" s="208"/>
      <c r="P233" s="208"/>
      <c r="Q233" s="208"/>
      <c r="R233" s="208"/>
      <c r="S233" s="208"/>
      <c r="T233" s="281" t="s">
        <v>909</v>
      </c>
      <c r="U233" s="118">
        <f>U234</f>
        <v>300600</v>
      </c>
      <c r="V233" s="118">
        <f>V234</f>
        <v>50000</v>
      </c>
      <c r="W233" s="118">
        <f>W234</f>
        <v>50000</v>
      </c>
      <c r="X233" s="116" t="s">
        <v>450</v>
      </c>
    </row>
    <row r="234" spans="1:24" ht="58.5" customHeight="1" x14ac:dyDescent="0.25">
      <c r="A234" s="116" t="s">
        <v>451</v>
      </c>
      <c r="B234" s="185" t="s">
        <v>138</v>
      </c>
      <c r="C234" s="185" t="s">
        <v>132</v>
      </c>
      <c r="D234" s="208" t="s">
        <v>908</v>
      </c>
      <c r="E234" s="185"/>
      <c r="F234" s="185"/>
      <c r="G234" s="185"/>
      <c r="H234" s="185"/>
      <c r="I234" s="185"/>
      <c r="J234" s="185"/>
      <c r="K234" s="185"/>
      <c r="L234" s="185"/>
      <c r="M234" s="185"/>
      <c r="N234" s="185"/>
      <c r="O234" s="185"/>
      <c r="P234" s="185"/>
      <c r="Q234" s="185"/>
      <c r="R234" s="185"/>
      <c r="S234" s="185" t="s">
        <v>309</v>
      </c>
      <c r="T234" s="400" t="s">
        <v>907</v>
      </c>
      <c r="U234" s="118">
        <f>П4ВСР!Z373</f>
        <v>300600</v>
      </c>
      <c r="V234" s="118">
        <f>П4ВСР!AA373</f>
        <v>50000</v>
      </c>
      <c r="W234" s="118">
        <f>П4ВСР!AB373</f>
        <v>50000</v>
      </c>
      <c r="X234" s="116" t="s">
        <v>451</v>
      </c>
    </row>
    <row r="235" spans="1:24" ht="88.5" customHeight="1" x14ac:dyDescent="0.25">
      <c r="A235" s="116"/>
      <c r="B235" s="185" t="s">
        <v>138</v>
      </c>
      <c r="C235" s="185" t="s">
        <v>132</v>
      </c>
      <c r="D235" s="208" t="s">
        <v>931</v>
      </c>
      <c r="E235" s="185"/>
      <c r="F235" s="185"/>
      <c r="G235" s="185"/>
      <c r="H235" s="185"/>
      <c r="I235" s="185"/>
      <c r="J235" s="185"/>
      <c r="K235" s="185"/>
      <c r="L235" s="185"/>
      <c r="M235" s="185"/>
      <c r="N235" s="185"/>
      <c r="O235" s="185"/>
      <c r="P235" s="185"/>
      <c r="Q235" s="185"/>
      <c r="R235" s="185"/>
      <c r="S235" s="185"/>
      <c r="T235" s="402" t="s">
        <v>930</v>
      </c>
      <c r="U235" s="118">
        <f>U236</f>
        <v>1838903.9200000002</v>
      </c>
      <c r="V235" s="118">
        <v>0</v>
      </c>
      <c r="W235" s="118">
        <v>0</v>
      </c>
      <c r="X235" s="116"/>
    </row>
    <row r="236" spans="1:24" ht="48.75" customHeight="1" x14ac:dyDescent="0.25">
      <c r="A236" s="116"/>
      <c r="B236" s="185" t="s">
        <v>138</v>
      </c>
      <c r="C236" s="185" t="s">
        <v>132</v>
      </c>
      <c r="D236" s="208" t="s">
        <v>931</v>
      </c>
      <c r="E236" s="185"/>
      <c r="F236" s="185"/>
      <c r="G236" s="185"/>
      <c r="H236" s="185"/>
      <c r="I236" s="185"/>
      <c r="J236" s="185"/>
      <c r="K236" s="185"/>
      <c r="L236" s="185"/>
      <c r="M236" s="185"/>
      <c r="N236" s="185"/>
      <c r="O236" s="185"/>
      <c r="P236" s="185"/>
      <c r="Q236" s="185"/>
      <c r="R236" s="185"/>
      <c r="S236" s="185" t="s">
        <v>309</v>
      </c>
      <c r="T236" s="400" t="s">
        <v>453</v>
      </c>
      <c r="U236" s="118">
        <f>П4ВСР!Z374</f>
        <v>1838903.9200000002</v>
      </c>
      <c r="V236" s="118">
        <v>0</v>
      </c>
      <c r="W236" s="118">
        <v>0</v>
      </c>
      <c r="X236" s="116"/>
    </row>
    <row r="237" spans="1:24" ht="102" customHeight="1" x14ac:dyDescent="0.25">
      <c r="A237" s="116" t="s">
        <v>454</v>
      </c>
      <c r="B237" s="208" t="s">
        <v>138</v>
      </c>
      <c r="C237" s="208" t="s">
        <v>132</v>
      </c>
      <c r="D237" s="208" t="s">
        <v>713</v>
      </c>
      <c r="E237" s="208"/>
      <c r="F237" s="208"/>
      <c r="G237" s="208"/>
      <c r="H237" s="208"/>
      <c r="I237" s="208"/>
      <c r="J237" s="208"/>
      <c r="K237" s="208"/>
      <c r="L237" s="208"/>
      <c r="M237" s="208"/>
      <c r="N237" s="208"/>
      <c r="O237" s="208"/>
      <c r="P237" s="208"/>
      <c r="Q237" s="208"/>
      <c r="R237" s="208"/>
      <c r="S237" s="208"/>
      <c r="T237" s="402" t="s">
        <v>712</v>
      </c>
      <c r="U237" s="118">
        <f>U238</f>
        <v>275725</v>
      </c>
      <c r="V237" s="118">
        <f>V238</f>
        <v>100000</v>
      </c>
      <c r="W237" s="118">
        <f>W238</f>
        <v>100000</v>
      </c>
      <c r="X237" s="116" t="s">
        <v>454</v>
      </c>
    </row>
    <row r="238" spans="1:24" ht="56.25" customHeight="1" x14ac:dyDescent="0.25">
      <c r="A238" s="116" t="s">
        <v>455</v>
      </c>
      <c r="B238" s="185" t="s">
        <v>138</v>
      </c>
      <c r="C238" s="185" t="s">
        <v>132</v>
      </c>
      <c r="D238" s="208" t="s">
        <v>713</v>
      </c>
      <c r="E238" s="185"/>
      <c r="F238" s="185"/>
      <c r="G238" s="185"/>
      <c r="H238" s="185"/>
      <c r="I238" s="185"/>
      <c r="J238" s="185"/>
      <c r="K238" s="185"/>
      <c r="L238" s="185"/>
      <c r="M238" s="185"/>
      <c r="N238" s="185"/>
      <c r="O238" s="185"/>
      <c r="P238" s="185"/>
      <c r="Q238" s="185"/>
      <c r="R238" s="185"/>
      <c r="S238" s="185" t="s">
        <v>309</v>
      </c>
      <c r="T238" s="400" t="s">
        <v>455</v>
      </c>
      <c r="U238" s="118">
        <f>П4ВСР!Z377</f>
        <v>275725</v>
      </c>
      <c r="V238" s="118">
        <f>П4ВСР!AA377</f>
        <v>100000</v>
      </c>
      <c r="W238" s="118">
        <f>П4ВСР!AB377</f>
        <v>100000</v>
      </c>
      <c r="X238" s="116" t="s">
        <v>455</v>
      </c>
    </row>
    <row r="239" spans="1:24" ht="91.5" customHeight="1" x14ac:dyDescent="0.25">
      <c r="A239" s="116" t="s">
        <v>456</v>
      </c>
      <c r="B239" s="208" t="s">
        <v>138</v>
      </c>
      <c r="C239" s="208" t="s">
        <v>132</v>
      </c>
      <c r="D239" s="208" t="s">
        <v>715</v>
      </c>
      <c r="E239" s="208"/>
      <c r="F239" s="208"/>
      <c r="G239" s="208"/>
      <c r="H239" s="208"/>
      <c r="I239" s="208"/>
      <c r="J239" s="208"/>
      <c r="K239" s="208"/>
      <c r="L239" s="208"/>
      <c r="M239" s="208"/>
      <c r="N239" s="208"/>
      <c r="O239" s="208"/>
      <c r="P239" s="208"/>
      <c r="Q239" s="208"/>
      <c r="R239" s="208"/>
      <c r="S239" s="208"/>
      <c r="T239" s="402" t="s">
        <v>714</v>
      </c>
      <c r="U239" s="118">
        <f>U240</f>
        <v>90120494.370000005</v>
      </c>
      <c r="V239" s="118">
        <f>V240</f>
        <v>93177836.99000001</v>
      </c>
      <c r="W239" s="118">
        <f>W240</f>
        <v>93177836.99000001</v>
      </c>
      <c r="X239" s="116" t="s">
        <v>456</v>
      </c>
    </row>
    <row r="240" spans="1:24" ht="77.25" customHeight="1" x14ac:dyDescent="0.25">
      <c r="A240" s="116" t="s">
        <v>457</v>
      </c>
      <c r="B240" s="185" t="s">
        <v>138</v>
      </c>
      <c r="C240" s="185" t="s">
        <v>132</v>
      </c>
      <c r="D240" s="208" t="s">
        <v>715</v>
      </c>
      <c r="E240" s="185"/>
      <c r="F240" s="185"/>
      <c r="G240" s="185"/>
      <c r="H240" s="185"/>
      <c r="I240" s="185"/>
      <c r="J240" s="185"/>
      <c r="K240" s="185"/>
      <c r="L240" s="185"/>
      <c r="M240" s="185"/>
      <c r="N240" s="185"/>
      <c r="O240" s="185"/>
      <c r="P240" s="185"/>
      <c r="Q240" s="185"/>
      <c r="R240" s="185"/>
      <c r="S240" s="185" t="s">
        <v>309</v>
      </c>
      <c r="T240" s="400" t="s">
        <v>457</v>
      </c>
      <c r="U240" s="118">
        <f>П4ВСР!Z379</f>
        <v>90120494.370000005</v>
      </c>
      <c r="V240" s="118">
        <f>П4ВСР!AA379</f>
        <v>93177836.99000001</v>
      </c>
      <c r="W240" s="118">
        <f>П4ВСР!AB379</f>
        <v>93177836.99000001</v>
      </c>
      <c r="X240" s="116" t="s">
        <v>457</v>
      </c>
    </row>
    <row r="241" spans="1:24" ht="80.25" hidden="1" customHeight="1" x14ac:dyDescent="0.25">
      <c r="A241" s="116" t="s">
        <v>503</v>
      </c>
      <c r="B241" s="208" t="s">
        <v>138</v>
      </c>
      <c r="C241" s="208" t="s">
        <v>132</v>
      </c>
      <c r="D241" s="208" t="s">
        <v>752</v>
      </c>
      <c r="E241" s="208"/>
      <c r="F241" s="208"/>
      <c r="G241" s="208"/>
      <c r="H241" s="208"/>
      <c r="I241" s="208"/>
      <c r="J241" s="208"/>
      <c r="K241" s="208"/>
      <c r="L241" s="208"/>
      <c r="M241" s="208"/>
      <c r="N241" s="208"/>
      <c r="O241" s="208"/>
      <c r="P241" s="208"/>
      <c r="Q241" s="208"/>
      <c r="R241" s="208"/>
      <c r="S241" s="208"/>
      <c r="T241" s="402" t="s">
        <v>751</v>
      </c>
      <c r="U241" s="118">
        <f>U242</f>
        <v>0</v>
      </c>
      <c r="V241" s="118">
        <f>V242</f>
        <v>0</v>
      </c>
      <c r="W241" s="118">
        <f>W242</f>
        <v>0</v>
      </c>
      <c r="X241" s="116" t="s">
        <v>503</v>
      </c>
    </row>
    <row r="242" spans="1:24" ht="65.25" hidden="1" customHeight="1" x14ac:dyDescent="0.25">
      <c r="A242" s="116" t="s">
        <v>504</v>
      </c>
      <c r="B242" s="185" t="s">
        <v>138</v>
      </c>
      <c r="C242" s="185" t="s">
        <v>132</v>
      </c>
      <c r="D242" s="208" t="s">
        <v>752</v>
      </c>
      <c r="E242" s="185"/>
      <c r="F242" s="185"/>
      <c r="G242" s="185"/>
      <c r="H242" s="185"/>
      <c r="I242" s="185"/>
      <c r="J242" s="185"/>
      <c r="K242" s="185"/>
      <c r="L242" s="185"/>
      <c r="M242" s="185"/>
      <c r="N242" s="185"/>
      <c r="O242" s="185"/>
      <c r="P242" s="185"/>
      <c r="Q242" s="185"/>
      <c r="R242" s="185"/>
      <c r="S242" s="185" t="s">
        <v>309</v>
      </c>
      <c r="T242" s="400" t="s">
        <v>504</v>
      </c>
      <c r="U242" s="118">
        <f>П4ВСР!Z466</f>
        <v>0</v>
      </c>
      <c r="V242" s="118">
        <f>П4ВСР!AA466</f>
        <v>0</v>
      </c>
      <c r="W242" s="118">
        <f>П4ВСР!AB466</f>
        <v>0</v>
      </c>
      <c r="X242" s="116" t="s">
        <v>504</v>
      </c>
    </row>
    <row r="243" spans="1:24" ht="82.5" hidden="1" customHeight="1" x14ac:dyDescent="0.25">
      <c r="A243" s="116" t="s">
        <v>458</v>
      </c>
      <c r="B243" s="208" t="s">
        <v>138</v>
      </c>
      <c r="C243" s="208" t="s">
        <v>132</v>
      </c>
      <c r="D243" s="208" t="s">
        <v>717</v>
      </c>
      <c r="E243" s="208"/>
      <c r="F243" s="208"/>
      <c r="G243" s="208"/>
      <c r="H243" s="208"/>
      <c r="I243" s="208"/>
      <c r="J243" s="208"/>
      <c r="K243" s="208"/>
      <c r="L243" s="208"/>
      <c r="M243" s="208"/>
      <c r="N243" s="208"/>
      <c r="O243" s="208"/>
      <c r="P243" s="208"/>
      <c r="Q243" s="208"/>
      <c r="R243" s="208"/>
      <c r="S243" s="208"/>
      <c r="T243" s="402" t="s">
        <v>716</v>
      </c>
      <c r="U243" s="118">
        <f>U244</f>
        <v>0</v>
      </c>
      <c r="V243" s="118">
        <f>V244</f>
        <v>0</v>
      </c>
      <c r="W243" s="118">
        <f>W244</f>
        <v>0</v>
      </c>
      <c r="X243" s="116" t="s">
        <v>458</v>
      </c>
    </row>
    <row r="244" spans="1:24" ht="66.75" hidden="1" customHeight="1" x14ac:dyDescent="0.25">
      <c r="A244" s="116" t="s">
        <v>459</v>
      </c>
      <c r="B244" s="185" t="s">
        <v>138</v>
      </c>
      <c r="C244" s="185" t="s">
        <v>132</v>
      </c>
      <c r="D244" s="208" t="s">
        <v>717</v>
      </c>
      <c r="E244" s="185"/>
      <c r="F244" s="185"/>
      <c r="G244" s="185"/>
      <c r="H244" s="185"/>
      <c r="I244" s="185"/>
      <c r="J244" s="185"/>
      <c r="K244" s="185"/>
      <c r="L244" s="185"/>
      <c r="M244" s="185"/>
      <c r="N244" s="185"/>
      <c r="O244" s="185"/>
      <c r="P244" s="185"/>
      <c r="Q244" s="185"/>
      <c r="R244" s="185"/>
      <c r="S244" s="185" t="s">
        <v>309</v>
      </c>
      <c r="T244" s="400" t="s">
        <v>459</v>
      </c>
      <c r="U244" s="118">
        <f>П4ВСР!Z381</f>
        <v>0</v>
      </c>
      <c r="V244" s="118">
        <f>П4ВСР!AA381</f>
        <v>0</v>
      </c>
      <c r="W244" s="118">
        <f>П4ВСР!AB381</f>
        <v>0</v>
      </c>
      <c r="X244" s="116" t="s">
        <v>459</v>
      </c>
    </row>
    <row r="245" spans="1:24" ht="65.25" customHeight="1" x14ac:dyDescent="0.25">
      <c r="A245" s="116" t="s">
        <v>383</v>
      </c>
      <c r="B245" s="208" t="s">
        <v>138</v>
      </c>
      <c r="C245" s="208" t="s">
        <v>132</v>
      </c>
      <c r="D245" s="208" t="s">
        <v>628</v>
      </c>
      <c r="E245" s="208"/>
      <c r="F245" s="208"/>
      <c r="G245" s="208"/>
      <c r="H245" s="208"/>
      <c r="I245" s="208"/>
      <c r="J245" s="208"/>
      <c r="K245" s="208"/>
      <c r="L245" s="208"/>
      <c r="M245" s="208"/>
      <c r="N245" s="208"/>
      <c r="O245" s="208"/>
      <c r="P245" s="208"/>
      <c r="Q245" s="208"/>
      <c r="R245" s="208"/>
      <c r="S245" s="208"/>
      <c r="T245" s="402" t="s">
        <v>627</v>
      </c>
      <c r="U245" s="118">
        <f>U246</f>
        <v>18191375.079999998</v>
      </c>
      <c r="V245" s="118">
        <f>V246</f>
        <v>5440940.71</v>
      </c>
      <c r="W245" s="118">
        <f>W246</f>
        <v>4518726.66</v>
      </c>
      <c r="X245" s="116" t="s">
        <v>383</v>
      </c>
    </row>
    <row r="246" spans="1:24" ht="48.75" customHeight="1" x14ac:dyDescent="0.25">
      <c r="A246" s="116" t="s">
        <v>384</v>
      </c>
      <c r="B246" s="185" t="s">
        <v>138</v>
      </c>
      <c r="C246" s="185" t="s">
        <v>132</v>
      </c>
      <c r="D246" s="208" t="s">
        <v>628</v>
      </c>
      <c r="E246" s="185"/>
      <c r="F246" s="185"/>
      <c r="G246" s="185"/>
      <c r="H246" s="185"/>
      <c r="I246" s="185"/>
      <c r="J246" s="185"/>
      <c r="K246" s="185"/>
      <c r="L246" s="185"/>
      <c r="M246" s="185"/>
      <c r="N246" s="185"/>
      <c r="O246" s="185"/>
      <c r="P246" s="185"/>
      <c r="Q246" s="185"/>
      <c r="R246" s="185"/>
      <c r="S246" s="185" t="s">
        <v>309</v>
      </c>
      <c r="T246" s="400" t="s">
        <v>460</v>
      </c>
      <c r="U246" s="258">
        <f>П4ВСР!Z383+П4ВСР!Z189</f>
        <v>18191375.079999998</v>
      </c>
      <c r="V246" s="118">
        <f>П4ВСР!AA383+П4ВСР!AA189</f>
        <v>5440940.71</v>
      </c>
      <c r="W246" s="118">
        <f>П4ВСР!AB383+П4ВСР!AB189</f>
        <v>4518726.66</v>
      </c>
      <c r="X246" s="116" t="s">
        <v>384</v>
      </c>
    </row>
    <row r="247" spans="1:24" ht="66" customHeight="1" x14ac:dyDescent="0.25">
      <c r="A247" s="116" t="s">
        <v>461</v>
      </c>
      <c r="B247" s="208" t="s">
        <v>138</v>
      </c>
      <c r="C247" s="208" t="s">
        <v>132</v>
      </c>
      <c r="D247" s="208" t="s">
        <v>719</v>
      </c>
      <c r="E247" s="208"/>
      <c r="F247" s="208"/>
      <c r="G247" s="208"/>
      <c r="H247" s="208"/>
      <c r="I247" s="208"/>
      <c r="J247" s="208"/>
      <c r="K247" s="208"/>
      <c r="L247" s="208"/>
      <c r="M247" s="208"/>
      <c r="N247" s="208"/>
      <c r="O247" s="208"/>
      <c r="P247" s="208"/>
      <c r="Q247" s="208"/>
      <c r="R247" s="208"/>
      <c r="S247" s="208"/>
      <c r="T247" s="402" t="s">
        <v>718</v>
      </c>
      <c r="U247" s="258">
        <f>U248</f>
        <v>653000</v>
      </c>
      <c r="V247" s="118">
        <f>V248</f>
        <v>50000</v>
      </c>
      <c r="W247" s="118">
        <f>W248</f>
        <v>50000</v>
      </c>
      <c r="X247" s="116" t="s">
        <v>461</v>
      </c>
    </row>
    <row r="248" spans="1:24" ht="66" customHeight="1" x14ac:dyDescent="0.25">
      <c r="A248" s="116" t="s">
        <v>462</v>
      </c>
      <c r="B248" s="185" t="s">
        <v>138</v>
      </c>
      <c r="C248" s="185" t="s">
        <v>132</v>
      </c>
      <c r="D248" s="208" t="s">
        <v>719</v>
      </c>
      <c r="E248" s="185"/>
      <c r="F248" s="185"/>
      <c r="G248" s="185"/>
      <c r="H248" s="185"/>
      <c r="I248" s="185"/>
      <c r="J248" s="185"/>
      <c r="K248" s="185"/>
      <c r="L248" s="185"/>
      <c r="M248" s="185"/>
      <c r="N248" s="185"/>
      <c r="O248" s="185"/>
      <c r="P248" s="185"/>
      <c r="Q248" s="185"/>
      <c r="R248" s="185"/>
      <c r="S248" s="185" t="s">
        <v>309</v>
      </c>
      <c r="T248" s="400" t="s">
        <v>462</v>
      </c>
      <c r="U248" s="258">
        <f>П4ВСР!Z385</f>
        <v>653000</v>
      </c>
      <c r="V248" s="118">
        <f>П4ВСР!AA385</f>
        <v>50000</v>
      </c>
      <c r="W248" s="118">
        <f>П4ВСР!AB385</f>
        <v>50000</v>
      </c>
      <c r="X248" s="116" t="s">
        <v>462</v>
      </c>
    </row>
    <row r="249" spans="1:24" ht="81.75" customHeight="1" x14ac:dyDescent="0.25">
      <c r="A249" s="116" t="s">
        <v>463</v>
      </c>
      <c r="B249" s="208" t="s">
        <v>138</v>
      </c>
      <c r="C249" s="208" t="s">
        <v>132</v>
      </c>
      <c r="D249" s="208" t="s">
        <v>721</v>
      </c>
      <c r="E249" s="208"/>
      <c r="F249" s="208"/>
      <c r="G249" s="208"/>
      <c r="H249" s="208"/>
      <c r="I249" s="208"/>
      <c r="J249" s="208"/>
      <c r="K249" s="208"/>
      <c r="L249" s="208"/>
      <c r="M249" s="208"/>
      <c r="N249" s="208"/>
      <c r="O249" s="208"/>
      <c r="P249" s="208"/>
      <c r="Q249" s="208"/>
      <c r="R249" s="208"/>
      <c r="S249" s="208"/>
      <c r="T249" s="402" t="s">
        <v>720</v>
      </c>
      <c r="U249" s="118">
        <f>U250</f>
        <v>50000</v>
      </c>
      <c r="V249" s="118">
        <f>V250</f>
        <v>50000</v>
      </c>
      <c r="W249" s="118">
        <f>W250</f>
        <v>50000</v>
      </c>
      <c r="X249" s="116" t="s">
        <v>463</v>
      </c>
    </row>
    <row r="250" spans="1:24" ht="82.5" customHeight="1" x14ac:dyDescent="0.25">
      <c r="A250" s="116" t="s">
        <v>464</v>
      </c>
      <c r="B250" s="185" t="s">
        <v>138</v>
      </c>
      <c r="C250" s="185" t="s">
        <v>132</v>
      </c>
      <c r="D250" s="208" t="s">
        <v>721</v>
      </c>
      <c r="E250" s="185"/>
      <c r="F250" s="185"/>
      <c r="G250" s="185"/>
      <c r="H250" s="185"/>
      <c r="I250" s="185"/>
      <c r="J250" s="185"/>
      <c r="K250" s="185"/>
      <c r="L250" s="185"/>
      <c r="M250" s="185"/>
      <c r="N250" s="185"/>
      <c r="O250" s="185"/>
      <c r="P250" s="185"/>
      <c r="Q250" s="185"/>
      <c r="R250" s="185"/>
      <c r="S250" s="185" t="s">
        <v>309</v>
      </c>
      <c r="T250" s="400" t="s">
        <v>464</v>
      </c>
      <c r="U250" s="118">
        <f>П4ВСР!Z387</f>
        <v>50000</v>
      </c>
      <c r="V250" s="118">
        <f>П4ВСР!AA387</f>
        <v>50000</v>
      </c>
      <c r="W250" s="118">
        <f>П4ВСР!AB387</f>
        <v>50000</v>
      </c>
      <c r="X250" s="116" t="s">
        <v>464</v>
      </c>
    </row>
    <row r="251" spans="1:24" ht="117" customHeight="1" x14ac:dyDescent="0.25">
      <c r="A251" s="121" t="s">
        <v>234</v>
      </c>
      <c r="B251" s="208" t="s">
        <v>138</v>
      </c>
      <c r="C251" s="208" t="s">
        <v>132</v>
      </c>
      <c r="D251" s="208" t="s">
        <v>824</v>
      </c>
      <c r="E251" s="117"/>
      <c r="F251" s="117"/>
      <c r="G251" s="117"/>
      <c r="H251" s="117"/>
      <c r="I251" s="117"/>
      <c r="J251" s="117"/>
      <c r="K251" s="117"/>
      <c r="L251" s="117"/>
      <c r="M251" s="117"/>
      <c r="N251" s="117"/>
      <c r="O251" s="117"/>
      <c r="P251" s="117"/>
      <c r="Q251" s="117"/>
      <c r="R251" s="117"/>
      <c r="S251" s="117"/>
      <c r="T251" s="427" t="s">
        <v>855</v>
      </c>
      <c r="U251" s="118">
        <f>U252</f>
        <v>153444003</v>
      </c>
      <c r="V251" s="118">
        <f>V252</f>
        <v>153444003</v>
      </c>
      <c r="W251" s="118">
        <f>W252</f>
        <v>153444003</v>
      </c>
      <c r="X251" s="121" t="s">
        <v>234</v>
      </c>
    </row>
    <row r="252" spans="1:24" ht="33" customHeight="1" x14ac:dyDescent="0.25">
      <c r="A252" s="121" t="s">
        <v>465</v>
      </c>
      <c r="B252" s="185" t="s">
        <v>138</v>
      </c>
      <c r="C252" s="185" t="s">
        <v>132</v>
      </c>
      <c r="D252" s="208" t="s">
        <v>824</v>
      </c>
      <c r="E252" s="185"/>
      <c r="F252" s="185"/>
      <c r="G252" s="185"/>
      <c r="H252" s="185"/>
      <c r="I252" s="185"/>
      <c r="J252" s="185"/>
      <c r="K252" s="185"/>
      <c r="L252" s="185"/>
      <c r="M252" s="185"/>
      <c r="N252" s="185"/>
      <c r="O252" s="185"/>
      <c r="P252" s="185"/>
      <c r="Q252" s="185"/>
      <c r="R252" s="185"/>
      <c r="S252" s="185" t="s">
        <v>309</v>
      </c>
      <c r="T252" s="403" t="s">
        <v>827</v>
      </c>
      <c r="U252" s="118">
        <f>П4ВСР!Z389</f>
        <v>153444003</v>
      </c>
      <c r="V252" s="118">
        <f>П4ВСР!AA389</f>
        <v>153444003</v>
      </c>
      <c r="W252" s="118">
        <f>П4ВСР!AB389</f>
        <v>153444003</v>
      </c>
      <c r="X252" s="121" t="s">
        <v>465</v>
      </c>
    </row>
    <row r="253" spans="1:24" ht="66" customHeight="1" x14ac:dyDescent="0.25">
      <c r="A253" s="116" t="s">
        <v>466</v>
      </c>
      <c r="B253" s="208" t="s">
        <v>138</v>
      </c>
      <c r="C253" s="208" t="s">
        <v>132</v>
      </c>
      <c r="D253" s="208" t="s">
        <v>723</v>
      </c>
      <c r="E253" s="208"/>
      <c r="F253" s="208"/>
      <c r="G253" s="208"/>
      <c r="H253" s="208"/>
      <c r="I253" s="208"/>
      <c r="J253" s="208"/>
      <c r="K253" s="208"/>
      <c r="L253" s="208"/>
      <c r="M253" s="208"/>
      <c r="N253" s="208"/>
      <c r="O253" s="208"/>
      <c r="P253" s="208"/>
      <c r="Q253" s="208"/>
      <c r="R253" s="208"/>
      <c r="S253" s="208"/>
      <c r="T253" s="402" t="s">
        <v>722</v>
      </c>
      <c r="U253" s="118">
        <f>U254</f>
        <v>80000</v>
      </c>
      <c r="V253" s="118">
        <f>V254</f>
        <v>50000</v>
      </c>
      <c r="W253" s="118">
        <f>W254</f>
        <v>50000</v>
      </c>
      <c r="X253" s="116" t="s">
        <v>466</v>
      </c>
    </row>
    <row r="254" spans="1:24" ht="48.75" customHeight="1" x14ac:dyDescent="0.25">
      <c r="A254" s="116" t="s">
        <v>467</v>
      </c>
      <c r="B254" s="185" t="s">
        <v>138</v>
      </c>
      <c r="C254" s="185" t="s">
        <v>132</v>
      </c>
      <c r="D254" s="208" t="s">
        <v>723</v>
      </c>
      <c r="E254" s="185"/>
      <c r="F254" s="185"/>
      <c r="G254" s="185"/>
      <c r="H254" s="185"/>
      <c r="I254" s="185"/>
      <c r="J254" s="185"/>
      <c r="K254" s="185"/>
      <c r="L254" s="185"/>
      <c r="M254" s="185"/>
      <c r="N254" s="185"/>
      <c r="O254" s="185"/>
      <c r="P254" s="185"/>
      <c r="Q254" s="185"/>
      <c r="R254" s="185"/>
      <c r="S254" s="185" t="s">
        <v>309</v>
      </c>
      <c r="T254" s="400" t="s">
        <v>467</v>
      </c>
      <c r="U254" s="118">
        <f>П4ВСР!Z391</f>
        <v>80000</v>
      </c>
      <c r="V254" s="118">
        <f>П4ВСР!AA391</f>
        <v>50000</v>
      </c>
      <c r="W254" s="118">
        <f>П4ВСР!AB391</f>
        <v>50000</v>
      </c>
      <c r="X254" s="116" t="s">
        <v>467</v>
      </c>
    </row>
    <row r="255" spans="1:24" ht="66" customHeight="1" x14ac:dyDescent="0.25">
      <c r="A255" s="116" t="s">
        <v>468</v>
      </c>
      <c r="B255" s="208" t="s">
        <v>138</v>
      </c>
      <c r="C255" s="208" t="s">
        <v>132</v>
      </c>
      <c r="D255" s="208" t="s">
        <v>725</v>
      </c>
      <c r="E255" s="208"/>
      <c r="F255" s="208"/>
      <c r="G255" s="208"/>
      <c r="H255" s="208"/>
      <c r="I255" s="208"/>
      <c r="J255" s="208"/>
      <c r="K255" s="208"/>
      <c r="L255" s="208"/>
      <c r="M255" s="208"/>
      <c r="N255" s="208"/>
      <c r="O255" s="208"/>
      <c r="P255" s="208"/>
      <c r="Q255" s="208"/>
      <c r="R255" s="208"/>
      <c r="S255" s="208"/>
      <c r="T255" s="402" t="s">
        <v>724</v>
      </c>
      <c r="U255" s="118">
        <f>U256</f>
        <v>50000</v>
      </c>
      <c r="V255" s="118">
        <f>V256</f>
        <v>50000</v>
      </c>
      <c r="W255" s="118">
        <f>W256</f>
        <v>10000</v>
      </c>
      <c r="X255" s="116" t="s">
        <v>468</v>
      </c>
    </row>
    <row r="256" spans="1:24" ht="49.5" customHeight="1" x14ac:dyDescent="0.25">
      <c r="A256" s="116" t="s">
        <v>469</v>
      </c>
      <c r="B256" s="185" t="s">
        <v>138</v>
      </c>
      <c r="C256" s="185" t="s">
        <v>132</v>
      </c>
      <c r="D256" s="208" t="s">
        <v>725</v>
      </c>
      <c r="E256" s="185"/>
      <c r="F256" s="185"/>
      <c r="G256" s="185"/>
      <c r="H256" s="185"/>
      <c r="I256" s="185"/>
      <c r="J256" s="185"/>
      <c r="K256" s="185"/>
      <c r="L256" s="185"/>
      <c r="M256" s="185"/>
      <c r="N256" s="185"/>
      <c r="O256" s="185"/>
      <c r="P256" s="185"/>
      <c r="Q256" s="185"/>
      <c r="R256" s="185"/>
      <c r="S256" s="185" t="s">
        <v>309</v>
      </c>
      <c r="T256" s="400" t="s">
        <v>469</v>
      </c>
      <c r="U256" s="118">
        <f>П4ВСР!Z393</f>
        <v>50000</v>
      </c>
      <c r="V256" s="118">
        <f>П4ВСР!AA393</f>
        <v>50000</v>
      </c>
      <c r="W256" s="118">
        <f>П4ВСР!AB393</f>
        <v>10000</v>
      </c>
      <c r="X256" s="116" t="s">
        <v>469</v>
      </c>
    </row>
    <row r="257" spans="1:24" ht="67.5" customHeight="1" x14ac:dyDescent="0.25">
      <c r="A257" s="116" t="s">
        <v>470</v>
      </c>
      <c r="B257" s="208" t="s">
        <v>138</v>
      </c>
      <c r="C257" s="208" t="s">
        <v>132</v>
      </c>
      <c r="D257" s="208" t="s">
        <v>727</v>
      </c>
      <c r="E257" s="208"/>
      <c r="F257" s="208"/>
      <c r="G257" s="208"/>
      <c r="H257" s="208"/>
      <c r="I257" s="208"/>
      <c r="J257" s="208"/>
      <c r="K257" s="208"/>
      <c r="L257" s="208"/>
      <c r="M257" s="208"/>
      <c r="N257" s="208"/>
      <c r="O257" s="208"/>
      <c r="P257" s="208"/>
      <c r="Q257" s="208"/>
      <c r="R257" s="208"/>
      <c r="S257" s="208"/>
      <c r="T257" s="402" t="s">
        <v>726</v>
      </c>
      <c r="U257" s="118">
        <f>U258</f>
        <v>20000</v>
      </c>
      <c r="V257" s="118">
        <f>V258</f>
        <v>20000</v>
      </c>
      <c r="W257" s="118">
        <f>W258</f>
        <v>20000</v>
      </c>
      <c r="X257" s="116" t="s">
        <v>470</v>
      </c>
    </row>
    <row r="258" spans="1:24" ht="51.75" customHeight="1" thickBot="1" x14ac:dyDescent="0.3">
      <c r="A258" s="116" t="s">
        <v>471</v>
      </c>
      <c r="B258" s="185" t="s">
        <v>138</v>
      </c>
      <c r="C258" s="185" t="s">
        <v>132</v>
      </c>
      <c r="D258" s="208" t="s">
        <v>727</v>
      </c>
      <c r="E258" s="185"/>
      <c r="F258" s="185"/>
      <c r="G258" s="185"/>
      <c r="H258" s="185"/>
      <c r="I258" s="185"/>
      <c r="J258" s="185"/>
      <c r="K258" s="185"/>
      <c r="L258" s="185"/>
      <c r="M258" s="185"/>
      <c r="N258" s="185"/>
      <c r="O258" s="185"/>
      <c r="P258" s="185"/>
      <c r="Q258" s="185"/>
      <c r="R258" s="185"/>
      <c r="S258" s="185" t="s">
        <v>309</v>
      </c>
      <c r="T258" s="400" t="s">
        <v>471</v>
      </c>
      <c r="U258" s="118">
        <f>П4ВСР!Z395</f>
        <v>20000</v>
      </c>
      <c r="V258" s="118">
        <f>П4ВСР!AA395</f>
        <v>20000</v>
      </c>
      <c r="W258" s="118">
        <f>П4ВСР!AB395</f>
        <v>20000</v>
      </c>
      <c r="X258" s="116" t="s">
        <v>471</v>
      </c>
    </row>
    <row r="259" spans="1:24" ht="51.75" customHeight="1" thickBot="1" x14ac:dyDescent="0.3">
      <c r="A259" s="116"/>
      <c r="B259" s="185" t="s">
        <v>138</v>
      </c>
      <c r="C259" s="185" t="s">
        <v>132</v>
      </c>
      <c r="D259" s="208" t="s">
        <v>688</v>
      </c>
      <c r="E259" s="185"/>
      <c r="F259" s="185"/>
      <c r="G259" s="185"/>
      <c r="H259" s="185"/>
      <c r="I259" s="185"/>
      <c r="J259" s="185"/>
      <c r="K259" s="185"/>
      <c r="L259" s="185"/>
      <c r="M259" s="185"/>
      <c r="N259" s="185"/>
      <c r="O259" s="185"/>
      <c r="P259" s="185"/>
      <c r="Q259" s="185"/>
      <c r="R259" s="185"/>
      <c r="S259" s="185"/>
      <c r="T259" s="428" t="s">
        <v>687</v>
      </c>
      <c r="U259" s="118">
        <f>U260</f>
        <v>340000</v>
      </c>
      <c r="V259" s="118">
        <f>V260</f>
        <v>80000</v>
      </c>
      <c r="W259" s="118">
        <f>W260</f>
        <v>360000</v>
      </c>
      <c r="X259" s="116"/>
    </row>
    <row r="260" spans="1:24" ht="81.75" customHeight="1" x14ac:dyDescent="0.25">
      <c r="A260" s="116"/>
      <c r="B260" s="185" t="s">
        <v>138</v>
      </c>
      <c r="C260" s="185" t="s">
        <v>132</v>
      </c>
      <c r="D260" s="208" t="s">
        <v>688</v>
      </c>
      <c r="E260" s="185"/>
      <c r="F260" s="185"/>
      <c r="G260" s="185"/>
      <c r="H260" s="185"/>
      <c r="I260" s="185"/>
      <c r="J260" s="185"/>
      <c r="K260" s="185"/>
      <c r="L260" s="185"/>
      <c r="M260" s="185"/>
      <c r="N260" s="185"/>
      <c r="O260" s="185"/>
      <c r="P260" s="185"/>
      <c r="Q260" s="185"/>
      <c r="R260" s="185"/>
      <c r="S260" s="185" t="s">
        <v>309</v>
      </c>
      <c r="T260" s="429" t="s">
        <v>875</v>
      </c>
      <c r="U260" s="118">
        <f>П4ВСР!Z397</f>
        <v>340000</v>
      </c>
      <c r="V260" s="118">
        <f>П4ВСР!AA397</f>
        <v>80000</v>
      </c>
      <c r="W260" s="118">
        <f>П4ВСР!AB397</f>
        <v>360000</v>
      </c>
      <c r="X260" s="116"/>
    </row>
    <row r="261" spans="1:24" ht="46.5" customHeight="1" x14ac:dyDescent="0.25">
      <c r="A261" s="116" t="s">
        <v>472</v>
      </c>
      <c r="B261" s="208" t="s">
        <v>138</v>
      </c>
      <c r="C261" s="208" t="s">
        <v>132</v>
      </c>
      <c r="D261" s="208" t="s">
        <v>728</v>
      </c>
      <c r="E261" s="208"/>
      <c r="F261" s="208"/>
      <c r="G261" s="208"/>
      <c r="H261" s="208"/>
      <c r="I261" s="208"/>
      <c r="J261" s="208"/>
      <c r="K261" s="208"/>
      <c r="L261" s="208"/>
      <c r="M261" s="208"/>
      <c r="N261" s="208"/>
      <c r="O261" s="208"/>
      <c r="P261" s="208"/>
      <c r="Q261" s="208"/>
      <c r="R261" s="208"/>
      <c r="S261" s="208"/>
      <c r="T261" s="402" t="s">
        <v>472</v>
      </c>
      <c r="U261" s="118">
        <f>U262</f>
        <v>173500</v>
      </c>
      <c r="V261" s="118">
        <f>V262</f>
        <v>166500</v>
      </c>
      <c r="W261" s="118">
        <f>W262</f>
        <v>166500</v>
      </c>
      <c r="X261" s="116" t="s">
        <v>472</v>
      </c>
    </row>
    <row r="262" spans="1:24" ht="66.75" customHeight="1" x14ac:dyDescent="0.25">
      <c r="A262" s="116" t="s">
        <v>473</v>
      </c>
      <c r="B262" s="185" t="s">
        <v>138</v>
      </c>
      <c r="C262" s="185" t="s">
        <v>132</v>
      </c>
      <c r="D262" s="208" t="s">
        <v>728</v>
      </c>
      <c r="E262" s="185"/>
      <c r="F262" s="185"/>
      <c r="G262" s="185"/>
      <c r="H262" s="185"/>
      <c r="I262" s="185"/>
      <c r="J262" s="185"/>
      <c r="K262" s="185"/>
      <c r="L262" s="185"/>
      <c r="M262" s="185"/>
      <c r="N262" s="185"/>
      <c r="O262" s="185"/>
      <c r="P262" s="185"/>
      <c r="Q262" s="185"/>
      <c r="R262" s="185"/>
      <c r="S262" s="185" t="s">
        <v>309</v>
      </c>
      <c r="T262" s="400" t="s">
        <v>473</v>
      </c>
      <c r="U262" s="118">
        <f>П4ВСР!Z399</f>
        <v>173500</v>
      </c>
      <c r="V262" s="118">
        <f>П4ВСР!AA399</f>
        <v>166500</v>
      </c>
      <c r="W262" s="118">
        <f>П4ВСР!AB399</f>
        <v>166500</v>
      </c>
      <c r="X262" s="116" t="s">
        <v>473</v>
      </c>
    </row>
    <row r="263" spans="1:24" ht="16.5" customHeight="1" x14ac:dyDescent="0.25">
      <c r="A263" s="116"/>
      <c r="B263" s="185" t="s">
        <v>138</v>
      </c>
      <c r="C263" s="185" t="s">
        <v>123</v>
      </c>
      <c r="D263" s="208"/>
      <c r="E263" s="185"/>
      <c r="F263" s="185"/>
      <c r="G263" s="185"/>
      <c r="H263" s="185"/>
      <c r="I263" s="185"/>
      <c r="J263" s="185"/>
      <c r="K263" s="185"/>
      <c r="L263" s="185"/>
      <c r="M263" s="185"/>
      <c r="N263" s="185"/>
      <c r="O263" s="185"/>
      <c r="P263" s="185"/>
      <c r="Q263" s="185"/>
      <c r="R263" s="185"/>
      <c r="S263" s="185"/>
      <c r="T263" s="415" t="s">
        <v>889</v>
      </c>
      <c r="U263" s="118">
        <f t="shared" ref="U263:W264" si="13">U264</f>
        <v>5801834.5599999996</v>
      </c>
      <c r="V263" s="118">
        <f t="shared" si="13"/>
        <v>7636834.5599999996</v>
      </c>
      <c r="W263" s="118">
        <f t="shared" si="13"/>
        <v>7636834.5599999996</v>
      </c>
      <c r="X263" s="116"/>
    </row>
    <row r="264" spans="1:24" ht="81" customHeight="1" x14ac:dyDescent="0.25">
      <c r="A264" s="116"/>
      <c r="B264" s="185" t="s">
        <v>138</v>
      </c>
      <c r="C264" s="185" t="s">
        <v>123</v>
      </c>
      <c r="D264" s="208" t="s">
        <v>752</v>
      </c>
      <c r="E264" s="185"/>
      <c r="F264" s="185"/>
      <c r="G264" s="185"/>
      <c r="H264" s="185"/>
      <c r="I264" s="185"/>
      <c r="J264" s="185"/>
      <c r="K264" s="185"/>
      <c r="L264" s="185"/>
      <c r="M264" s="185"/>
      <c r="N264" s="185"/>
      <c r="O264" s="185"/>
      <c r="P264" s="185"/>
      <c r="Q264" s="185"/>
      <c r="R264" s="185"/>
      <c r="S264" s="185"/>
      <c r="T264" s="402" t="s">
        <v>751</v>
      </c>
      <c r="U264" s="118">
        <f t="shared" si="13"/>
        <v>5801834.5599999996</v>
      </c>
      <c r="V264" s="118">
        <f t="shared" si="13"/>
        <v>7636834.5599999996</v>
      </c>
      <c r="W264" s="118">
        <f t="shared" si="13"/>
        <v>7636834.5599999996</v>
      </c>
      <c r="X264" s="116"/>
    </row>
    <row r="265" spans="1:24" ht="66.75" customHeight="1" x14ac:dyDescent="0.25">
      <c r="A265" s="116"/>
      <c r="B265" s="185" t="s">
        <v>138</v>
      </c>
      <c r="C265" s="185" t="s">
        <v>123</v>
      </c>
      <c r="D265" s="208" t="s">
        <v>752</v>
      </c>
      <c r="E265" s="185"/>
      <c r="F265" s="185"/>
      <c r="G265" s="185"/>
      <c r="H265" s="185"/>
      <c r="I265" s="185"/>
      <c r="J265" s="185"/>
      <c r="K265" s="185"/>
      <c r="L265" s="185"/>
      <c r="M265" s="185"/>
      <c r="N265" s="185"/>
      <c r="O265" s="185"/>
      <c r="P265" s="185"/>
      <c r="Q265" s="185"/>
      <c r="R265" s="185"/>
      <c r="S265" s="185"/>
      <c r="T265" s="400" t="s">
        <v>504</v>
      </c>
      <c r="U265" s="118">
        <f>П4ВСР!Z469</f>
        <v>5801834.5599999996</v>
      </c>
      <c r="V265" s="118">
        <f>П4ВСР!AA469</f>
        <v>7636834.5599999996</v>
      </c>
      <c r="W265" s="118">
        <f>П4ВСР!AB469</f>
        <v>7636834.5599999996</v>
      </c>
      <c r="X265" s="116"/>
    </row>
    <row r="266" spans="1:24" ht="15.75" customHeight="1" x14ac:dyDescent="0.25">
      <c r="A266" s="116" t="s">
        <v>157</v>
      </c>
      <c r="B266" s="117" t="s">
        <v>138</v>
      </c>
      <c r="C266" s="117" t="s">
        <v>138</v>
      </c>
      <c r="D266" s="117"/>
      <c r="E266" s="117"/>
      <c r="F266" s="117"/>
      <c r="G266" s="117"/>
      <c r="H266" s="117"/>
      <c r="I266" s="117"/>
      <c r="J266" s="117"/>
      <c r="K266" s="117"/>
      <c r="L266" s="117"/>
      <c r="M266" s="117"/>
      <c r="N266" s="117"/>
      <c r="O266" s="117"/>
      <c r="P266" s="117"/>
      <c r="Q266" s="117"/>
      <c r="R266" s="117"/>
      <c r="S266" s="117"/>
      <c r="T266" s="430" t="s">
        <v>841</v>
      </c>
      <c r="U266" s="118">
        <f>U267+U269+U271+U273+U277+U279+U287+U282+U284+U275</f>
        <v>4541731.62</v>
      </c>
      <c r="V266" s="118">
        <f>V267+V269+V271+V273+V277+V279+V287+V282+V284</f>
        <v>3893200</v>
      </c>
      <c r="W266" s="118">
        <f>W267+W269+W271+W273+W277+W279+W287+W282+W284</f>
        <v>4280175</v>
      </c>
      <c r="X266" s="116" t="s">
        <v>157</v>
      </c>
    </row>
    <row r="267" spans="1:24" ht="65.25" customHeight="1" x14ac:dyDescent="0.25">
      <c r="A267" s="116" t="s">
        <v>385</v>
      </c>
      <c r="B267" s="183" t="s">
        <v>138</v>
      </c>
      <c r="C267" s="183" t="s">
        <v>138</v>
      </c>
      <c r="D267" s="183" t="s">
        <v>630</v>
      </c>
      <c r="E267" s="183"/>
      <c r="F267" s="183"/>
      <c r="G267" s="183"/>
      <c r="H267" s="183"/>
      <c r="I267" s="183"/>
      <c r="J267" s="183"/>
      <c r="K267" s="183"/>
      <c r="L267" s="183"/>
      <c r="M267" s="183"/>
      <c r="N267" s="183"/>
      <c r="O267" s="183"/>
      <c r="P267" s="183"/>
      <c r="Q267" s="183"/>
      <c r="R267" s="183"/>
      <c r="S267" s="183"/>
      <c r="T267" s="402" t="s">
        <v>629</v>
      </c>
      <c r="U267" s="118">
        <f>U268</f>
        <v>70000</v>
      </c>
      <c r="V267" s="118">
        <f>V268</f>
        <v>50000</v>
      </c>
      <c r="W267" s="118">
        <f>W268</f>
        <v>50000</v>
      </c>
      <c r="X267" s="116" t="s">
        <v>385</v>
      </c>
    </row>
    <row r="268" spans="1:24" ht="49.5" customHeight="1" x14ac:dyDescent="0.25">
      <c r="A268" s="116" t="s">
        <v>386</v>
      </c>
      <c r="B268" s="188" t="s">
        <v>138</v>
      </c>
      <c r="C268" s="188" t="s">
        <v>138</v>
      </c>
      <c r="D268" s="183" t="s">
        <v>630</v>
      </c>
      <c r="E268" s="188"/>
      <c r="F268" s="188"/>
      <c r="G268" s="188"/>
      <c r="H268" s="188"/>
      <c r="I268" s="188"/>
      <c r="J268" s="188"/>
      <c r="K268" s="188"/>
      <c r="L268" s="188"/>
      <c r="M268" s="188"/>
      <c r="N268" s="188"/>
      <c r="O268" s="188"/>
      <c r="P268" s="188"/>
      <c r="Q268" s="188"/>
      <c r="R268" s="188"/>
      <c r="S268" s="188" t="s">
        <v>290</v>
      </c>
      <c r="T268" s="400" t="s">
        <v>386</v>
      </c>
      <c r="U268" s="118">
        <f>П4ВСР!Z192</f>
        <v>70000</v>
      </c>
      <c r="V268" s="118">
        <f>П4ВСР!AA192</f>
        <v>50000</v>
      </c>
      <c r="W268" s="118">
        <f>П4ВСР!AB192</f>
        <v>50000</v>
      </c>
      <c r="X268" s="116" t="s">
        <v>386</v>
      </c>
    </row>
    <row r="269" spans="1:24" ht="112.5" customHeight="1" x14ac:dyDescent="0.25">
      <c r="A269" s="116" t="s">
        <v>387</v>
      </c>
      <c r="B269" s="183" t="s">
        <v>138</v>
      </c>
      <c r="C269" s="183" t="s">
        <v>138</v>
      </c>
      <c r="D269" s="183" t="s">
        <v>632</v>
      </c>
      <c r="E269" s="183"/>
      <c r="F269" s="183"/>
      <c r="G269" s="183"/>
      <c r="H269" s="183"/>
      <c r="I269" s="183"/>
      <c r="J269" s="183"/>
      <c r="K269" s="183"/>
      <c r="L269" s="183"/>
      <c r="M269" s="183"/>
      <c r="N269" s="183"/>
      <c r="O269" s="183"/>
      <c r="P269" s="183"/>
      <c r="Q269" s="183"/>
      <c r="R269" s="183"/>
      <c r="S269" s="183"/>
      <c r="T269" s="402" t="s">
        <v>631</v>
      </c>
      <c r="U269" s="118">
        <f>U270</f>
        <v>49413</v>
      </c>
      <c r="V269" s="118">
        <f>V270</f>
        <v>50000</v>
      </c>
      <c r="W269" s="118">
        <f>W270</f>
        <v>50000</v>
      </c>
      <c r="X269" s="116" t="s">
        <v>387</v>
      </c>
    </row>
    <row r="270" spans="1:24" ht="66" customHeight="1" x14ac:dyDescent="0.25">
      <c r="A270" s="116" t="s">
        <v>388</v>
      </c>
      <c r="B270" s="188" t="s">
        <v>138</v>
      </c>
      <c r="C270" s="188" t="s">
        <v>138</v>
      </c>
      <c r="D270" s="183" t="s">
        <v>632</v>
      </c>
      <c r="E270" s="188"/>
      <c r="F270" s="188"/>
      <c r="G270" s="188"/>
      <c r="H270" s="188"/>
      <c r="I270" s="188"/>
      <c r="J270" s="188"/>
      <c r="K270" s="188"/>
      <c r="L270" s="188"/>
      <c r="M270" s="188"/>
      <c r="N270" s="188"/>
      <c r="O270" s="188"/>
      <c r="P270" s="188"/>
      <c r="Q270" s="188"/>
      <c r="R270" s="188"/>
      <c r="S270" s="188" t="s">
        <v>290</v>
      </c>
      <c r="T270" s="400" t="s">
        <v>871</v>
      </c>
      <c r="U270" s="118">
        <f>П4ВСР!Z194</f>
        <v>49413</v>
      </c>
      <c r="V270" s="118">
        <f>П4ВСР!AA194</f>
        <v>50000</v>
      </c>
      <c r="W270" s="118">
        <f>П4ВСР!AB194</f>
        <v>50000</v>
      </c>
      <c r="X270" s="116" t="s">
        <v>388</v>
      </c>
    </row>
    <row r="271" spans="1:24" ht="80.25" customHeight="1" x14ac:dyDescent="0.25">
      <c r="A271" s="116" t="s">
        <v>389</v>
      </c>
      <c r="B271" s="183" t="s">
        <v>138</v>
      </c>
      <c r="C271" s="183" t="s">
        <v>138</v>
      </c>
      <c r="D271" s="183" t="s">
        <v>634</v>
      </c>
      <c r="E271" s="183"/>
      <c r="F271" s="183"/>
      <c r="G271" s="183"/>
      <c r="H271" s="183"/>
      <c r="I271" s="183"/>
      <c r="J271" s="183"/>
      <c r="K271" s="183"/>
      <c r="L271" s="183"/>
      <c r="M271" s="183"/>
      <c r="N271" s="183"/>
      <c r="O271" s="183"/>
      <c r="P271" s="183"/>
      <c r="Q271" s="183"/>
      <c r="R271" s="183"/>
      <c r="S271" s="183"/>
      <c r="T271" s="402" t="s">
        <v>633</v>
      </c>
      <c r="U271" s="118">
        <f>U272</f>
        <v>100000</v>
      </c>
      <c r="V271" s="118">
        <f>V272</f>
        <v>53000</v>
      </c>
      <c r="W271" s="118">
        <f>W272</f>
        <v>53000</v>
      </c>
      <c r="X271" s="116" t="s">
        <v>389</v>
      </c>
    </row>
    <row r="272" spans="1:24" ht="33.75" customHeight="1" x14ac:dyDescent="0.25">
      <c r="A272" s="116" t="s">
        <v>390</v>
      </c>
      <c r="B272" s="188" t="s">
        <v>138</v>
      </c>
      <c r="C272" s="188" t="s">
        <v>138</v>
      </c>
      <c r="D272" s="183" t="s">
        <v>634</v>
      </c>
      <c r="E272" s="188"/>
      <c r="F272" s="188"/>
      <c r="G272" s="188"/>
      <c r="H272" s="188"/>
      <c r="I272" s="188"/>
      <c r="J272" s="188"/>
      <c r="K272" s="188"/>
      <c r="L272" s="188"/>
      <c r="M272" s="188"/>
      <c r="N272" s="188"/>
      <c r="O272" s="188"/>
      <c r="P272" s="188"/>
      <c r="Q272" s="188"/>
      <c r="R272" s="188"/>
      <c r="S272" s="188" t="s">
        <v>290</v>
      </c>
      <c r="T272" s="400" t="s">
        <v>390</v>
      </c>
      <c r="U272" s="118">
        <f>П4ВСР!Z196</f>
        <v>100000</v>
      </c>
      <c r="V272" s="118">
        <f>П4ВСР!AA196</f>
        <v>53000</v>
      </c>
      <c r="W272" s="118">
        <f>П4ВСР!AB196</f>
        <v>53000</v>
      </c>
      <c r="X272" s="116" t="s">
        <v>390</v>
      </c>
    </row>
    <row r="273" spans="1:24" ht="111" customHeight="1" x14ac:dyDescent="0.25">
      <c r="A273" s="116"/>
      <c r="B273" s="188" t="s">
        <v>138</v>
      </c>
      <c r="C273" s="188" t="s">
        <v>138</v>
      </c>
      <c r="D273" s="183" t="s">
        <v>636</v>
      </c>
      <c r="E273" s="188"/>
      <c r="F273" s="188"/>
      <c r="G273" s="188"/>
      <c r="H273" s="188"/>
      <c r="I273" s="188"/>
      <c r="J273" s="188"/>
      <c r="K273" s="188"/>
      <c r="L273" s="188"/>
      <c r="M273" s="188"/>
      <c r="N273" s="188"/>
      <c r="O273" s="188"/>
      <c r="P273" s="188"/>
      <c r="Q273" s="188"/>
      <c r="R273" s="188"/>
      <c r="S273" s="188"/>
      <c r="T273" s="402" t="s">
        <v>635</v>
      </c>
      <c r="U273" s="118">
        <f>U274</f>
        <v>70000</v>
      </c>
      <c r="V273" s="118">
        <f>V274</f>
        <v>30000</v>
      </c>
      <c r="W273" s="118">
        <f>W274</f>
        <v>50000</v>
      </c>
      <c r="X273" s="116"/>
    </row>
    <row r="274" spans="1:24" ht="51" customHeight="1" x14ac:dyDescent="0.25">
      <c r="A274" s="116"/>
      <c r="B274" s="188" t="s">
        <v>138</v>
      </c>
      <c r="C274" s="188" t="s">
        <v>138</v>
      </c>
      <c r="D274" s="183" t="s">
        <v>636</v>
      </c>
      <c r="E274" s="188"/>
      <c r="F274" s="188"/>
      <c r="G274" s="188"/>
      <c r="H274" s="188"/>
      <c r="I274" s="188"/>
      <c r="J274" s="188"/>
      <c r="K274" s="188"/>
      <c r="L274" s="188"/>
      <c r="M274" s="188"/>
      <c r="N274" s="188"/>
      <c r="O274" s="188"/>
      <c r="P274" s="188"/>
      <c r="Q274" s="188"/>
      <c r="R274" s="188"/>
      <c r="S274" s="188" t="s">
        <v>290</v>
      </c>
      <c r="T274" s="400" t="s">
        <v>872</v>
      </c>
      <c r="U274" s="118">
        <f>П4ВСР!Z198</f>
        <v>70000</v>
      </c>
      <c r="V274" s="118">
        <f>П4ВСР!AA198</f>
        <v>30000</v>
      </c>
      <c r="W274" s="118">
        <f>П4ВСР!AB198</f>
        <v>50000</v>
      </c>
      <c r="X274" s="116"/>
    </row>
    <row r="275" spans="1:24" ht="97.5" customHeight="1" x14ac:dyDescent="0.25">
      <c r="A275" s="116"/>
      <c r="B275" s="188" t="s">
        <v>138</v>
      </c>
      <c r="C275" s="188" t="s">
        <v>138</v>
      </c>
      <c r="D275" s="276" t="s">
        <v>1070</v>
      </c>
      <c r="E275" s="188"/>
      <c r="F275" s="188"/>
      <c r="G275" s="188"/>
      <c r="H275" s="188"/>
      <c r="I275" s="188"/>
      <c r="J275" s="188"/>
      <c r="K275" s="188"/>
      <c r="L275" s="188"/>
      <c r="M275" s="188"/>
      <c r="N275" s="188"/>
      <c r="O275" s="188"/>
      <c r="P275" s="188"/>
      <c r="Q275" s="188"/>
      <c r="R275" s="188"/>
      <c r="S275" s="188"/>
      <c r="T275" s="402" t="s">
        <v>1068</v>
      </c>
      <c r="U275" s="118">
        <f>U276</f>
        <v>20000</v>
      </c>
      <c r="V275" s="118">
        <v>0</v>
      </c>
      <c r="W275" s="118">
        <v>0</v>
      </c>
      <c r="X275" s="116"/>
    </row>
    <row r="276" spans="1:24" ht="51.75" customHeight="1" x14ac:dyDescent="0.25">
      <c r="A276" s="116"/>
      <c r="B276" s="188" t="s">
        <v>138</v>
      </c>
      <c r="C276" s="188" t="s">
        <v>138</v>
      </c>
      <c r="D276" s="276" t="s">
        <v>1070</v>
      </c>
      <c r="E276" s="188"/>
      <c r="F276" s="188"/>
      <c r="G276" s="188"/>
      <c r="H276" s="188"/>
      <c r="I276" s="188"/>
      <c r="J276" s="188"/>
      <c r="K276" s="188"/>
      <c r="L276" s="188"/>
      <c r="M276" s="188"/>
      <c r="N276" s="188"/>
      <c r="O276" s="188"/>
      <c r="P276" s="188"/>
      <c r="Q276" s="188"/>
      <c r="R276" s="188"/>
      <c r="S276" s="188" t="s">
        <v>290</v>
      </c>
      <c r="T276" s="400" t="s">
        <v>1069</v>
      </c>
      <c r="U276" s="118">
        <f>П4ВСР!Z200</f>
        <v>20000</v>
      </c>
      <c r="V276" s="118">
        <v>0</v>
      </c>
      <c r="W276" s="118">
        <v>0</v>
      </c>
      <c r="X276" s="116"/>
    </row>
    <row r="277" spans="1:24" ht="64.5" customHeight="1" x14ac:dyDescent="0.25">
      <c r="A277" s="116"/>
      <c r="B277" s="183" t="s">
        <v>138</v>
      </c>
      <c r="C277" s="183" t="s">
        <v>138</v>
      </c>
      <c r="D277" s="183" t="s">
        <v>638</v>
      </c>
      <c r="E277" s="183"/>
      <c r="F277" s="183"/>
      <c r="G277" s="183"/>
      <c r="H277" s="183"/>
      <c r="I277" s="183"/>
      <c r="J277" s="183"/>
      <c r="K277" s="183"/>
      <c r="L277" s="183"/>
      <c r="M277" s="183"/>
      <c r="N277" s="183"/>
      <c r="O277" s="183"/>
      <c r="P277" s="183"/>
      <c r="Q277" s="183"/>
      <c r="R277" s="183"/>
      <c r="S277" s="183"/>
      <c r="T277" s="402" t="s">
        <v>637</v>
      </c>
      <c r="U277" s="118">
        <f>U278</f>
        <v>300000</v>
      </c>
      <c r="V277" s="118">
        <f>V278</f>
        <v>50000</v>
      </c>
      <c r="W277" s="118">
        <f>W278</f>
        <v>50000</v>
      </c>
      <c r="X277" s="116"/>
    </row>
    <row r="278" spans="1:24" ht="49.5" customHeight="1" x14ac:dyDescent="0.25">
      <c r="A278" s="116"/>
      <c r="B278" s="188" t="s">
        <v>138</v>
      </c>
      <c r="C278" s="188" t="s">
        <v>138</v>
      </c>
      <c r="D278" s="183" t="s">
        <v>638</v>
      </c>
      <c r="E278" s="188"/>
      <c r="F278" s="188"/>
      <c r="G278" s="188"/>
      <c r="H278" s="188"/>
      <c r="I278" s="188"/>
      <c r="J278" s="188"/>
      <c r="K278" s="188"/>
      <c r="L278" s="188"/>
      <c r="M278" s="188"/>
      <c r="N278" s="188"/>
      <c r="O278" s="188"/>
      <c r="P278" s="188"/>
      <c r="Q278" s="188"/>
      <c r="R278" s="188"/>
      <c r="S278" s="188" t="s">
        <v>290</v>
      </c>
      <c r="T278" s="400" t="s">
        <v>392</v>
      </c>
      <c r="U278" s="118">
        <f>П4ВСР!Z202</f>
        <v>300000</v>
      </c>
      <c r="V278" s="118">
        <f>П4ВСР!AA202</f>
        <v>50000</v>
      </c>
      <c r="W278" s="118">
        <f>П4ВСР!AB202</f>
        <v>50000</v>
      </c>
      <c r="X278" s="116"/>
    </row>
    <row r="279" spans="1:24" ht="78" customHeight="1" x14ac:dyDescent="0.25">
      <c r="A279" s="116" t="s">
        <v>474</v>
      </c>
      <c r="B279" s="208" t="s">
        <v>138</v>
      </c>
      <c r="C279" s="208" t="s">
        <v>138</v>
      </c>
      <c r="D279" s="208" t="s">
        <v>730</v>
      </c>
      <c r="E279" s="208"/>
      <c r="F279" s="208"/>
      <c r="G279" s="208"/>
      <c r="H279" s="208"/>
      <c r="I279" s="208"/>
      <c r="J279" s="208"/>
      <c r="K279" s="208"/>
      <c r="L279" s="208"/>
      <c r="M279" s="208"/>
      <c r="N279" s="208"/>
      <c r="O279" s="208"/>
      <c r="P279" s="208"/>
      <c r="Q279" s="208"/>
      <c r="R279" s="208"/>
      <c r="S279" s="208"/>
      <c r="T279" s="402" t="s">
        <v>729</v>
      </c>
      <c r="U279" s="118">
        <f>U281+U280</f>
        <v>2198908.62</v>
      </c>
      <c r="V279" s="118">
        <f>V281</f>
        <v>0</v>
      </c>
      <c r="W279" s="118">
        <f>W281</f>
        <v>0</v>
      </c>
      <c r="X279" s="116" t="s">
        <v>474</v>
      </c>
    </row>
    <row r="280" spans="1:24" ht="48.75" customHeight="1" x14ac:dyDescent="0.25">
      <c r="A280" s="116"/>
      <c r="B280" s="185" t="s">
        <v>138</v>
      </c>
      <c r="C280" s="185" t="s">
        <v>138</v>
      </c>
      <c r="D280" s="208" t="s">
        <v>730</v>
      </c>
      <c r="E280" s="185"/>
      <c r="F280" s="185"/>
      <c r="G280" s="185"/>
      <c r="H280" s="185"/>
      <c r="I280" s="185"/>
      <c r="J280" s="185"/>
      <c r="K280" s="185"/>
      <c r="L280" s="185"/>
      <c r="M280" s="185"/>
      <c r="N280" s="185"/>
      <c r="O280" s="185"/>
      <c r="P280" s="185"/>
      <c r="Q280" s="185"/>
      <c r="R280" s="185"/>
      <c r="S280" s="185" t="s">
        <v>290</v>
      </c>
      <c r="T280" s="402" t="s">
        <v>1064</v>
      </c>
      <c r="U280" s="118">
        <f>П4ВСР!Z402</f>
        <v>0</v>
      </c>
      <c r="V280" s="118">
        <v>0</v>
      </c>
      <c r="W280" s="118">
        <v>0</v>
      </c>
      <c r="X280" s="116"/>
    </row>
    <row r="281" spans="1:24" ht="66" customHeight="1" x14ac:dyDescent="0.25">
      <c r="A281" s="116" t="s">
        <v>475</v>
      </c>
      <c r="B281" s="185" t="s">
        <v>138</v>
      </c>
      <c r="C281" s="185" t="s">
        <v>138</v>
      </c>
      <c r="D281" s="208" t="s">
        <v>730</v>
      </c>
      <c r="E281" s="185"/>
      <c r="F281" s="185"/>
      <c r="G281" s="185"/>
      <c r="H281" s="185"/>
      <c r="I281" s="185"/>
      <c r="J281" s="185"/>
      <c r="K281" s="185"/>
      <c r="L281" s="185"/>
      <c r="M281" s="185"/>
      <c r="N281" s="185"/>
      <c r="O281" s="185"/>
      <c r="P281" s="185"/>
      <c r="Q281" s="185"/>
      <c r="R281" s="185"/>
      <c r="S281" s="185" t="s">
        <v>309</v>
      </c>
      <c r="T281" s="400" t="s">
        <v>475</v>
      </c>
      <c r="U281" s="118">
        <f>П4ВСР!Z403</f>
        <v>2198908.62</v>
      </c>
      <c r="V281" s="118">
        <f>П4ВСР!AA403</f>
        <v>0</v>
      </c>
      <c r="W281" s="118">
        <f>П4ВСР!AB403</f>
        <v>0</v>
      </c>
      <c r="X281" s="116" t="s">
        <v>475</v>
      </c>
    </row>
    <row r="282" spans="1:24" ht="78.75" customHeight="1" x14ac:dyDescent="0.25">
      <c r="A282" s="116"/>
      <c r="B282" s="185" t="s">
        <v>138</v>
      </c>
      <c r="C282" s="185" t="s">
        <v>138</v>
      </c>
      <c r="D282" s="208" t="s">
        <v>940</v>
      </c>
      <c r="E282" s="185"/>
      <c r="F282" s="185"/>
      <c r="G282" s="185"/>
      <c r="H282" s="185"/>
      <c r="I282" s="185"/>
      <c r="J282" s="185"/>
      <c r="K282" s="185"/>
      <c r="L282" s="185"/>
      <c r="M282" s="185"/>
      <c r="N282" s="185"/>
      <c r="O282" s="185"/>
      <c r="P282" s="185"/>
      <c r="Q282" s="185"/>
      <c r="R282" s="185"/>
      <c r="S282" s="185"/>
      <c r="T282" s="402" t="s">
        <v>729</v>
      </c>
      <c r="U282" s="118">
        <f>U283</f>
        <v>296410</v>
      </c>
      <c r="V282" s="118">
        <f>V283</f>
        <v>2625000</v>
      </c>
      <c r="W282" s="118">
        <f>W283</f>
        <v>2748375</v>
      </c>
      <c r="X282" s="116"/>
    </row>
    <row r="283" spans="1:24" ht="64.5" customHeight="1" x14ac:dyDescent="0.25">
      <c r="A283" s="116"/>
      <c r="B283" s="185" t="s">
        <v>138</v>
      </c>
      <c r="C283" s="185" t="s">
        <v>138</v>
      </c>
      <c r="D283" s="208" t="s">
        <v>940</v>
      </c>
      <c r="E283" s="185"/>
      <c r="F283" s="185"/>
      <c r="G283" s="185"/>
      <c r="H283" s="185"/>
      <c r="I283" s="185"/>
      <c r="J283" s="185"/>
      <c r="K283" s="185"/>
      <c r="L283" s="185"/>
      <c r="M283" s="185"/>
      <c r="N283" s="185"/>
      <c r="O283" s="185"/>
      <c r="P283" s="185"/>
      <c r="Q283" s="185"/>
      <c r="R283" s="185"/>
      <c r="S283" s="185" t="s">
        <v>309</v>
      </c>
      <c r="T283" s="400" t="s">
        <v>475</v>
      </c>
      <c r="U283" s="118">
        <f>П4ВСР!Z405</f>
        <v>296410</v>
      </c>
      <c r="V283" s="118">
        <f>П4ВСР!AA405</f>
        <v>2625000</v>
      </c>
      <c r="W283" s="118">
        <f>П4ВСР!AB405</f>
        <v>2748375</v>
      </c>
      <c r="X283" s="116"/>
    </row>
    <row r="284" spans="1:24" ht="64.5" customHeight="1" x14ac:dyDescent="0.25">
      <c r="A284" s="116"/>
      <c r="B284" s="185" t="s">
        <v>138</v>
      </c>
      <c r="C284" s="185" t="s">
        <v>138</v>
      </c>
      <c r="D284" s="208" t="s">
        <v>940</v>
      </c>
      <c r="E284" s="185"/>
      <c r="F284" s="185"/>
      <c r="G284" s="185"/>
      <c r="H284" s="185"/>
      <c r="I284" s="185"/>
      <c r="J284" s="185"/>
      <c r="K284" s="185"/>
      <c r="L284" s="185"/>
      <c r="M284" s="185"/>
      <c r="N284" s="185"/>
      <c r="O284" s="185"/>
      <c r="P284" s="185"/>
      <c r="Q284" s="185"/>
      <c r="R284" s="185"/>
      <c r="S284" s="185"/>
      <c r="T284" s="400" t="s">
        <v>856</v>
      </c>
      <c r="U284" s="118">
        <f>U285+U286</f>
        <v>1437000.0000000002</v>
      </c>
      <c r="V284" s="118">
        <f>V285+V286</f>
        <v>1035200</v>
      </c>
      <c r="W284" s="118">
        <f>W285+W286</f>
        <v>1278800</v>
      </c>
      <c r="X284" s="116"/>
    </row>
    <row r="285" spans="1:24" ht="33.75" customHeight="1" x14ac:dyDescent="0.25">
      <c r="A285" s="116"/>
      <c r="B285" s="185" t="s">
        <v>138</v>
      </c>
      <c r="C285" s="185" t="s">
        <v>138</v>
      </c>
      <c r="D285" s="208" t="s">
        <v>940</v>
      </c>
      <c r="E285" s="185"/>
      <c r="F285" s="185"/>
      <c r="G285" s="185"/>
      <c r="H285" s="185"/>
      <c r="I285" s="185"/>
      <c r="J285" s="185"/>
      <c r="K285" s="185"/>
      <c r="L285" s="185"/>
      <c r="M285" s="185"/>
      <c r="N285" s="185"/>
      <c r="O285" s="185"/>
      <c r="P285" s="185"/>
      <c r="Q285" s="185"/>
      <c r="R285" s="185"/>
      <c r="S285" s="185" t="s">
        <v>290</v>
      </c>
      <c r="T285" s="400" t="s">
        <v>611</v>
      </c>
      <c r="U285" s="118">
        <f>П4ВСР!Z407</f>
        <v>284033.60000000003</v>
      </c>
      <c r="V285" s="118">
        <f>П4ВСР!AA407</f>
        <v>0</v>
      </c>
      <c r="W285" s="118">
        <f>П4ВСР!AB407</f>
        <v>0</v>
      </c>
      <c r="X285" s="116"/>
    </row>
    <row r="286" spans="1:24" ht="32.25" customHeight="1" x14ac:dyDescent="0.25">
      <c r="A286" s="116"/>
      <c r="B286" s="185" t="s">
        <v>138</v>
      </c>
      <c r="C286" s="185" t="s">
        <v>138</v>
      </c>
      <c r="D286" s="208" t="s">
        <v>940</v>
      </c>
      <c r="E286" s="185"/>
      <c r="F286" s="185"/>
      <c r="G286" s="185"/>
      <c r="H286" s="185"/>
      <c r="I286" s="185"/>
      <c r="J286" s="185"/>
      <c r="K286" s="185"/>
      <c r="L286" s="185"/>
      <c r="M286" s="185"/>
      <c r="N286" s="185"/>
      <c r="O286" s="185"/>
      <c r="P286" s="185"/>
      <c r="Q286" s="185"/>
      <c r="R286" s="185"/>
      <c r="S286" s="185" t="s">
        <v>309</v>
      </c>
      <c r="T286" s="400" t="s">
        <v>827</v>
      </c>
      <c r="U286" s="118">
        <f>П4ВСР!Z408</f>
        <v>1152966.4000000001</v>
      </c>
      <c r="V286" s="118">
        <f>П4ВСР!AA408</f>
        <v>1035200</v>
      </c>
      <c r="W286" s="118">
        <f>П4ВСР!AB408</f>
        <v>1278800</v>
      </c>
      <c r="X286" s="116"/>
    </row>
    <row r="287" spans="1:24" ht="81" hidden="1" customHeight="1" x14ac:dyDescent="0.25">
      <c r="A287" s="116"/>
      <c r="B287" s="185" t="s">
        <v>138</v>
      </c>
      <c r="C287" s="185" t="s">
        <v>138</v>
      </c>
      <c r="D287" s="208" t="s">
        <v>828</v>
      </c>
      <c r="E287" s="185"/>
      <c r="F287" s="185"/>
      <c r="G287" s="185"/>
      <c r="H287" s="185"/>
      <c r="I287" s="185"/>
      <c r="J287" s="185"/>
      <c r="K287" s="185"/>
      <c r="L287" s="185"/>
      <c r="M287" s="185"/>
      <c r="N287" s="185"/>
      <c r="O287" s="185"/>
      <c r="P287" s="185"/>
      <c r="Q287" s="185"/>
      <c r="R287" s="185"/>
      <c r="S287" s="185"/>
      <c r="T287" s="400" t="s">
        <v>826</v>
      </c>
      <c r="U287" s="118">
        <f>U288</f>
        <v>0</v>
      </c>
      <c r="V287" s="118">
        <f>V288</f>
        <v>0</v>
      </c>
      <c r="W287" s="118">
        <f>W288</f>
        <v>0</v>
      </c>
      <c r="X287" s="116"/>
    </row>
    <row r="288" spans="1:24" ht="35.25" hidden="1" customHeight="1" x14ac:dyDescent="0.25">
      <c r="A288" s="116"/>
      <c r="B288" s="185" t="s">
        <v>138</v>
      </c>
      <c r="C288" s="185" t="s">
        <v>138</v>
      </c>
      <c r="D288" s="208" t="s">
        <v>828</v>
      </c>
      <c r="E288" s="185"/>
      <c r="F288" s="185"/>
      <c r="G288" s="185"/>
      <c r="H288" s="185"/>
      <c r="I288" s="185"/>
      <c r="J288" s="185"/>
      <c r="K288" s="185"/>
      <c r="L288" s="185"/>
      <c r="M288" s="185"/>
      <c r="N288" s="185"/>
      <c r="O288" s="185"/>
      <c r="P288" s="185"/>
      <c r="Q288" s="185"/>
      <c r="R288" s="185"/>
      <c r="S288" s="185" t="s">
        <v>309</v>
      </c>
      <c r="T288" s="400" t="s">
        <v>827</v>
      </c>
      <c r="U288" s="118">
        <f>П4ВСР!Z410</f>
        <v>0</v>
      </c>
      <c r="V288" s="118">
        <f>П4ВСР!AA410</f>
        <v>0</v>
      </c>
      <c r="W288" s="118">
        <f>П4ВСР!AB410</f>
        <v>0</v>
      </c>
      <c r="X288" s="116"/>
    </row>
    <row r="289" spans="1:24" ht="19.5" customHeight="1" x14ac:dyDescent="0.25">
      <c r="A289" s="116" t="s">
        <v>158</v>
      </c>
      <c r="B289" s="117" t="s">
        <v>138</v>
      </c>
      <c r="C289" s="117" t="s">
        <v>127</v>
      </c>
      <c r="D289" s="117"/>
      <c r="E289" s="117"/>
      <c r="F289" s="117"/>
      <c r="G289" s="117"/>
      <c r="H289" s="117"/>
      <c r="I289" s="117"/>
      <c r="J289" s="117"/>
      <c r="K289" s="117"/>
      <c r="L289" s="117"/>
      <c r="M289" s="117"/>
      <c r="N289" s="117"/>
      <c r="O289" s="117"/>
      <c r="P289" s="117"/>
      <c r="Q289" s="117"/>
      <c r="R289" s="117"/>
      <c r="S289" s="117"/>
      <c r="T289" s="397" t="s">
        <v>158</v>
      </c>
      <c r="U289" s="118">
        <f>U290+U293+U297+U301</f>
        <v>25083254.199999999</v>
      </c>
      <c r="V289" s="118">
        <f>V290+V293+V297+V301</f>
        <v>27846694.199999996</v>
      </c>
      <c r="W289" s="118">
        <f>W290+W293+W297+W301</f>
        <v>27561860.280000001</v>
      </c>
      <c r="X289" s="116" t="s">
        <v>158</v>
      </c>
    </row>
    <row r="290" spans="1:24" ht="65.25" customHeight="1" x14ac:dyDescent="0.25">
      <c r="A290" s="116" t="s">
        <v>236</v>
      </c>
      <c r="B290" s="183" t="s">
        <v>138</v>
      </c>
      <c r="C290" s="183" t="s">
        <v>127</v>
      </c>
      <c r="D290" s="183" t="s">
        <v>648</v>
      </c>
      <c r="E290" s="183"/>
      <c r="F290" s="183"/>
      <c r="G290" s="183"/>
      <c r="H290" s="183"/>
      <c r="I290" s="183"/>
      <c r="J290" s="183"/>
      <c r="K290" s="183"/>
      <c r="L290" s="183"/>
      <c r="M290" s="183"/>
      <c r="N290" s="183"/>
      <c r="O290" s="183"/>
      <c r="P290" s="183"/>
      <c r="Q290" s="183"/>
      <c r="R290" s="183"/>
      <c r="S290" s="183"/>
      <c r="T290" s="402" t="s">
        <v>236</v>
      </c>
      <c r="U290" s="118">
        <f>U291+U292</f>
        <v>573397.1</v>
      </c>
      <c r="V290" s="118">
        <f>V291+V292</f>
        <v>573400</v>
      </c>
      <c r="W290" s="118">
        <f>W291+W292</f>
        <v>573400</v>
      </c>
      <c r="X290" s="116" t="s">
        <v>236</v>
      </c>
    </row>
    <row r="291" spans="1:24" ht="112.5" customHeight="1" x14ac:dyDescent="0.25">
      <c r="A291" s="121" t="s">
        <v>393</v>
      </c>
      <c r="B291" s="188" t="s">
        <v>138</v>
      </c>
      <c r="C291" s="188" t="s">
        <v>127</v>
      </c>
      <c r="D291" s="183" t="s">
        <v>648</v>
      </c>
      <c r="E291" s="188"/>
      <c r="F291" s="188"/>
      <c r="G291" s="188"/>
      <c r="H291" s="188"/>
      <c r="I291" s="188"/>
      <c r="J291" s="188"/>
      <c r="K291" s="188"/>
      <c r="L291" s="188"/>
      <c r="M291" s="188"/>
      <c r="N291" s="188"/>
      <c r="O291" s="188"/>
      <c r="P291" s="188"/>
      <c r="Q291" s="188"/>
      <c r="R291" s="188"/>
      <c r="S291" s="188" t="s">
        <v>38</v>
      </c>
      <c r="T291" s="403" t="s">
        <v>393</v>
      </c>
      <c r="U291" s="118">
        <f>П4ВСР!Z205</f>
        <v>546184.1</v>
      </c>
      <c r="V291" s="118">
        <f>П4ВСР!AA205</f>
        <v>539687</v>
      </c>
      <c r="W291" s="118">
        <f>П4ВСР!AB205</f>
        <v>539687</v>
      </c>
      <c r="X291" s="121" t="s">
        <v>393</v>
      </c>
    </row>
    <row r="292" spans="1:24" ht="84.75" customHeight="1" x14ac:dyDescent="0.25">
      <c r="A292" s="121" t="s">
        <v>394</v>
      </c>
      <c r="B292" s="188" t="s">
        <v>138</v>
      </c>
      <c r="C292" s="188" t="s">
        <v>127</v>
      </c>
      <c r="D292" s="183" t="s">
        <v>648</v>
      </c>
      <c r="E292" s="188"/>
      <c r="F292" s="188"/>
      <c r="G292" s="188"/>
      <c r="H292" s="188"/>
      <c r="I292" s="188"/>
      <c r="J292" s="188"/>
      <c r="K292" s="188"/>
      <c r="L292" s="188"/>
      <c r="M292" s="188"/>
      <c r="N292" s="188"/>
      <c r="O292" s="188"/>
      <c r="P292" s="188"/>
      <c r="Q292" s="188"/>
      <c r="R292" s="188"/>
      <c r="S292" s="188" t="s">
        <v>290</v>
      </c>
      <c r="T292" s="403" t="s">
        <v>394</v>
      </c>
      <c r="U292" s="118">
        <f>П4ВСР!Z206</f>
        <v>27213</v>
      </c>
      <c r="V292" s="118">
        <f>П4ВСР!AA206</f>
        <v>33713</v>
      </c>
      <c r="W292" s="118">
        <f>П4ВСР!AB206</f>
        <v>33713</v>
      </c>
      <c r="X292" s="121" t="s">
        <v>394</v>
      </c>
    </row>
    <row r="293" spans="1:24" ht="78.75" customHeight="1" x14ac:dyDescent="0.25">
      <c r="A293" s="116" t="s">
        <v>476</v>
      </c>
      <c r="B293" s="208" t="s">
        <v>138</v>
      </c>
      <c r="C293" s="208" t="s">
        <v>127</v>
      </c>
      <c r="D293" s="208" t="s">
        <v>732</v>
      </c>
      <c r="E293" s="208"/>
      <c r="F293" s="208"/>
      <c r="G293" s="208"/>
      <c r="H293" s="208"/>
      <c r="I293" s="208"/>
      <c r="J293" s="208"/>
      <c r="K293" s="208"/>
      <c r="L293" s="208"/>
      <c r="M293" s="208"/>
      <c r="N293" s="208"/>
      <c r="O293" s="208"/>
      <c r="P293" s="208"/>
      <c r="Q293" s="208"/>
      <c r="R293" s="208"/>
      <c r="S293" s="208"/>
      <c r="T293" s="402" t="s">
        <v>731</v>
      </c>
      <c r="U293" s="118">
        <f>U294+U295+U296</f>
        <v>5907075.8800000008</v>
      </c>
      <c r="V293" s="118">
        <f>V294+V295</f>
        <v>5600184.1100000003</v>
      </c>
      <c r="W293" s="118">
        <f>W294+W295</f>
        <v>5600184.1100000003</v>
      </c>
      <c r="X293" s="116" t="s">
        <v>476</v>
      </c>
    </row>
    <row r="294" spans="1:24" ht="81" customHeight="1" x14ac:dyDescent="0.25">
      <c r="A294" s="121" t="s">
        <v>477</v>
      </c>
      <c r="B294" s="185" t="s">
        <v>138</v>
      </c>
      <c r="C294" s="185" t="s">
        <v>127</v>
      </c>
      <c r="D294" s="208" t="s">
        <v>732</v>
      </c>
      <c r="E294" s="185"/>
      <c r="F294" s="185"/>
      <c r="G294" s="185"/>
      <c r="H294" s="185"/>
      <c r="I294" s="185"/>
      <c r="J294" s="185"/>
      <c r="K294" s="185"/>
      <c r="L294" s="185"/>
      <c r="M294" s="185"/>
      <c r="N294" s="185"/>
      <c r="O294" s="185"/>
      <c r="P294" s="185"/>
      <c r="Q294" s="185"/>
      <c r="R294" s="185"/>
      <c r="S294" s="185" t="s">
        <v>38</v>
      </c>
      <c r="T294" s="403" t="s">
        <v>477</v>
      </c>
      <c r="U294" s="118">
        <f>П4ВСР!Z413</f>
        <v>5736875.8800000008</v>
      </c>
      <c r="V294" s="118">
        <f>П4ВСР!AA413</f>
        <v>5429984.1100000003</v>
      </c>
      <c r="W294" s="118">
        <f>П4ВСР!AB413</f>
        <v>5429984.1100000003</v>
      </c>
      <c r="X294" s="121" t="s">
        <v>477</v>
      </c>
    </row>
    <row r="295" spans="1:24" ht="51" customHeight="1" x14ac:dyDescent="0.25">
      <c r="A295" s="116" t="s">
        <v>478</v>
      </c>
      <c r="B295" s="185" t="s">
        <v>138</v>
      </c>
      <c r="C295" s="185" t="s">
        <v>127</v>
      </c>
      <c r="D295" s="208" t="s">
        <v>732</v>
      </c>
      <c r="E295" s="185"/>
      <c r="F295" s="185"/>
      <c r="G295" s="185"/>
      <c r="H295" s="185"/>
      <c r="I295" s="185"/>
      <c r="J295" s="185"/>
      <c r="K295" s="185"/>
      <c r="L295" s="185"/>
      <c r="M295" s="185"/>
      <c r="N295" s="185"/>
      <c r="O295" s="185"/>
      <c r="P295" s="185"/>
      <c r="Q295" s="185"/>
      <c r="R295" s="185"/>
      <c r="S295" s="185" t="s">
        <v>290</v>
      </c>
      <c r="T295" s="400" t="s">
        <v>478</v>
      </c>
      <c r="U295" s="118">
        <f>П4ВСР!Z414</f>
        <v>164544</v>
      </c>
      <c r="V295" s="118">
        <f>П4ВСР!AA414</f>
        <v>170200</v>
      </c>
      <c r="W295" s="118">
        <f>П4ВСР!AB414</f>
        <v>170200</v>
      </c>
      <c r="X295" s="116" t="s">
        <v>478</v>
      </c>
    </row>
    <row r="296" spans="1:24" ht="34.5" customHeight="1" x14ac:dyDescent="0.25">
      <c r="A296" s="116"/>
      <c r="B296" s="185" t="s">
        <v>138</v>
      </c>
      <c r="C296" s="185" t="s">
        <v>127</v>
      </c>
      <c r="D296" s="208" t="s">
        <v>732</v>
      </c>
      <c r="E296" s="185"/>
      <c r="F296" s="185"/>
      <c r="G296" s="185"/>
      <c r="H296" s="185"/>
      <c r="I296" s="185"/>
      <c r="J296" s="185"/>
      <c r="K296" s="185"/>
      <c r="L296" s="185"/>
      <c r="M296" s="185"/>
      <c r="N296" s="185"/>
      <c r="O296" s="185"/>
      <c r="P296" s="185"/>
      <c r="Q296" s="185"/>
      <c r="R296" s="185"/>
      <c r="S296" s="185" t="s">
        <v>244</v>
      </c>
      <c r="T296" s="400" t="s">
        <v>954</v>
      </c>
      <c r="U296" s="118">
        <f>П4ВСР!Z415</f>
        <v>5656</v>
      </c>
      <c r="V296" s="118">
        <v>0</v>
      </c>
      <c r="W296" s="118">
        <v>0</v>
      </c>
      <c r="X296" s="116"/>
    </row>
    <row r="297" spans="1:24" ht="95.25" customHeight="1" x14ac:dyDescent="0.25">
      <c r="A297" s="116" t="s">
        <v>479</v>
      </c>
      <c r="B297" s="208" t="s">
        <v>138</v>
      </c>
      <c r="C297" s="208" t="s">
        <v>127</v>
      </c>
      <c r="D297" s="208" t="s">
        <v>734</v>
      </c>
      <c r="E297" s="208"/>
      <c r="F297" s="208"/>
      <c r="G297" s="208"/>
      <c r="H297" s="208"/>
      <c r="I297" s="208"/>
      <c r="J297" s="208"/>
      <c r="K297" s="208"/>
      <c r="L297" s="208"/>
      <c r="M297" s="208"/>
      <c r="N297" s="208"/>
      <c r="O297" s="208"/>
      <c r="P297" s="208"/>
      <c r="Q297" s="208"/>
      <c r="R297" s="208"/>
      <c r="S297" s="208"/>
      <c r="T297" s="402" t="s">
        <v>733</v>
      </c>
      <c r="U297" s="118">
        <f>U298+U299+U300</f>
        <v>15995811.060000001</v>
      </c>
      <c r="V297" s="118">
        <f>V298+V299+V300</f>
        <v>18935791.419999998</v>
      </c>
      <c r="W297" s="118">
        <f>W298+W299+W300</f>
        <v>18650957.5</v>
      </c>
      <c r="X297" s="116" t="s">
        <v>479</v>
      </c>
    </row>
    <row r="298" spans="1:24" ht="82.5" customHeight="1" x14ac:dyDescent="0.25">
      <c r="A298" s="121" t="s">
        <v>480</v>
      </c>
      <c r="B298" s="185" t="s">
        <v>138</v>
      </c>
      <c r="C298" s="185" t="s">
        <v>127</v>
      </c>
      <c r="D298" s="208" t="s">
        <v>734</v>
      </c>
      <c r="E298" s="185"/>
      <c r="F298" s="185"/>
      <c r="G298" s="185"/>
      <c r="H298" s="185"/>
      <c r="I298" s="185"/>
      <c r="J298" s="185"/>
      <c r="K298" s="185"/>
      <c r="L298" s="185"/>
      <c r="M298" s="185"/>
      <c r="N298" s="185"/>
      <c r="O298" s="185"/>
      <c r="P298" s="185"/>
      <c r="Q298" s="185"/>
      <c r="R298" s="185"/>
      <c r="S298" s="185" t="s">
        <v>38</v>
      </c>
      <c r="T298" s="403" t="s">
        <v>480</v>
      </c>
      <c r="U298" s="118">
        <f>П4ВСР!Z417</f>
        <v>12302442.73</v>
      </c>
      <c r="V298" s="118">
        <f>П4ВСР!AA417</f>
        <v>12917564.869999999</v>
      </c>
      <c r="W298" s="118">
        <f>П4ВСР!AB417</f>
        <v>12917564.869999999</v>
      </c>
      <c r="X298" s="121" t="s">
        <v>480</v>
      </c>
    </row>
    <row r="299" spans="1:24" ht="63" customHeight="1" x14ac:dyDescent="0.25">
      <c r="A299" s="116" t="s">
        <v>481</v>
      </c>
      <c r="B299" s="185" t="s">
        <v>138</v>
      </c>
      <c r="C299" s="185" t="s">
        <v>127</v>
      </c>
      <c r="D299" s="208" t="s">
        <v>734</v>
      </c>
      <c r="E299" s="185"/>
      <c r="F299" s="185"/>
      <c r="G299" s="185"/>
      <c r="H299" s="185"/>
      <c r="I299" s="185"/>
      <c r="J299" s="185"/>
      <c r="K299" s="185"/>
      <c r="L299" s="185"/>
      <c r="M299" s="185"/>
      <c r="N299" s="185"/>
      <c r="O299" s="185"/>
      <c r="P299" s="185"/>
      <c r="Q299" s="185"/>
      <c r="R299" s="185"/>
      <c r="S299" s="185" t="s">
        <v>290</v>
      </c>
      <c r="T299" s="400" t="s">
        <v>481</v>
      </c>
      <c r="U299" s="118">
        <f>П4ВСР!Z418</f>
        <v>3658402.33</v>
      </c>
      <c r="V299" s="118">
        <f>П4ВСР!AA418</f>
        <v>5981512.25</v>
      </c>
      <c r="W299" s="118">
        <f>П4ВСР!AB418</f>
        <v>5696678.3300000001</v>
      </c>
      <c r="X299" s="116" t="s">
        <v>481</v>
      </c>
    </row>
    <row r="300" spans="1:24" ht="51" customHeight="1" x14ac:dyDescent="0.25">
      <c r="A300" s="116" t="s">
        <v>482</v>
      </c>
      <c r="B300" s="185" t="s">
        <v>138</v>
      </c>
      <c r="C300" s="185" t="s">
        <v>127</v>
      </c>
      <c r="D300" s="208" t="s">
        <v>734</v>
      </c>
      <c r="E300" s="185"/>
      <c r="F300" s="185"/>
      <c r="G300" s="185"/>
      <c r="H300" s="185"/>
      <c r="I300" s="185"/>
      <c r="J300" s="185"/>
      <c r="K300" s="185"/>
      <c r="L300" s="185"/>
      <c r="M300" s="185"/>
      <c r="N300" s="185"/>
      <c r="O300" s="185"/>
      <c r="P300" s="185"/>
      <c r="Q300" s="185"/>
      <c r="R300" s="185"/>
      <c r="S300" s="185" t="s">
        <v>244</v>
      </c>
      <c r="T300" s="400" t="s">
        <v>482</v>
      </c>
      <c r="U300" s="118">
        <f>П4ВСР!Z419</f>
        <v>34966</v>
      </c>
      <c r="V300" s="118">
        <f>П4ВСР!AA419</f>
        <v>36714.300000000003</v>
      </c>
      <c r="W300" s="118">
        <f>П4ВСР!AB419</f>
        <v>36714.300000000003</v>
      </c>
      <c r="X300" s="116" t="s">
        <v>482</v>
      </c>
    </row>
    <row r="301" spans="1:24" ht="95.25" customHeight="1" x14ac:dyDescent="0.25">
      <c r="A301" s="116" t="s">
        <v>483</v>
      </c>
      <c r="B301" s="208" t="s">
        <v>138</v>
      </c>
      <c r="C301" s="208" t="s">
        <v>127</v>
      </c>
      <c r="D301" s="208" t="s">
        <v>736</v>
      </c>
      <c r="E301" s="208"/>
      <c r="F301" s="208"/>
      <c r="G301" s="208"/>
      <c r="H301" s="208"/>
      <c r="I301" s="208"/>
      <c r="J301" s="208"/>
      <c r="K301" s="208"/>
      <c r="L301" s="208"/>
      <c r="M301" s="208"/>
      <c r="N301" s="208"/>
      <c r="O301" s="208"/>
      <c r="P301" s="208"/>
      <c r="Q301" s="208"/>
      <c r="R301" s="208"/>
      <c r="S301" s="208"/>
      <c r="T301" s="402" t="s">
        <v>735</v>
      </c>
      <c r="U301" s="118">
        <f>U302</f>
        <v>2606970.16</v>
      </c>
      <c r="V301" s="118">
        <f>V302</f>
        <v>2737318.67</v>
      </c>
      <c r="W301" s="118">
        <f>W302</f>
        <v>2737318.67</v>
      </c>
      <c r="X301" s="116" t="s">
        <v>483</v>
      </c>
    </row>
    <row r="302" spans="1:24" ht="66" customHeight="1" x14ac:dyDescent="0.25">
      <c r="A302" s="116" t="s">
        <v>484</v>
      </c>
      <c r="B302" s="185" t="s">
        <v>138</v>
      </c>
      <c r="C302" s="185" t="s">
        <v>127</v>
      </c>
      <c r="D302" s="208" t="s">
        <v>736</v>
      </c>
      <c r="E302" s="185"/>
      <c r="F302" s="185"/>
      <c r="G302" s="185"/>
      <c r="H302" s="185"/>
      <c r="I302" s="185"/>
      <c r="J302" s="185"/>
      <c r="K302" s="185"/>
      <c r="L302" s="185"/>
      <c r="M302" s="185"/>
      <c r="N302" s="185"/>
      <c r="O302" s="185"/>
      <c r="P302" s="185"/>
      <c r="Q302" s="185"/>
      <c r="R302" s="185"/>
      <c r="S302" s="185" t="s">
        <v>309</v>
      </c>
      <c r="T302" s="400" t="s">
        <v>484</v>
      </c>
      <c r="U302" s="118">
        <f>П4ВСР!Z421</f>
        <v>2606970.16</v>
      </c>
      <c r="V302" s="118">
        <f>П4ВСР!AA421</f>
        <v>2737318.67</v>
      </c>
      <c r="W302" s="118">
        <f>П4ВСР!AB421</f>
        <v>2737318.67</v>
      </c>
      <c r="X302" s="116" t="s">
        <v>484</v>
      </c>
    </row>
    <row r="303" spans="1:24" ht="18.600000000000001" customHeight="1" x14ac:dyDescent="0.25">
      <c r="A303" s="114" t="s">
        <v>395</v>
      </c>
      <c r="B303" s="123" t="s">
        <v>126</v>
      </c>
      <c r="C303" s="123" t="s">
        <v>133</v>
      </c>
      <c r="D303" s="123"/>
      <c r="E303" s="123"/>
      <c r="F303" s="123"/>
      <c r="G303" s="123"/>
      <c r="H303" s="123"/>
      <c r="I303" s="123"/>
      <c r="J303" s="123"/>
      <c r="K303" s="123"/>
      <c r="L303" s="123"/>
      <c r="M303" s="123"/>
      <c r="N303" s="123"/>
      <c r="O303" s="123"/>
      <c r="P303" s="123"/>
      <c r="Q303" s="123"/>
      <c r="R303" s="123"/>
      <c r="S303" s="123"/>
      <c r="T303" s="395" t="s">
        <v>395</v>
      </c>
      <c r="U303" s="115">
        <f>U304</f>
        <v>21970148.870000001</v>
      </c>
      <c r="V303" s="115">
        <f>V304</f>
        <v>14969758.34</v>
      </c>
      <c r="W303" s="115">
        <f>W304</f>
        <v>15019758.34</v>
      </c>
      <c r="X303" s="114" t="s">
        <v>395</v>
      </c>
    </row>
    <row r="304" spans="1:24" ht="18.600000000000001" customHeight="1" x14ac:dyDescent="0.25">
      <c r="A304" s="116" t="s">
        <v>159</v>
      </c>
      <c r="B304" s="117" t="s">
        <v>126</v>
      </c>
      <c r="C304" s="117" t="s">
        <v>122</v>
      </c>
      <c r="D304" s="117"/>
      <c r="E304" s="117"/>
      <c r="F304" s="117"/>
      <c r="G304" s="117"/>
      <c r="H304" s="117"/>
      <c r="I304" s="117"/>
      <c r="J304" s="117"/>
      <c r="K304" s="117"/>
      <c r="L304" s="117"/>
      <c r="M304" s="117"/>
      <c r="N304" s="117"/>
      <c r="O304" s="117"/>
      <c r="P304" s="117"/>
      <c r="Q304" s="117"/>
      <c r="R304" s="117"/>
      <c r="S304" s="117"/>
      <c r="T304" s="397" t="s">
        <v>159</v>
      </c>
      <c r="U304" s="118">
        <f>U305+U307+U309+U311+U313+U315+U319+U323+U317+U321</f>
        <v>21970148.870000001</v>
      </c>
      <c r="V304" s="118">
        <f>V305+V307+V309+V311+V313+V315+V319+V323</f>
        <v>14969758.34</v>
      </c>
      <c r="W304" s="118">
        <f>W305+W307+W309+W311+W313+W315+W319+W323</f>
        <v>15019758.34</v>
      </c>
      <c r="X304" s="116" t="s">
        <v>159</v>
      </c>
    </row>
    <row r="305" spans="1:24" ht="65.25" customHeight="1" x14ac:dyDescent="0.25">
      <c r="A305" s="116" t="s">
        <v>505</v>
      </c>
      <c r="B305" s="208" t="s">
        <v>126</v>
      </c>
      <c r="C305" s="208" t="s">
        <v>122</v>
      </c>
      <c r="D305" s="208" t="s">
        <v>754</v>
      </c>
      <c r="E305" s="208"/>
      <c r="F305" s="208"/>
      <c r="G305" s="208"/>
      <c r="H305" s="208"/>
      <c r="I305" s="208"/>
      <c r="J305" s="208"/>
      <c r="K305" s="208"/>
      <c r="L305" s="208"/>
      <c r="M305" s="208"/>
      <c r="N305" s="208"/>
      <c r="O305" s="208"/>
      <c r="P305" s="208"/>
      <c r="Q305" s="208"/>
      <c r="R305" s="208"/>
      <c r="S305" s="208"/>
      <c r="T305" s="402" t="s">
        <v>753</v>
      </c>
      <c r="U305" s="118">
        <f>U306</f>
        <v>5218041.63</v>
      </c>
      <c r="V305" s="118">
        <f>V306</f>
        <v>5132641.63</v>
      </c>
      <c r="W305" s="118">
        <f>W306</f>
        <v>5132641.63</v>
      </c>
      <c r="X305" s="116" t="s">
        <v>505</v>
      </c>
    </row>
    <row r="306" spans="1:24" ht="47.25" customHeight="1" x14ac:dyDescent="0.25">
      <c r="A306" s="116" t="s">
        <v>506</v>
      </c>
      <c r="B306" s="185" t="s">
        <v>126</v>
      </c>
      <c r="C306" s="185" t="s">
        <v>122</v>
      </c>
      <c r="D306" s="208" t="s">
        <v>754</v>
      </c>
      <c r="E306" s="185"/>
      <c r="F306" s="185"/>
      <c r="G306" s="185"/>
      <c r="H306" s="185"/>
      <c r="I306" s="185"/>
      <c r="J306" s="185"/>
      <c r="K306" s="185"/>
      <c r="L306" s="185"/>
      <c r="M306" s="185"/>
      <c r="N306" s="185"/>
      <c r="O306" s="185"/>
      <c r="P306" s="185"/>
      <c r="Q306" s="185"/>
      <c r="R306" s="185"/>
      <c r="S306" s="185" t="s">
        <v>309</v>
      </c>
      <c r="T306" s="400" t="s">
        <v>506</v>
      </c>
      <c r="U306" s="118">
        <f>П4ВСР!Z473</f>
        <v>5218041.63</v>
      </c>
      <c r="V306" s="118">
        <f>П4ВСР!AA473</f>
        <v>5132641.63</v>
      </c>
      <c r="W306" s="118">
        <f>П4ВСР!AB473</f>
        <v>5132641.63</v>
      </c>
      <c r="X306" s="116" t="s">
        <v>506</v>
      </c>
    </row>
    <row r="307" spans="1:24" ht="63" customHeight="1" x14ac:dyDescent="0.25">
      <c r="A307" s="116" t="s">
        <v>507</v>
      </c>
      <c r="B307" s="208" t="s">
        <v>126</v>
      </c>
      <c r="C307" s="208" t="s">
        <v>122</v>
      </c>
      <c r="D307" s="208" t="s">
        <v>756</v>
      </c>
      <c r="E307" s="208"/>
      <c r="F307" s="208"/>
      <c r="G307" s="208"/>
      <c r="H307" s="208"/>
      <c r="I307" s="208"/>
      <c r="J307" s="208"/>
      <c r="K307" s="208"/>
      <c r="L307" s="208"/>
      <c r="M307" s="208"/>
      <c r="N307" s="208"/>
      <c r="O307" s="208"/>
      <c r="P307" s="208"/>
      <c r="Q307" s="208"/>
      <c r="R307" s="208"/>
      <c r="S307" s="208"/>
      <c r="T307" s="402" t="s">
        <v>755</v>
      </c>
      <c r="U307" s="118">
        <f>U308</f>
        <v>3169348.64</v>
      </c>
      <c r="V307" s="118">
        <f>V308</f>
        <v>3724348.54</v>
      </c>
      <c r="W307" s="118">
        <f>W308</f>
        <v>3724348.54</v>
      </c>
      <c r="X307" s="116" t="s">
        <v>507</v>
      </c>
    </row>
    <row r="308" spans="1:24" ht="51" customHeight="1" x14ac:dyDescent="0.25">
      <c r="A308" s="116" t="s">
        <v>508</v>
      </c>
      <c r="B308" s="185" t="s">
        <v>126</v>
      </c>
      <c r="C308" s="185" t="s">
        <v>122</v>
      </c>
      <c r="D308" s="208" t="s">
        <v>756</v>
      </c>
      <c r="E308" s="185"/>
      <c r="F308" s="185"/>
      <c r="G308" s="185"/>
      <c r="H308" s="185"/>
      <c r="I308" s="185"/>
      <c r="J308" s="185"/>
      <c r="K308" s="185"/>
      <c r="L308" s="185"/>
      <c r="M308" s="185"/>
      <c r="N308" s="185"/>
      <c r="O308" s="185"/>
      <c r="P308" s="185"/>
      <c r="Q308" s="185"/>
      <c r="R308" s="185"/>
      <c r="S308" s="185" t="s">
        <v>309</v>
      </c>
      <c r="T308" s="400" t="s">
        <v>508</v>
      </c>
      <c r="U308" s="118">
        <f>П4ВСР!Z475</f>
        <v>3169348.64</v>
      </c>
      <c r="V308" s="118">
        <f>П4ВСР!AA475</f>
        <v>3724348.54</v>
      </c>
      <c r="W308" s="118">
        <f>П4ВСР!AB475</f>
        <v>3724348.54</v>
      </c>
      <c r="X308" s="116" t="s">
        <v>508</v>
      </c>
    </row>
    <row r="309" spans="1:24" ht="62.25" customHeight="1" x14ac:dyDescent="0.25">
      <c r="A309" s="116" t="s">
        <v>509</v>
      </c>
      <c r="B309" s="208" t="s">
        <v>126</v>
      </c>
      <c r="C309" s="208" t="s">
        <v>122</v>
      </c>
      <c r="D309" s="208" t="s">
        <v>758</v>
      </c>
      <c r="E309" s="208"/>
      <c r="F309" s="208"/>
      <c r="G309" s="208"/>
      <c r="H309" s="208"/>
      <c r="I309" s="208"/>
      <c r="J309" s="208"/>
      <c r="K309" s="208"/>
      <c r="L309" s="208"/>
      <c r="M309" s="208"/>
      <c r="N309" s="208"/>
      <c r="O309" s="208"/>
      <c r="P309" s="208"/>
      <c r="Q309" s="208"/>
      <c r="R309" s="208"/>
      <c r="S309" s="208"/>
      <c r="T309" s="402" t="s">
        <v>757</v>
      </c>
      <c r="U309" s="118">
        <f>U310</f>
        <v>5812768.1699999999</v>
      </c>
      <c r="V309" s="118">
        <f>V310</f>
        <v>5612768.1699999999</v>
      </c>
      <c r="W309" s="118">
        <f>W310</f>
        <v>5612768.1699999999</v>
      </c>
      <c r="X309" s="116" t="s">
        <v>509</v>
      </c>
    </row>
    <row r="310" spans="1:24" ht="49.5" customHeight="1" x14ac:dyDescent="0.25">
      <c r="A310" s="116" t="s">
        <v>510</v>
      </c>
      <c r="B310" s="185" t="s">
        <v>126</v>
      </c>
      <c r="C310" s="211" t="s">
        <v>122</v>
      </c>
      <c r="D310" s="208" t="s">
        <v>758</v>
      </c>
      <c r="E310" s="185"/>
      <c r="F310" s="185"/>
      <c r="G310" s="185"/>
      <c r="H310" s="185"/>
      <c r="I310" s="185"/>
      <c r="J310" s="185"/>
      <c r="K310" s="185"/>
      <c r="L310" s="185"/>
      <c r="M310" s="185"/>
      <c r="N310" s="185"/>
      <c r="O310" s="185"/>
      <c r="P310" s="185"/>
      <c r="Q310" s="185"/>
      <c r="R310" s="185"/>
      <c r="S310" s="185" t="s">
        <v>309</v>
      </c>
      <c r="T310" s="400" t="s">
        <v>510</v>
      </c>
      <c r="U310" s="118">
        <f>П4ВСР!Z477</f>
        <v>5812768.1699999999</v>
      </c>
      <c r="V310" s="118">
        <f>П4ВСР!AA477</f>
        <v>5612768.1699999999</v>
      </c>
      <c r="W310" s="118">
        <f>П4ВСР!AB477</f>
        <v>5612768.1699999999</v>
      </c>
      <c r="X310" s="116" t="s">
        <v>510</v>
      </c>
    </row>
    <row r="311" spans="1:24" ht="65.25" customHeight="1" x14ac:dyDescent="0.25">
      <c r="A311" s="116"/>
      <c r="B311" s="183" t="s">
        <v>126</v>
      </c>
      <c r="C311" s="183" t="s">
        <v>122</v>
      </c>
      <c r="D311" s="183" t="s">
        <v>640</v>
      </c>
      <c r="E311" s="183"/>
      <c r="F311" s="183"/>
      <c r="G311" s="183"/>
      <c r="H311" s="183"/>
      <c r="I311" s="183"/>
      <c r="J311" s="183"/>
      <c r="K311" s="183"/>
      <c r="L311" s="183"/>
      <c r="M311" s="183"/>
      <c r="N311" s="183"/>
      <c r="O311" s="183"/>
      <c r="P311" s="183"/>
      <c r="Q311" s="183"/>
      <c r="R311" s="183"/>
      <c r="S311" s="183"/>
      <c r="T311" s="402" t="s">
        <v>639</v>
      </c>
      <c r="U311" s="118">
        <f>U312</f>
        <v>38250</v>
      </c>
      <c r="V311" s="118">
        <f>V312</f>
        <v>0</v>
      </c>
      <c r="W311" s="118">
        <f>W312</f>
        <v>0</v>
      </c>
      <c r="X311" s="116"/>
    </row>
    <row r="312" spans="1:24" ht="45" customHeight="1" x14ac:dyDescent="0.25">
      <c r="A312" s="116"/>
      <c r="B312" s="188" t="s">
        <v>126</v>
      </c>
      <c r="C312" s="188" t="s">
        <v>122</v>
      </c>
      <c r="D312" s="183" t="s">
        <v>640</v>
      </c>
      <c r="E312" s="188"/>
      <c r="F312" s="188"/>
      <c r="G312" s="188"/>
      <c r="H312" s="188"/>
      <c r="I312" s="188"/>
      <c r="J312" s="188"/>
      <c r="K312" s="188"/>
      <c r="L312" s="188"/>
      <c r="M312" s="188"/>
      <c r="N312" s="188"/>
      <c r="O312" s="188"/>
      <c r="P312" s="188"/>
      <c r="Q312" s="188"/>
      <c r="R312" s="188"/>
      <c r="S312" s="188" t="s">
        <v>290</v>
      </c>
      <c r="T312" s="400" t="s">
        <v>397</v>
      </c>
      <c r="U312" s="258">
        <f>П4ВСР!Z210</f>
        <v>38250</v>
      </c>
      <c r="V312" s="118">
        <f>П4ВСР!AA210</f>
        <v>0</v>
      </c>
      <c r="W312" s="118">
        <f>П4ВСР!AB210</f>
        <v>0</v>
      </c>
      <c r="X312" s="116"/>
    </row>
    <row r="313" spans="1:24" ht="66" customHeight="1" x14ac:dyDescent="0.25">
      <c r="A313" s="116" t="s">
        <v>396</v>
      </c>
      <c r="B313" s="183" t="s">
        <v>126</v>
      </c>
      <c r="C313" s="183" t="s">
        <v>122</v>
      </c>
      <c r="D313" s="183" t="s">
        <v>642</v>
      </c>
      <c r="E313" s="183"/>
      <c r="F313" s="183"/>
      <c r="G313" s="183"/>
      <c r="H313" s="183"/>
      <c r="I313" s="183"/>
      <c r="J313" s="183"/>
      <c r="K313" s="183"/>
      <c r="L313" s="183"/>
      <c r="M313" s="183"/>
      <c r="N313" s="183"/>
      <c r="O313" s="183"/>
      <c r="P313" s="183"/>
      <c r="Q313" s="183"/>
      <c r="R313" s="183"/>
      <c r="S313" s="183"/>
      <c r="T313" s="402" t="s">
        <v>641</v>
      </c>
      <c r="U313" s="258">
        <f>U314</f>
        <v>200000</v>
      </c>
      <c r="V313" s="118">
        <f>V314</f>
        <v>100000</v>
      </c>
      <c r="W313" s="118">
        <f>W314</f>
        <v>150000</v>
      </c>
      <c r="X313" s="116" t="s">
        <v>396</v>
      </c>
    </row>
    <row r="314" spans="1:24" ht="51" customHeight="1" x14ac:dyDescent="0.25">
      <c r="A314" s="116" t="s">
        <v>397</v>
      </c>
      <c r="B314" s="188" t="s">
        <v>126</v>
      </c>
      <c r="C314" s="188" t="s">
        <v>122</v>
      </c>
      <c r="D314" s="183" t="s">
        <v>642</v>
      </c>
      <c r="E314" s="188"/>
      <c r="F314" s="188"/>
      <c r="G314" s="188"/>
      <c r="H314" s="188"/>
      <c r="I314" s="188"/>
      <c r="J314" s="188"/>
      <c r="K314" s="188"/>
      <c r="L314" s="188"/>
      <c r="M314" s="188"/>
      <c r="N314" s="188"/>
      <c r="O314" s="188"/>
      <c r="P314" s="188"/>
      <c r="Q314" s="188"/>
      <c r="R314" s="188"/>
      <c r="S314" s="188" t="s">
        <v>290</v>
      </c>
      <c r="T314" s="400" t="s">
        <v>397</v>
      </c>
      <c r="U314" s="258">
        <f>П4ВСР!Z212</f>
        <v>200000</v>
      </c>
      <c r="V314" s="118">
        <f>П4ВСР!AA212</f>
        <v>100000</v>
      </c>
      <c r="W314" s="118">
        <f>П4ВСР!AB212</f>
        <v>150000</v>
      </c>
      <c r="X314" s="116" t="s">
        <v>397</v>
      </c>
    </row>
    <row r="315" spans="1:24" ht="96" customHeight="1" x14ac:dyDescent="0.25">
      <c r="A315" s="116" t="s">
        <v>398</v>
      </c>
      <c r="B315" s="183" t="s">
        <v>126</v>
      </c>
      <c r="C315" s="183" t="s">
        <v>122</v>
      </c>
      <c r="D315" s="183" t="s">
        <v>644</v>
      </c>
      <c r="E315" s="183"/>
      <c r="F315" s="183"/>
      <c r="G315" s="183"/>
      <c r="H315" s="183"/>
      <c r="I315" s="183"/>
      <c r="J315" s="183"/>
      <c r="K315" s="183"/>
      <c r="L315" s="183"/>
      <c r="M315" s="183"/>
      <c r="N315" s="183"/>
      <c r="O315" s="183"/>
      <c r="P315" s="183"/>
      <c r="Q315" s="183"/>
      <c r="R315" s="183"/>
      <c r="S315" s="183"/>
      <c r="T315" s="402" t="s">
        <v>643</v>
      </c>
      <c r="U315" s="118">
        <f>U316</f>
        <v>627526.40999999992</v>
      </c>
      <c r="V315" s="118">
        <f>V316</f>
        <v>0</v>
      </c>
      <c r="W315" s="118">
        <f>W316</f>
        <v>0</v>
      </c>
      <c r="X315" s="116" t="s">
        <v>398</v>
      </c>
    </row>
    <row r="316" spans="1:24" ht="48" customHeight="1" x14ac:dyDescent="0.25">
      <c r="A316" s="116" t="s">
        <v>399</v>
      </c>
      <c r="B316" s="188" t="s">
        <v>126</v>
      </c>
      <c r="C316" s="188" t="s">
        <v>122</v>
      </c>
      <c r="D316" s="183" t="s">
        <v>644</v>
      </c>
      <c r="E316" s="188"/>
      <c r="F316" s="188"/>
      <c r="G316" s="188"/>
      <c r="H316" s="188"/>
      <c r="I316" s="188"/>
      <c r="J316" s="188"/>
      <c r="K316" s="188"/>
      <c r="L316" s="188"/>
      <c r="M316" s="188"/>
      <c r="N316" s="188"/>
      <c r="O316" s="188"/>
      <c r="P316" s="188"/>
      <c r="Q316" s="188"/>
      <c r="R316" s="188"/>
      <c r="S316" s="188" t="s">
        <v>290</v>
      </c>
      <c r="T316" s="400" t="s">
        <v>399</v>
      </c>
      <c r="U316" s="118">
        <f>П4ВСР!Z214</f>
        <v>627526.40999999992</v>
      </c>
      <c r="V316" s="118">
        <f>П4ВСР!AA214</f>
        <v>0</v>
      </c>
      <c r="W316" s="118">
        <f>П4ВСР!AB214</f>
        <v>0</v>
      </c>
      <c r="X316" s="116" t="s">
        <v>399</v>
      </c>
    </row>
    <row r="317" spans="1:24" ht="66.75" customHeight="1" x14ac:dyDescent="0.25">
      <c r="A317" s="116"/>
      <c r="B317" s="188" t="s">
        <v>126</v>
      </c>
      <c r="C317" s="188" t="s">
        <v>122</v>
      </c>
      <c r="D317" s="276" t="s">
        <v>644</v>
      </c>
      <c r="E317" s="188"/>
      <c r="F317" s="188"/>
      <c r="G317" s="188"/>
      <c r="H317" s="188"/>
      <c r="I317" s="188"/>
      <c r="J317" s="188"/>
      <c r="K317" s="188"/>
      <c r="L317" s="188"/>
      <c r="M317" s="188"/>
      <c r="N317" s="188"/>
      <c r="O317" s="188"/>
      <c r="P317" s="188"/>
      <c r="Q317" s="188"/>
      <c r="R317" s="188"/>
      <c r="S317" s="188"/>
      <c r="T317" s="402" t="s">
        <v>870</v>
      </c>
      <c r="U317" s="118">
        <f>U318</f>
        <v>872473.59000000008</v>
      </c>
      <c r="V317" s="118">
        <v>0</v>
      </c>
      <c r="W317" s="118">
        <v>0</v>
      </c>
      <c r="X317" s="116"/>
    </row>
    <row r="318" spans="1:24" ht="19.5" customHeight="1" x14ac:dyDescent="0.25">
      <c r="A318" s="116"/>
      <c r="B318" s="188" t="s">
        <v>126</v>
      </c>
      <c r="C318" s="188" t="s">
        <v>122</v>
      </c>
      <c r="D318" s="276" t="s">
        <v>644</v>
      </c>
      <c r="E318" s="188"/>
      <c r="F318" s="188"/>
      <c r="G318" s="188"/>
      <c r="H318" s="188"/>
      <c r="I318" s="188"/>
      <c r="J318" s="188"/>
      <c r="K318" s="188"/>
      <c r="L318" s="188"/>
      <c r="M318" s="188"/>
      <c r="N318" s="188"/>
      <c r="O318" s="188"/>
      <c r="P318" s="188"/>
      <c r="Q318" s="188"/>
      <c r="R318" s="188"/>
      <c r="S318" s="188" t="s">
        <v>443</v>
      </c>
      <c r="T318" s="402" t="s">
        <v>918</v>
      </c>
      <c r="U318" s="118">
        <f>П4ВСР!Z346</f>
        <v>872473.59000000008</v>
      </c>
      <c r="V318" s="118">
        <v>0</v>
      </c>
      <c r="W318" s="118">
        <v>0</v>
      </c>
      <c r="X318" s="116"/>
    </row>
    <row r="319" spans="1:24" ht="90.75" customHeight="1" x14ac:dyDescent="0.25">
      <c r="A319" s="116" t="s">
        <v>400</v>
      </c>
      <c r="B319" s="183" t="s">
        <v>126</v>
      </c>
      <c r="C319" s="183" t="s">
        <v>122</v>
      </c>
      <c r="D319" s="183" t="s">
        <v>646</v>
      </c>
      <c r="E319" s="183"/>
      <c r="F319" s="183"/>
      <c r="G319" s="183"/>
      <c r="H319" s="183"/>
      <c r="I319" s="183"/>
      <c r="J319" s="183"/>
      <c r="K319" s="183"/>
      <c r="L319" s="183"/>
      <c r="M319" s="183"/>
      <c r="N319" s="183"/>
      <c r="O319" s="183"/>
      <c r="P319" s="183"/>
      <c r="Q319" s="183"/>
      <c r="R319" s="183"/>
      <c r="S319" s="183"/>
      <c r="T319" s="402" t="s">
        <v>645</v>
      </c>
      <c r="U319" s="118">
        <f>U320</f>
        <v>3725030.43</v>
      </c>
      <c r="V319" s="118">
        <f>V320</f>
        <v>0</v>
      </c>
      <c r="W319" s="118">
        <f>W320</f>
        <v>0</v>
      </c>
      <c r="X319" s="116" t="s">
        <v>400</v>
      </c>
    </row>
    <row r="320" spans="1:24" ht="30" customHeight="1" x14ac:dyDescent="0.25">
      <c r="A320" s="116" t="s">
        <v>401</v>
      </c>
      <c r="B320" s="188" t="s">
        <v>126</v>
      </c>
      <c r="C320" s="188" t="s">
        <v>122</v>
      </c>
      <c r="D320" s="183" t="s">
        <v>646</v>
      </c>
      <c r="E320" s="188"/>
      <c r="F320" s="188"/>
      <c r="G320" s="188"/>
      <c r="H320" s="188"/>
      <c r="I320" s="188"/>
      <c r="J320" s="188"/>
      <c r="K320" s="188"/>
      <c r="L320" s="188"/>
      <c r="M320" s="188"/>
      <c r="N320" s="188"/>
      <c r="O320" s="188"/>
      <c r="P320" s="188"/>
      <c r="Q320" s="188"/>
      <c r="R320" s="188"/>
      <c r="S320" s="188" t="s">
        <v>366</v>
      </c>
      <c r="T320" s="400" t="s">
        <v>877</v>
      </c>
      <c r="U320" s="118">
        <f>П4ВСР!Z216</f>
        <v>3725030.43</v>
      </c>
      <c r="V320" s="118">
        <f>П4ВСР!AA216</f>
        <v>0</v>
      </c>
      <c r="W320" s="118">
        <f>П4ВСР!AB216</f>
        <v>0</v>
      </c>
      <c r="X320" s="116" t="s">
        <v>401</v>
      </c>
    </row>
    <row r="321" spans="1:24" ht="88.5" customHeight="1" x14ac:dyDescent="0.25">
      <c r="A321" s="116"/>
      <c r="B321" s="188" t="s">
        <v>126</v>
      </c>
      <c r="C321" s="188" t="s">
        <v>122</v>
      </c>
      <c r="D321" s="276" t="s">
        <v>1237</v>
      </c>
      <c r="E321" s="188"/>
      <c r="F321" s="188"/>
      <c r="G321" s="188"/>
      <c r="H321" s="188"/>
      <c r="I321" s="188"/>
      <c r="J321" s="188"/>
      <c r="K321" s="188"/>
      <c r="L321" s="188"/>
      <c r="M321" s="188"/>
      <c r="N321" s="188"/>
      <c r="O321" s="188"/>
      <c r="P321" s="188"/>
      <c r="Q321" s="188"/>
      <c r="R321" s="188"/>
      <c r="S321" s="188"/>
      <c r="T321" s="402" t="s">
        <v>1236</v>
      </c>
      <c r="U321" s="118">
        <f>U322</f>
        <v>1956710</v>
      </c>
      <c r="V321" s="118">
        <v>0</v>
      </c>
      <c r="W321" s="118">
        <v>0</v>
      </c>
      <c r="X321" s="116"/>
    </row>
    <row r="322" spans="1:24" ht="57" customHeight="1" x14ac:dyDescent="0.25">
      <c r="A322" s="116"/>
      <c r="B322" s="188" t="s">
        <v>126</v>
      </c>
      <c r="C322" s="188" t="s">
        <v>122</v>
      </c>
      <c r="D322" s="276" t="s">
        <v>1237</v>
      </c>
      <c r="E322" s="188"/>
      <c r="F322" s="188"/>
      <c r="G322" s="188"/>
      <c r="H322" s="188"/>
      <c r="I322" s="188"/>
      <c r="J322" s="188"/>
      <c r="K322" s="188"/>
      <c r="L322" s="188"/>
      <c r="M322" s="188"/>
      <c r="N322" s="188"/>
      <c r="O322" s="188"/>
      <c r="P322" s="188"/>
      <c r="Q322" s="188"/>
      <c r="R322" s="188"/>
      <c r="S322" s="188" t="s">
        <v>290</v>
      </c>
      <c r="T322" s="400" t="s">
        <v>1238</v>
      </c>
      <c r="U322" s="118">
        <f>П4ВСР!Z218</f>
        <v>1956710</v>
      </c>
      <c r="V322" s="118">
        <v>0</v>
      </c>
      <c r="W322" s="118">
        <v>0</v>
      </c>
      <c r="X322" s="116"/>
    </row>
    <row r="323" spans="1:24" ht="48.75" customHeight="1" x14ac:dyDescent="0.25">
      <c r="A323" s="116" t="s">
        <v>243</v>
      </c>
      <c r="B323" s="183" t="s">
        <v>126</v>
      </c>
      <c r="C323" s="183" t="s">
        <v>122</v>
      </c>
      <c r="D323" s="183" t="s">
        <v>647</v>
      </c>
      <c r="E323" s="183"/>
      <c r="F323" s="183"/>
      <c r="G323" s="183"/>
      <c r="H323" s="183"/>
      <c r="I323" s="183"/>
      <c r="J323" s="183"/>
      <c r="K323" s="183"/>
      <c r="L323" s="183"/>
      <c r="M323" s="183"/>
      <c r="N323" s="183"/>
      <c r="O323" s="183"/>
      <c r="P323" s="183"/>
      <c r="Q323" s="183"/>
      <c r="R323" s="183"/>
      <c r="S323" s="183"/>
      <c r="T323" s="402" t="s">
        <v>243</v>
      </c>
      <c r="U323" s="118">
        <f>U324</f>
        <v>350000</v>
      </c>
      <c r="V323" s="118">
        <f>V324</f>
        <v>400000</v>
      </c>
      <c r="W323" s="118">
        <f>W324</f>
        <v>400000</v>
      </c>
      <c r="X323" s="116" t="s">
        <v>243</v>
      </c>
    </row>
    <row r="324" spans="1:24" ht="66" customHeight="1" x14ac:dyDescent="0.25">
      <c r="A324" s="116" t="s">
        <v>402</v>
      </c>
      <c r="B324" s="188" t="s">
        <v>126</v>
      </c>
      <c r="C324" s="188" t="s">
        <v>122</v>
      </c>
      <c r="D324" s="183" t="s">
        <v>647</v>
      </c>
      <c r="E324" s="188"/>
      <c r="F324" s="188"/>
      <c r="G324" s="188"/>
      <c r="H324" s="188"/>
      <c r="I324" s="188"/>
      <c r="J324" s="188"/>
      <c r="K324" s="188"/>
      <c r="L324" s="188"/>
      <c r="M324" s="188"/>
      <c r="N324" s="188"/>
      <c r="O324" s="188"/>
      <c r="P324" s="188"/>
      <c r="Q324" s="188"/>
      <c r="R324" s="188"/>
      <c r="S324" s="188" t="s">
        <v>290</v>
      </c>
      <c r="T324" s="400" t="s">
        <v>402</v>
      </c>
      <c r="U324" s="118">
        <f>П4ВСР!Z220</f>
        <v>350000</v>
      </c>
      <c r="V324" s="118">
        <f>П4ВСР!AA220</f>
        <v>400000</v>
      </c>
      <c r="W324" s="118">
        <f>П4ВСР!AB220</f>
        <v>400000</v>
      </c>
      <c r="X324" s="116" t="s">
        <v>402</v>
      </c>
    </row>
    <row r="325" spans="1:24" ht="18.600000000000001" customHeight="1" x14ac:dyDescent="0.25">
      <c r="A325" s="114" t="s">
        <v>403</v>
      </c>
      <c r="B325" s="123" t="s">
        <v>127</v>
      </c>
      <c r="C325" s="123" t="s">
        <v>133</v>
      </c>
      <c r="D325" s="123"/>
      <c r="E325" s="123"/>
      <c r="F325" s="123"/>
      <c r="G325" s="123"/>
      <c r="H325" s="123"/>
      <c r="I325" s="123"/>
      <c r="J325" s="123"/>
      <c r="K325" s="123"/>
      <c r="L325" s="123"/>
      <c r="M325" s="123"/>
      <c r="N325" s="123"/>
      <c r="O325" s="123"/>
      <c r="P325" s="123"/>
      <c r="Q325" s="123"/>
      <c r="R325" s="123"/>
      <c r="S325" s="123"/>
      <c r="T325" s="395" t="s">
        <v>403</v>
      </c>
      <c r="U325" s="115">
        <f>U326</f>
        <v>573397.04999999993</v>
      </c>
      <c r="V325" s="115">
        <v>573400</v>
      </c>
      <c r="W325" s="115">
        <v>573400</v>
      </c>
      <c r="X325" s="114" t="s">
        <v>403</v>
      </c>
    </row>
    <row r="326" spans="1:24" ht="21.75" customHeight="1" x14ac:dyDescent="0.25">
      <c r="A326" s="116" t="s">
        <v>161</v>
      </c>
      <c r="B326" s="117" t="s">
        <v>127</v>
      </c>
      <c r="C326" s="117" t="s">
        <v>127</v>
      </c>
      <c r="D326" s="117"/>
      <c r="E326" s="117"/>
      <c r="F326" s="117"/>
      <c r="G326" s="117"/>
      <c r="H326" s="117"/>
      <c r="I326" s="117"/>
      <c r="J326" s="117"/>
      <c r="K326" s="117"/>
      <c r="L326" s="117"/>
      <c r="M326" s="117"/>
      <c r="N326" s="117"/>
      <c r="O326" s="117"/>
      <c r="P326" s="117"/>
      <c r="Q326" s="117"/>
      <c r="R326" s="117"/>
      <c r="S326" s="117"/>
      <c r="T326" s="397" t="s">
        <v>161</v>
      </c>
      <c r="U326" s="118">
        <f>U327</f>
        <v>573397.04999999993</v>
      </c>
      <c r="V326" s="118">
        <v>573400</v>
      </c>
      <c r="W326" s="118">
        <v>573400</v>
      </c>
      <c r="X326" s="116" t="s">
        <v>161</v>
      </c>
    </row>
    <row r="327" spans="1:24" ht="144" customHeight="1" x14ac:dyDescent="0.25">
      <c r="A327" s="121" t="s">
        <v>228</v>
      </c>
      <c r="B327" s="183" t="s">
        <v>127</v>
      </c>
      <c r="C327" s="183" t="s">
        <v>127</v>
      </c>
      <c r="D327" s="183" t="s">
        <v>678</v>
      </c>
      <c r="E327" s="183"/>
      <c r="F327" s="183"/>
      <c r="G327" s="183"/>
      <c r="H327" s="183"/>
      <c r="I327" s="183"/>
      <c r="J327" s="183"/>
      <c r="K327" s="183"/>
      <c r="L327" s="183"/>
      <c r="M327" s="183"/>
      <c r="N327" s="183"/>
      <c r="O327" s="183"/>
      <c r="P327" s="183"/>
      <c r="Q327" s="183"/>
      <c r="R327" s="183"/>
      <c r="S327" s="183"/>
      <c r="T327" s="405" t="s">
        <v>851</v>
      </c>
      <c r="U327" s="118">
        <f>U328+U329</f>
        <v>573397.04999999993</v>
      </c>
      <c r="V327" s="118">
        <f>V328+V329</f>
        <v>573400</v>
      </c>
      <c r="W327" s="118">
        <f>W328+W329</f>
        <v>573400</v>
      </c>
      <c r="X327" s="121" t="s">
        <v>228</v>
      </c>
    </row>
    <row r="328" spans="1:24" ht="52.5" customHeight="1" x14ac:dyDescent="0.25">
      <c r="A328" s="121" t="s">
        <v>404</v>
      </c>
      <c r="B328" s="188" t="s">
        <v>127</v>
      </c>
      <c r="C328" s="188" t="s">
        <v>127</v>
      </c>
      <c r="D328" s="183" t="s">
        <v>678</v>
      </c>
      <c r="E328" s="188"/>
      <c r="F328" s="188"/>
      <c r="G328" s="188"/>
      <c r="H328" s="188"/>
      <c r="I328" s="188"/>
      <c r="J328" s="188"/>
      <c r="K328" s="188"/>
      <c r="L328" s="188"/>
      <c r="M328" s="188"/>
      <c r="N328" s="188"/>
      <c r="O328" s="188"/>
      <c r="P328" s="188"/>
      <c r="Q328" s="188"/>
      <c r="R328" s="188"/>
      <c r="S328" s="188" t="s">
        <v>38</v>
      </c>
      <c r="T328" s="403" t="s">
        <v>852</v>
      </c>
      <c r="U328" s="118">
        <f>П4ВСР!Z224</f>
        <v>540519.57999999996</v>
      </c>
      <c r="V328" s="118">
        <f>П4ВСР!AA224</f>
        <v>540519.57999999996</v>
      </c>
      <c r="W328" s="118">
        <f>П4ВСР!AB224</f>
        <v>540519.57999999996</v>
      </c>
      <c r="X328" s="121" t="s">
        <v>404</v>
      </c>
    </row>
    <row r="329" spans="1:24" ht="33" customHeight="1" x14ac:dyDescent="0.25">
      <c r="A329" s="121" t="s">
        <v>405</v>
      </c>
      <c r="B329" s="188" t="s">
        <v>127</v>
      </c>
      <c r="C329" s="188" t="s">
        <v>127</v>
      </c>
      <c r="D329" s="183" t="s">
        <v>678</v>
      </c>
      <c r="E329" s="188"/>
      <c r="F329" s="188"/>
      <c r="G329" s="188"/>
      <c r="H329" s="188"/>
      <c r="I329" s="188"/>
      <c r="J329" s="188"/>
      <c r="K329" s="188"/>
      <c r="L329" s="188"/>
      <c r="M329" s="188"/>
      <c r="N329" s="188"/>
      <c r="O329" s="188"/>
      <c r="P329" s="188"/>
      <c r="Q329" s="188"/>
      <c r="R329" s="188"/>
      <c r="S329" s="188" t="s">
        <v>290</v>
      </c>
      <c r="T329" s="403" t="s">
        <v>611</v>
      </c>
      <c r="U329" s="118">
        <f>П4ВСР!Z225</f>
        <v>32877.47</v>
      </c>
      <c r="V329" s="118">
        <f>П4ВСР!AA225</f>
        <v>32880.42</v>
      </c>
      <c r="W329" s="118">
        <f>П4ВСР!AB225</f>
        <v>32880.42</v>
      </c>
      <c r="X329" s="121" t="s">
        <v>405</v>
      </c>
    </row>
    <row r="330" spans="1:24" ht="18.600000000000001" customHeight="1" x14ac:dyDescent="0.25">
      <c r="A330" s="114" t="s">
        <v>406</v>
      </c>
      <c r="B330" s="123" t="s">
        <v>143</v>
      </c>
      <c r="C330" s="123" t="s">
        <v>133</v>
      </c>
      <c r="D330" s="123"/>
      <c r="E330" s="123"/>
      <c r="F330" s="123"/>
      <c r="G330" s="123"/>
      <c r="H330" s="123"/>
      <c r="I330" s="123"/>
      <c r="J330" s="123"/>
      <c r="K330" s="123"/>
      <c r="L330" s="123"/>
      <c r="M330" s="123"/>
      <c r="N330" s="123"/>
      <c r="O330" s="123"/>
      <c r="P330" s="123"/>
      <c r="Q330" s="123"/>
      <c r="R330" s="123"/>
      <c r="S330" s="123"/>
      <c r="T330" s="395" t="s">
        <v>406</v>
      </c>
      <c r="U330" s="115">
        <f>U331+U337+U353+U373</f>
        <v>39450107.399999999</v>
      </c>
      <c r="V330" s="115">
        <f>V331+V337+V353+V373</f>
        <v>32444217.98</v>
      </c>
      <c r="W330" s="115">
        <f>W331+W337+W353+W373</f>
        <v>32444537.98</v>
      </c>
      <c r="X330" s="114" t="s">
        <v>406</v>
      </c>
    </row>
    <row r="331" spans="1:24" ht="18.600000000000001" customHeight="1" x14ac:dyDescent="0.25">
      <c r="A331" s="116" t="s">
        <v>162</v>
      </c>
      <c r="B331" s="117" t="s">
        <v>143</v>
      </c>
      <c r="C331" s="117" t="s">
        <v>122</v>
      </c>
      <c r="D331" s="117"/>
      <c r="E331" s="117"/>
      <c r="F331" s="117"/>
      <c r="G331" s="117"/>
      <c r="H331" s="117"/>
      <c r="I331" s="117"/>
      <c r="J331" s="117"/>
      <c r="K331" s="117"/>
      <c r="L331" s="117"/>
      <c r="M331" s="117"/>
      <c r="N331" s="117"/>
      <c r="O331" s="117"/>
      <c r="P331" s="117"/>
      <c r="Q331" s="117"/>
      <c r="R331" s="117"/>
      <c r="S331" s="117"/>
      <c r="T331" s="397" t="s">
        <v>162</v>
      </c>
      <c r="U331" s="118">
        <f>U332+U334</f>
        <v>2175130.73</v>
      </c>
      <c r="V331" s="118">
        <f>V332+V334</f>
        <v>1892217.98</v>
      </c>
      <c r="W331" s="118">
        <f>W332+W334</f>
        <v>1892537.98</v>
      </c>
      <c r="X331" s="116" t="s">
        <v>162</v>
      </c>
    </row>
    <row r="332" spans="1:24" ht="49.5" customHeight="1" x14ac:dyDescent="0.25">
      <c r="A332" s="116" t="s">
        <v>407</v>
      </c>
      <c r="B332" s="208" t="s">
        <v>143</v>
      </c>
      <c r="C332" s="208" t="s">
        <v>122</v>
      </c>
      <c r="D332" s="208" t="s">
        <v>679</v>
      </c>
      <c r="E332" s="208"/>
      <c r="F332" s="208"/>
      <c r="G332" s="208"/>
      <c r="H332" s="208"/>
      <c r="I332" s="208"/>
      <c r="J332" s="208"/>
      <c r="K332" s="208"/>
      <c r="L332" s="208"/>
      <c r="M332" s="208"/>
      <c r="N332" s="208"/>
      <c r="O332" s="208"/>
      <c r="P332" s="208"/>
      <c r="Q332" s="208"/>
      <c r="R332" s="208"/>
      <c r="S332" s="208"/>
      <c r="T332" s="402" t="s">
        <v>407</v>
      </c>
      <c r="U332" s="118">
        <f>U333</f>
        <v>1655122.73</v>
      </c>
      <c r="V332" s="118">
        <f>V333</f>
        <v>1372209.98</v>
      </c>
      <c r="W332" s="118">
        <f>W333</f>
        <v>1372209.98</v>
      </c>
      <c r="X332" s="116" t="s">
        <v>407</v>
      </c>
    </row>
    <row r="333" spans="1:24" ht="66.75" customHeight="1" x14ac:dyDescent="0.25">
      <c r="A333" s="116" t="s">
        <v>408</v>
      </c>
      <c r="B333" s="185" t="s">
        <v>143</v>
      </c>
      <c r="C333" s="185" t="s">
        <v>122</v>
      </c>
      <c r="D333" s="208" t="s">
        <v>679</v>
      </c>
      <c r="E333" s="185"/>
      <c r="F333" s="185"/>
      <c r="G333" s="185"/>
      <c r="H333" s="185"/>
      <c r="I333" s="185"/>
      <c r="J333" s="185"/>
      <c r="K333" s="185"/>
      <c r="L333" s="185"/>
      <c r="M333" s="185"/>
      <c r="N333" s="185"/>
      <c r="O333" s="185"/>
      <c r="P333" s="185"/>
      <c r="Q333" s="185"/>
      <c r="R333" s="185"/>
      <c r="S333" s="185" t="s">
        <v>409</v>
      </c>
      <c r="T333" s="400" t="s">
        <v>408</v>
      </c>
      <c r="U333" s="118">
        <f>П4ВСР!Z229</f>
        <v>1655122.73</v>
      </c>
      <c r="V333" s="118">
        <f>П4ВСР!AA229</f>
        <v>1372209.98</v>
      </c>
      <c r="W333" s="118">
        <f>П4ВСР!AB229</f>
        <v>1372209.98</v>
      </c>
      <c r="X333" s="116" t="s">
        <v>408</v>
      </c>
    </row>
    <row r="334" spans="1:24" ht="96" customHeight="1" x14ac:dyDescent="0.25">
      <c r="A334" s="121" t="s">
        <v>485</v>
      </c>
      <c r="B334" s="185" t="s">
        <v>143</v>
      </c>
      <c r="C334" s="185" t="s">
        <v>122</v>
      </c>
      <c r="D334" s="208" t="s">
        <v>680</v>
      </c>
      <c r="E334" s="185"/>
      <c r="F334" s="185"/>
      <c r="G334" s="185"/>
      <c r="H334" s="185"/>
      <c r="I334" s="185"/>
      <c r="J334" s="185"/>
      <c r="K334" s="185"/>
      <c r="L334" s="185"/>
      <c r="M334" s="185"/>
      <c r="N334" s="185"/>
      <c r="O334" s="185"/>
      <c r="P334" s="185"/>
      <c r="Q334" s="185"/>
      <c r="R334" s="185"/>
      <c r="S334" s="185"/>
      <c r="T334" s="405" t="s">
        <v>485</v>
      </c>
      <c r="U334" s="118">
        <f>U336+U335</f>
        <v>520008</v>
      </c>
      <c r="V334" s="118">
        <f>V336</f>
        <v>520008</v>
      </c>
      <c r="W334" s="118">
        <f>W336</f>
        <v>520328</v>
      </c>
      <c r="X334" s="121" t="s">
        <v>485</v>
      </c>
    </row>
    <row r="335" spans="1:24" ht="114" customHeight="1" x14ac:dyDescent="0.25">
      <c r="A335" s="121"/>
      <c r="B335" s="185" t="s">
        <v>143</v>
      </c>
      <c r="C335" s="185" t="s">
        <v>122</v>
      </c>
      <c r="D335" s="208" t="s">
        <v>680</v>
      </c>
      <c r="E335" s="185"/>
      <c r="F335" s="185"/>
      <c r="G335" s="185"/>
      <c r="H335" s="185"/>
      <c r="I335" s="185"/>
      <c r="J335" s="185"/>
      <c r="K335" s="185"/>
      <c r="L335" s="185"/>
      <c r="M335" s="185"/>
      <c r="N335" s="185"/>
      <c r="O335" s="185"/>
      <c r="P335" s="185"/>
      <c r="Q335" s="185"/>
      <c r="R335" s="185"/>
      <c r="S335" s="185" t="s">
        <v>290</v>
      </c>
      <c r="T335" s="403" t="s">
        <v>936</v>
      </c>
      <c r="U335" s="118">
        <f>П4ВСР!Z425</f>
        <v>4008</v>
      </c>
      <c r="V335" s="118">
        <v>0</v>
      </c>
      <c r="W335" s="118">
        <v>0</v>
      </c>
      <c r="X335" s="121"/>
    </row>
    <row r="336" spans="1:24" ht="111.75" customHeight="1" x14ac:dyDescent="0.25">
      <c r="A336" s="121" t="s">
        <v>486</v>
      </c>
      <c r="B336" s="185" t="s">
        <v>143</v>
      </c>
      <c r="C336" s="185" t="s">
        <v>122</v>
      </c>
      <c r="D336" s="208" t="s">
        <v>680</v>
      </c>
      <c r="E336" s="185"/>
      <c r="F336" s="185"/>
      <c r="G336" s="185"/>
      <c r="H336" s="185"/>
      <c r="I336" s="185"/>
      <c r="J336" s="185"/>
      <c r="K336" s="185"/>
      <c r="L336" s="185"/>
      <c r="M336" s="185"/>
      <c r="N336" s="185"/>
      <c r="O336" s="185"/>
      <c r="P336" s="185"/>
      <c r="Q336" s="185"/>
      <c r="R336" s="185"/>
      <c r="S336" s="185" t="s">
        <v>409</v>
      </c>
      <c r="T336" s="403" t="s">
        <v>486</v>
      </c>
      <c r="U336" s="118">
        <f>П4ВСР!Z231+П4ВСР!Z426</f>
        <v>516000</v>
      </c>
      <c r="V336" s="118">
        <f>П4ВСР!AA231+П4ВСР!AA426</f>
        <v>520008</v>
      </c>
      <c r="W336" s="118">
        <f>П4ВСР!AB231+П4ВСР!AB426</f>
        <v>520328</v>
      </c>
      <c r="X336" s="121" t="s">
        <v>486</v>
      </c>
    </row>
    <row r="337" spans="1:24" ht="18.600000000000001" customHeight="1" x14ac:dyDescent="0.25">
      <c r="A337" s="116" t="s">
        <v>163</v>
      </c>
      <c r="B337" s="117" t="s">
        <v>143</v>
      </c>
      <c r="C337" s="117" t="s">
        <v>123</v>
      </c>
      <c r="D337" s="117"/>
      <c r="E337" s="117"/>
      <c r="F337" s="117"/>
      <c r="G337" s="117"/>
      <c r="H337" s="117"/>
      <c r="I337" s="117"/>
      <c r="J337" s="117"/>
      <c r="K337" s="117"/>
      <c r="L337" s="117"/>
      <c r="M337" s="117"/>
      <c r="N337" s="117"/>
      <c r="O337" s="117"/>
      <c r="P337" s="117"/>
      <c r="Q337" s="117"/>
      <c r="R337" s="117"/>
      <c r="S337" s="117"/>
      <c r="T337" s="397" t="s">
        <v>163</v>
      </c>
      <c r="U337" s="118">
        <f>U338+U344+U346+U348+U351+U340+U342</f>
        <v>3197957.7</v>
      </c>
      <c r="V337" s="118">
        <f>V338+V344+V346+V348+V351+V340+V342</f>
        <v>880000</v>
      </c>
      <c r="W337" s="118">
        <f>W338+W344+W346+W348+W351+W340+W342</f>
        <v>880000</v>
      </c>
      <c r="X337" s="116" t="s">
        <v>163</v>
      </c>
    </row>
    <row r="338" spans="1:24" ht="98.25" customHeight="1" x14ac:dyDescent="0.25">
      <c r="A338" s="116" t="s">
        <v>410</v>
      </c>
      <c r="B338" s="208" t="s">
        <v>143</v>
      </c>
      <c r="C338" s="208" t="s">
        <v>123</v>
      </c>
      <c r="D338" s="208" t="s">
        <v>682</v>
      </c>
      <c r="E338" s="208"/>
      <c r="F338" s="208"/>
      <c r="G338" s="208"/>
      <c r="H338" s="208"/>
      <c r="I338" s="208"/>
      <c r="J338" s="208"/>
      <c r="K338" s="208"/>
      <c r="L338" s="208"/>
      <c r="M338" s="208"/>
      <c r="N338" s="208"/>
      <c r="O338" s="208"/>
      <c r="P338" s="208"/>
      <c r="Q338" s="208"/>
      <c r="R338" s="208"/>
      <c r="S338" s="208"/>
      <c r="T338" s="402" t="s">
        <v>681</v>
      </c>
      <c r="U338" s="118">
        <f>U339</f>
        <v>21005.699999999997</v>
      </c>
      <c r="V338" s="118">
        <f>V339</f>
        <v>100000</v>
      </c>
      <c r="W338" s="118">
        <f>W339</f>
        <v>100000</v>
      </c>
      <c r="X338" s="116" t="s">
        <v>410</v>
      </c>
    </row>
    <row r="339" spans="1:24" ht="48" customHeight="1" x14ac:dyDescent="0.25">
      <c r="A339" s="116" t="s">
        <v>411</v>
      </c>
      <c r="B339" s="185" t="s">
        <v>143</v>
      </c>
      <c r="C339" s="185" t="s">
        <v>123</v>
      </c>
      <c r="D339" s="208" t="s">
        <v>682</v>
      </c>
      <c r="E339" s="185"/>
      <c r="F339" s="185"/>
      <c r="G339" s="185"/>
      <c r="H339" s="185"/>
      <c r="I339" s="185"/>
      <c r="J339" s="185"/>
      <c r="K339" s="185"/>
      <c r="L339" s="185"/>
      <c r="M339" s="185"/>
      <c r="N339" s="185"/>
      <c r="O339" s="185"/>
      <c r="P339" s="185"/>
      <c r="Q339" s="185"/>
      <c r="R339" s="185"/>
      <c r="S339" s="185" t="s">
        <v>290</v>
      </c>
      <c r="T339" s="400" t="s">
        <v>411</v>
      </c>
      <c r="U339" s="118">
        <f>П4ВСР!Z234</f>
        <v>21005.699999999997</v>
      </c>
      <c r="V339" s="118">
        <f>П4ВСР!AA234</f>
        <v>100000</v>
      </c>
      <c r="W339" s="118">
        <f>П4ВСР!AB234</f>
        <v>100000</v>
      </c>
      <c r="X339" s="116" t="s">
        <v>411</v>
      </c>
    </row>
    <row r="340" spans="1:24" ht="69" customHeight="1" x14ac:dyDescent="0.25">
      <c r="A340" s="116"/>
      <c r="B340" s="185" t="s">
        <v>143</v>
      </c>
      <c r="C340" s="185" t="s">
        <v>123</v>
      </c>
      <c r="D340" s="208" t="s">
        <v>961</v>
      </c>
      <c r="E340" s="185"/>
      <c r="F340" s="185"/>
      <c r="G340" s="185"/>
      <c r="H340" s="185"/>
      <c r="I340" s="185"/>
      <c r="J340" s="185"/>
      <c r="K340" s="185"/>
      <c r="L340" s="185"/>
      <c r="M340" s="185"/>
      <c r="N340" s="185"/>
      <c r="O340" s="185"/>
      <c r="P340" s="185"/>
      <c r="Q340" s="185"/>
      <c r="R340" s="185"/>
      <c r="S340" s="185"/>
      <c r="T340" s="431" t="s">
        <v>683</v>
      </c>
      <c r="U340" s="118">
        <f>U341</f>
        <v>1328608</v>
      </c>
      <c r="V340" s="118">
        <f>V341</f>
        <v>100000</v>
      </c>
      <c r="W340" s="118">
        <f>W341</f>
        <v>100000</v>
      </c>
      <c r="X340" s="116"/>
    </row>
    <row r="341" spans="1:24" ht="51" customHeight="1" x14ac:dyDescent="0.25">
      <c r="A341" s="116"/>
      <c r="B341" s="185" t="s">
        <v>143</v>
      </c>
      <c r="C341" s="185" t="s">
        <v>123</v>
      </c>
      <c r="D341" s="208" t="s">
        <v>961</v>
      </c>
      <c r="E341" s="185"/>
      <c r="F341" s="185"/>
      <c r="G341" s="185"/>
      <c r="H341" s="185"/>
      <c r="I341" s="185"/>
      <c r="J341" s="185"/>
      <c r="K341" s="185"/>
      <c r="L341" s="185"/>
      <c r="M341" s="185"/>
      <c r="N341" s="185"/>
      <c r="O341" s="185"/>
      <c r="P341" s="185"/>
      <c r="Q341" s="185"/>
      <c r="R341" s="185"/>
      <c r="S341" s="185" t="s">
        <v>409</v>
      </c>
      <c r="T341" s="432" t="s">
        <v>413</v>
      </c>
      <c r="U341" s="118">
        <f>П4ВСР!Z236</f>
        <v>1328608</v>
      </c>
      <c r="V341" s="118">
        <f>П4ВСР!AA236</f>
        <v>100000</v>
      </c>
      <c r="W341" s="118">
        <f>П4ВСР!AB236</f>
        <v>100000</v>
      </c>
      <c r="X341" s="116"/>
    </row>
    <row r="342" spans="1:24" ht="63.75" customHeight="1" x14ac:dyDescent="0.25">
      <c r="A342" s="116"/>
      <c r="B342" s="185" t="s">
        <v>143</v>
      </c>
      <c r="C342" s="185" t="s">
        <v>123</v>
      </c>
      <c r="D342" s="208" t="s">
        <v>961</v>
      </c>
      <c r="E342" s="185"/>
      <c r="F342" s="185"/>
      <c r="G342" s="185"/>
      <c r="H342" s="185"/>
      <c r="I342" s="185"/>
      <c r="J342" s="185"/>
      <c r="K342" s="185"/>
      <c r="L342" s="185"/>
      <c r="M342" s="185"/>
      <c r="N342" s="185"/>
      <c r="O342" s="185"/>
      <c r="P342" s="185"/>
      <c r="Q342" s="185"/>
      <c r="R342" s="185"/>
      <c r="S342" s="185"/>
      <c r="T342" s="402" t="s">
        <v>962</v>
      </c>
      <c r="U342" s="118">
        <f>U343</f>
        <v>807344</v>
      </c>
      <c r="V342" s="118">
        <v>0</v>
      </c>
      <c r="W342" s="118">
        <v>0</v>
      </c>
      <c r="X342" s="116"/>
    </row>
    <row r="343" spans="1:24" ht="50.25" customHeight="1" x14ac:dyDescent="0.25">
      <c r="A343" s="116"/>
      <c r="B343" s="185" t="s">
        <v>143</v>
      </c>
      <c r="C343" s="185" t="s">
        <v>123</v>
      </c>
      <c r="D343" s="208" t="s">
        <v>961</v>
      </c>
      <c r="E343" s="185"/>
      <c r="F343" s="185"/>
      <c r="G343" s="185"/>
      <c r="H343" s="185"/>
      <c r="I343" s="185"/>
      <c r="J343" s="185"/>
      <c r="K343" s="185"/>
      <c r="L343" s="185"/>
      <c r="M343" s="185"/>
      <c r="N343" s="185"/>
      <c r="O343" s="185"/>
      <c r="P343" s="185"/>
      <c r="Q343" s="185"/>
      <c r="R343" s="185"/>
      <c r="S343" s="185" t="s">
        <v>409</v>
      </c>
      <c r="T343" s="432" t="s">
        <v>413</v>
      </c>
      <c r="U343" s="118">
        <f>П4ВСР!Z238</f>
        <v>807344</v>
      </c>
      <c r="V343" s="118">
        <v>0</v>
      </c>
      <c r="W343" s="118">
        <v>0</v>
      </c>
      <c r="X343" s="116"/>
    </row>
    <row r="344" spans="1:24" ht="67.5" hidden="1" customHeight="1" x14ac:dyDescent="0.25">
      <c r="A344" s="116" t="s">
        <v>412</v>
      </c>
      <c r="B344" s="208" t="s">
        <v>143</v>
      </c>
      <c r="C344" s="208" t="s">
        <v>123</v>
      </c>
      <c r="D344" s="208" t="s">
        <v>684</v>
      </c>
      <c r="E344" s="208"/>
      <c r="F344" s="208"/>
      <c r="G344" s="208"/>
      <c r="H344" s="208"/>
      <c r="I344" s="208"/>
      <c r="J344" s="208"/>
      <c r="K344" s="208"/>
      <c r="L344" s="208"/>
      <c r="M344" s="208"/>
      <c r="N344" s="208"/>
      <c r="O344" s="208"/>
      <c r="P344" s="208"/>
      <c r="Q344" s="208"/>
      <c r="R344" s="208"/>
      <c r="S344" s="208"/>
      <c r="T344" s="402" t="s">
        <v>683</v>
      </c>
      <c r="U344" s="118">
        <f>U345</f>
        <v>0</v>
      </c>
      <c r="V344" s="118">
        <f>V345</f>
        <v>0</v>
      </c>
      <c r="W344" s="118">
        <f>W345</f>
        <v>0</v>
      </c>
      <c r="X344" s="116" t="s">
        <v>412</v>
      </c>
    </row>
    <row r="345" spans="1:24" ht="48.75" hidden="1" customHeight="1" x14ac:dyDescent="0.25">
      <c r="A345" s="116" t="s">
        <v>413</v>
      </c>
      <c r="B345" s="209" t="s">
        <v>143</v>
      </c>
      <c r="C345" s="209" t="s">
        <v>123</v>
      </c>
      <c r="D345" s="208" t="s">
        <v>684</v>
      </c>
      <c r="E345" s="209"/>
      <c r="F345" s="209"/>
      <c r="G345" s="209"/>
      <c r="H345" s="209"/>
      <c r="I345" s="209"/>
      <c r="J345" s="209"/>
      <c r="K345" s="209"/>
      <c r="L345" s="209"/>
      <c r="M345" s="209"/>
      <c r="N345" s="209"/>
      <c r="O345" s="209"/>
      <c r="P345" s="209"/>
      <c r="Q345" s="209"/>
      <c r="R345" s="209"/>
      <c r="S345" s="209" t="s">
        <v>409</v>
      </c>
      <c r="T345" s="418" t="s">
        <v>413</v>
      </c>
      <c r="U345" s="118">
        <f>П4ВСР!Z240</f>
        <v>0</v>
      </c>
      <c r="V345" s="118">
        <f>П4ВСР!AA240</f>
        <v>0</v>
      </c>
      <c r="W345" s="118">
        <f>П4ВСР!AB240</f>
        <v>0</v>
      </c>
      <c r="X345" s="116" t="s">
        <v>413</v>
      </c>
    </row>
    <row r="346" spans="1:24" ht="362.25" hidden="1" customHeight="1" x14ac:dyDescent="0.25">
      <c r="A346" s="116" t="s">
        <v>414</v>
      </c>
      <c r="B346" s="208" t="s">
        <v>143</v>
      </c>
      <c r="C346" s="208" t="s">
        <v>123</v>
      </c>
      <c r="D346" s="208" t="s">
        <v>685</v>
      </c>
      <c r="E346" s="208"/>
      <c r="F346" s="208"/>
      <c r="G346" s="208"/>
      <c r="H346" s="208"/>
      <c r="I346" s="208"/>
      <c r="J346" s="208"/>
      <c r="K346" s="208"/>
      <c r="L346" s="208"/>
      <c r="M346" s="208"/>
      <c r="N346" s="208"/>
      <c r="O346" s="208"/>
      <c r="P346" s="208"/>
      <c r="Q346" s="208"/>
      <c r="R346" s="208"/>
      <c r="S346" s="208"/>
      <c r="T346" s="402" t="s">
        <v>414</v>
      </c>
      <c r="U346" s="118">
        <f>U347</f>
        <v>0</v>
      </c>
      <c r="V346" s="118">
        <f>V347</f>
        <v>0</v>
      </c>
      <c r="W346" s="118">
        <f>W347</f>
        <v>0</v>
      </c>
      <c r="X346" s="116" t="s">
        <v>414</v>
      </c>
    </row>
    <row r="347" spans="1:24" ht="409.5" hidden="1" customHeight="1" x14ac:dyDescent="0.25">
      <c r="A347" s="116" t="s">
        <v>415</v>
      </c>
      <c r="B347" s="185" t="s">
        <v>143</v>
      </c>
      <c r="C347" s="185" t="s">
        <v>123</v>
      </c>
      <c r="D347" s="208" t="s">
        <v>685</v>
      </c>
      <c r="E347" s="185"/>
      <c r="F347" s="185"/>
      <c r="G347" s="185"/>
      <c r="H347" s="185"/>
      <c r="I347" s="185"/>
      <c r="J347" s="185"/>
      <c r="K347" s="185"/>
      <c r="L347" s="185"/>
      <c r="M347" s="185"/>
      <c r="N347" s="185"/>
      <c r="O347" s="185"/>
      <c r="P347" s="185"/>
      <c r="Q347" s="185"/>
      <c r="R347" s="185"/>
      <c r="S347" s="185" t="s">
        <v>290</v>
      </c>
      <c r="T347" s="400" t="s">
        <v>415</v>
      </c>
      <c r="U347" s="118">
        <f>П4ВСР!Z242</f>
        <v>0</v>
      </c>
      <c r="V347" s="118">
        <f>П4ВСР!AA242</f>
        <v>0</v>
      </c>
      <c r="W347" s="118">
        <f>П4ВСР!AB242</f>
        <v>0</v>
      </c>
      <c r="X347" s="116" t="s">
        <v>415</v>
      </c>
    </row>
    <row r="348" spans="1:24" ht="33" customHeight="1" x14ac:dyDescent="0.25">
      <c r="A348" s="116" t="s">
        <v>241</v>
      </c>
      <c r="B348" s="208" t="s">
        <v>143</v>
      </c>
      <c r="C348" s="208" t="s">
        <v>123</v>
      </c>
      <c r="D348" s="208" t="s">
        <v>686</v>
      </c>
      <c r="E348" s="183"/>
      <c r="F348" s="183"/>
      <c r="G348" s="183"/>
      <c r="H348" s="183"/>
      <c r="I348" s="183"/>
      <c r="J348" s="183"/>
      <c r="K348" s="183"/>
      <c r="L348" s="183"/>
      <c r="M348" s="183"/>
      <c r="N348" s="183"/>
      <c r="O348" s="183"/>
      <c r="P348" s="183"/>
      <c r="Q348" s="183"/>
      <c r="R348" s="183"/>
      <c r="S348" s="183"/>
      <c r="T348" s="402" t="s">
        <v>241</v>
      </c>
      <c r="U348" s="118">
        <f>U350+U349</f>
        <v>621000</v>
      </c>
      <c r="V348" s="118">
        <f>V350+V349</f>
        <v>500000</v>
      </c>
      <c r="W348" s="118">
        <f>W350+W349</f>
        <v>500000</v>
      </c>
      <c r="X348" s="116" t="s">
        <v>241</v>
      </c>
    </row>
    <row r="349" spans="1:24" ht="48.75" customHeight="1" x14ac:dyDescent="0.25">
      <c r="A349" s="116"/>
      <c r="B349" s="185" t="s">
        <v>143</v>
      </c>
      <c r="C349" s="185" t="s">
        <v>123</v>
      </c>
      <c r="D349" s="208" t="s">
        <v>686</v>
      </c>
      <c r="E349" s="185"/>
      <c r="F349" s="185"/>
      <c r="G349" s="185"/>
      <c r="H349" s="185"/>
      <c r="I349" s="185"/>
      <c r="J349" s="185"/>
      <c r="K349" s="185"/>
      <c r="L349" s="185"/>
      <c r="M349" s="185"/>
      <c r="N349" s="185"/>
      <c r="O349" s="185"/>
      <c r="P349" s="185"/>
      <c r="Q349" s="185"/>
      <c r="R349" s="185"/>
      <c r="S349" s="185" t="s">
        <v>290</v>
      </c>
      <c r="T349" s="402" t="s">
        <v>838</v>
      </c>
      <c r="U349" s="118">
        <f>П4ВСР!Z244</f>
        <v>205000</v>
      </c>
      <c r="V349" s="118">
        <f>П4ВСР!AA244</f>
        <v>300000</v>
      </c>
      <c r="W349" s="118">
        <f>П4ВСР!AB244</f>
        <v>300000</v>
      </c>
      <c r="X349" s="116"/>
    </row>
    <row r="350" spans="1:24" ht="48.75" customHeight="1" x14ac:dyDescent="0.25">
      <c r="A350" s="116" t="s">
        <v>416</v>
      </c>
      <c r="B350" s="185" t="s">
        <v>143</v>
      </c>
      <c r="C350" s="185" t="s">
        <v>123</v>
      </c>
      <c r="D350" s="208" t="s">
        <v>686</v>
      </c>
      <c r="E350" s="185"/>
      <c r="F350" s="185"/>
      <c r="G350" s="185"/>
      <c r="H350" s="185"/>
      <c r="I350" s="185"/>
      <c r="J350" s="185"/>
      <c r="K350" s="185"/>
      <c r="L350" s="185"/>
      <c r="M350" s="185"/>
      <c r="N350" s="185"/>
      <c r="O350" s="185"/>
      <c r="P350" s="185"/>
      <c r="Q350" s="185"/>
      <c r="R350" s="185"/>
      <c r="S350" s="185" t="s">
        <v>409</v>
      </c>
      <c r="T350" s="400" t="s">
        <v>416</v>
      </c>
      <c r="U350" s="118">
        <f>П4ВСР!Z245</f>
        <v>416000</v>
      </c>
      <c r="V350" s="118">
        <f>П4ВСР!AA245</f>
        <v>200000</v>
      </c>
      <c r="W350" s="118">
        <f>П4ВСР!AB245</f>
        <v>200000</v>
      </c>
      <c r="X350" s="116" t="s">
        <v>416</v>
      </c>
    </row>
    <row r="351" spans="1:24" ht="51.75" customHeight="1" x14ac:dyDescent="0.25">
      <c r="A351" s="116"/>
      <c r="B351" s="185" t="s">
        <v>143</v>
      </c>
      <c r="C351" s="185" t="s">
        <v>123</v>
      </c>
      <c r="D351" s="208" t="s">
        <v>688</v>
      </c>
      <c r="E351" s="185"/>
      <c r="F351" s="185"/>
      <c r="G351" s="185"/>
      <c r="H351" s="185"/>
      <c r="I351" s="185"/>
      <c r="J351" s="185"/>
      <c r="K351" s="185"/>
      <c r="L351" s="185"/>
      <c r="M351" s="185"/>
      <c r="N351" s="185"/>
      <c r="O351" s="185"/>
      <c r="P351" s="185"/>
      <c r="Q351" s="185"/>
      <c r="R351" s="185"/>
      <c r="S351" s="185"/>
      <c r="T351" s="433" t="s">
        <v>687</v>
      </c>
      <c r="U351" s="118">
        <f>U352</f>
        <v>420000</v>
      </c>
      <c r="V351" s="118">
        <f>V352</f>
        <v>180000</v>
      </c>
      <c r="W351" s="118">
        <f>W352</f>
        <v>180000</v>
      </c>
      <c r="X351" s="116"/>
    </row>
    <row r="352" spans="1:24" ht="66.75" customHeight="1" x14ac:dyDescent="0.25">
      <c r="A352" s="116"/>
      <c r="B352" s="185" t="s">
        <v>143</v>
      </c>
      <c r="C352" s="185" t="s">
        <v>123</v>
      </c>
      <c r="D352" s="208" t="s">
        <v>688</v>
      </c>
      <c r="E352" s="185"/>
      <c r="F352" s="185"/>
      <c r="G352" s="185"/>
      <c r="H352" s="185"/>
      <c r="I352" s="185"/>
      <c r="J352" s="185"/>
      <c r="K352" s="185"/>
      <c r="L352" s="185"/>
      <c r="M352" s="185"/>
      <c r="N352" s="185"/>
      <c r="O352" s="185"/>
      <c r="P352" s="185"/>
      <c r="Q352" s="185"/>
      <c r="R352" s="185"/>
      <c r="S352" s="185" t="s">
        <v>409</v>
      </c>
      <c r="T352" s="417" t="s">
        <v>873</v>
      </c>
      <c r="U352" s="118">
        <f>П4ВСР!Z247</f>
        <v>420000</v>
      </c>
      <c r="V352" s="118">
        <f>П4ВСР!AA247</f>
        <v>180000</v>
      </c>
      <c r="W352" s="118">
        <f>П4ВСР!AB247</f>
        <v>180000</v>
      </c>
      <c r="X352" s="116"/>
    </row>
    <row r="353" spans="1:24" ht="18.600000000000001" customHeight="1" x14ac:dyDescent="0.25">
      <c r="A353" s="116" t="s">
        <v>164</v>
      </c>
      <c r="B353" s="117" t="s">
        <v>143</v>
      </c>
      <c r="C353" s="117" t="s">
        <v>136</v>
      </c>
      <c r="D353" s="117"/>
      <c r="E353" s="117"/>
      <c r="F353" s="117"/>
      <c r="G353" s="117"/>
      <c r="H353" s="117"/>
      <c r="I353" s="117"/>
      <c r="J353" s="117"/>
      <c r="K353" s="117"/>
      <c r="L353" s="117"/>
      <c r="M353" s="117"/>
      <c r="N353" s="117"/>
      <c r="O353" s="117"/>
      <c r="P353" s="117"/>
      <c r="Q353" s="117"/>
      <c r="R353" s="117"/>
      <c r="S353" s="117"/>
      <c r="T353" s="397" t="s">
        <v>164</v>
      </c>
      <c r="U353" s="118">
        <f>U354+U357+U359+U362+U364+U366+U370</f>
        <v>32326827.82</v>
      </c>
      <c r="V353" s="118">
        <f>V354+V357+V359+V362+V364+V366+V370</f>
        <v>27921800</v>
      </c>
      <c r="W353" s="118">
        <f>W354+W357+W359+W362+W364+W366+W370</f>
        <v>27921800</v>
      </c>
      <c r="X353" s="116" t="s">
        <v>164</v>
      </c>
    </row>
    <row r="354" spans="1:24" ht="79.5" customHeight="1" x14ac:dyDescent="0.25">
      <c r="A354" s="116" t="s">
        <v>487</v>
      </c>
      <c r="B354" s="208" t="s">
        <v>143</v>
      </c>
      <c r="C354" s="208" t="s">
        <v>136</v>
      </c>
      <c r="D354" s="208" t="s">
        <v>737</v>
      </c>
      <c r="E354" s="208"/>
      <c r="F354" s="208"/>
      <c r="G354" s="208"/>
      <c r="H354" s="208"/>
      <c r="I354" s="208"/>
      <c r="J354" s="208"/>
      <c r="K354" s="208"/>
      <c r="L354" s="208"/>
      <c r="M354" s="208"/>
      <c r="N354" s="208"/>
      <c r="O354" s="208"/>
      <c r="P354" s="208"/>
      <c r="Q354" s="208"/>
      <c r="R354" s="208"/>
      <c r="S354" s="208"/>
      <c r="T354" s="402" t="s">
        <v>857</v>
      </c>
      <c r="U354" s="118">
        <f>U356+U355</f>
        <v>1241856</v>
      </c>
      <c r="V354" s="118">
        <f>V356</f>
        <v>1241900</v>
      </c>
      <c r="W354" s="118">
        <f>W356</f>
        <v>1241900</v>
      </c>
      <c r="X354" s="116" t="s">
        <v>487</v>
      </c>
    </row>
    <row r="355" spans="1:24" ht="33" customHeight="1" x14ac:dyDescent="0.25">
      <c r="A355" s="116"/>
      <c r="B355" s="185" t="s">
        <v>143</v>
      </c>
      <c r="C355" s="185" t="s">
        <v>136</v>
      </c>
      <c r="D355" s="208" t="s">
        <v>737</v>
      </c>
      <c r="E355" s="185"/>
      <c r="F355" s="185"/>
      <c r="G355" s="185"/>
      <c r="H355" s="185"/>
      <c r="I355" s="185"/>
      <c r="J355" s="185"/>
      <c r="K355" s="185"/>
      <c r="L355" s="185"/>
      <c r="M355" s="185"/>
      <c r="N355" s="185"/>
      <c r="O355" s="185"/>
      <c r="P355" s="185"/>
      <c r="Q355" s="185"/>
      <c r="R355" s="185"/>
      <c r="S355" s="185" t="s">
        <v>290</v>
      </c>
      <c r="T355" s="400" t="s">
        <v>938</v>
      </c>
      <c r="U355" s="118">
        <f>П4ВСР!Z429</f>
        <v>10866.24</v>
      </c>
      <c r="V355" s="118">
        <v>0</v>
      </c>
      <c r="W355" s="118">
        <v>0</v>
      </c>
      <c r="X355" s="116"/>
    </row>
    <row r="356" spans="1:24" ht="15.75" customHeight="1" x14ac:dyDescent="0.25">
      <c r="A356" s="116" t="s">
        <v>488</v>
      </c>
      <c r="B356" s="185" t="s">
        <v>143</v>
      </c>
      <c r="C356" s="185" t="s">
        <v>136</v>
      </c>
      <c r="D356" s="208" t="s">
        <v>737</v>
      </c>
      <c r="E356" s="185"/>
      <c r="F356" s="185"/>
      <c r="G356" s="185"/>
      <c r="H356" s="185"/>
      <c r="I356" s="185"/>
      <c r="J356" s="185"/>
      <c r="K356" s="185"/>
      <c r="L356" s="185"/>
      <c r="M356" s="185"/>
      <c r="N356" s="185"/>
      <c r="O356" s="185"/>
      <c r="P356" s="185"/>
      <c r="Q356" s="185"/>
      <c r="R356" s="185"/>
      <c r="S356" s="185" t="s">
        <v>409</v>
      </c>
      <c r="T356" s="400" t="s">
        <v>858</v>
      </c>
      <c r="U356" s="118">
        <f>П4ВСР!Z430</f>
        <v>1230989.76</v>
      </c>
      <c r="V356" s="118">
        <f>П4ВСР!AA430</f>
        <v>1241900</v>
      </c>
      <c r="W356" s="118">
        <f>П4ВСР!AB430</f>
        <v>1241900</v>
      </c>
      <c r="X356" s="116" t="s">
        <v>488</v>
      </c>
    </row>
    <row r="357" spans="1:24" ht="96.75" customHeight="1" x14ac:dyDescent="0.25">
      <c r="A357" s="116" t="s">
        <v>489</v>
      </c>
      <c r="B357" s="208" t="s">
        <v>143</v>
      </c>
      <c r="C357" s="208" t="s">
        <v>136</v>
      </c>
      <c r="D357" s="208" t="s">
        <v>739</v>
      </c>
      <c r="E357" s="208"/>
      <c r="F357" s="208"/>
      <c r="G357" s="208"/>
      <c r="H357" s="208"/>
      <c r="I357" s="208"/>
      <c r="J357" s="208"/>
      <c r="K357" s="208"/>
      <c r="L357" s="208"/>
      <c r="M357" s="208"/>
      <c r="N357" s="208"/>
      <c r="O357" s="208"/>
      <c r="P357" s="208"/>
      <c r="Q357" s="208"/>
      <c r="R357" s="208"/>
      <c r="S357" s="208"/>
      <c r="T357" s="402" t="s">
        <v>738</v>
      </c>
      <c r="U357" s="118">
        <f>U358</f>
        <v>121214.54000000001</v>
      </c>
      <c r="V357" s="118">
        <f>V358</f>
        <v>55100</v>
      </c>
      <c r="W357" s="118">
        <f>W358</f>
        <v>55100</v>
      </c>
      <c r="X357" s="116" t="s">
        <v>489</v>
      </c>
    </row>
    <row r="358" spans="1:24" ht="15.75" customHeight="1" x14ac:dyDescent="0.25">
      <c r="A358" s="116" t="s">
        <v>490</v>
      </c>
      <c r="B358" s="185" t="s">
        <v>143</v>
      </c>
      <c r="C358" s="185" t="s">
        <v>136</v>
      </c>
      <c r="D358" s="208" t="s">
        <v>739</v>
      </c>
      <c r="E358" s="185"/>
      <c r="F358" s="185"/>
      <c r="G358" s="185"/>
      <c r="H358" s="185"/>
      <c r="I358" s="185"/>
      <c r="J358" s="185"/>
      <c r="K358" s="185"/>
      <c r="L358" s="185"/>
      <c r="M358" s="185"/>
      <c r="N358" s="185"/>
      <c r="O358" s="185"/>
      <c r="P358" s="185"/>
      <c r="Q358" s="185"/>
      <c r="R358" s="185"/>
      <c r="S358" s="185" t="s">
        <v>409</v>
      </c>
      <c r="T358" s="400" t="s">
        <v>858</v>
      </c>
      <c r="U358" s="118">
        <f>П4ВСР!Z432</f>
        <v>121214.54000000001</v>
      </c>
      <c r="V358" s="118">
        <f>П4ВСР!AA432</f>
        <v>55100</v>
      </c>
      <c r="W358" s="118">
        <f>П4ВСР!AB432</f>
        <v>55100</v>
      </c>
      <c r="X358" s="116" t="s">
        <v>490</v>
      </c>
    </row>
    <row r="359" spans="1:24" ht="96" customHeight="1" x14ac:dyDescent="0.25">
      <c r="A359" s="116" t="s">
        <v>491</v>
      </c>
      <c r="B359" s="208" t="s">
        <v>143</v>
      </c>
      <c r="C359" s="208" t="s">
        <v>136</v>
      </c>
      <c r="D359" s="208" t="s">
        <v>741</v>
      </c>
      <c r="E359" s="117"/>
      <c r="F359" s="117"/>
      <c r="G359" s="117"/>
      <c r="H359" s="117"/>
      <c r="I359" s="117"/>
      <c r="J359" s="117"/>
      <c r="K359" s="117"/>
      <c r="L359" s="117"/>
      <c r="M359" s="117"/>
      <c r="N359" s="117"/>
      <c r="O359" s="117"/>
      <c r="P359" s="117"/>
      <c r="Q359" s="117"/>
      <c r="R359" s="117"/>
      <c r="S359" s="117"/>
      <c r="T359" s="402" t="s">
        <v>740</v>
      </c>
      <c r="U359" s="118">
        <f>U361+U360</f>
        <v>16537756.82</v>
      </c>
      <c r="V359" s="118">
        <f>V361</f>
        <v>14076600</v>
      </c>
      <c r="W359" s="118">
        <f>W361</f>
        <v>14076600</v>
      </c>
      <c r="X359" s="116" t="s">
        <v>491</v>
      </c>
    </row>
    <row r="360" spans="1:24" ht="33.75" customHeight="1" x14ac:dyDescent="0.25">
      <c r="A360" s="116"/>
      <c r="B360" s="185" t="s">
        <v>143</v>
      </c>
      <c r="C360" s="185" t="s">
        <v>136</v>
      </c>
      <c r="D360" s="208" t="s">
        <v>741</v>
      </c>
      <c r="E360" s="185"/>
      <c r="F360" s="185"/>
      <c r="G360" s="185"/>
      <c r="H360" s="185"/>
      <c r="I360" s="185"/>
      <c r="J360" s="185"/>
      <c r="K360" s="185"/>
      <c r="L360" s="185"/>
      <c r="M360" s="185"/>
      <c r="N360" s="185"/>
      <c r="O360" s="185"/>
      <c r="P360" s="185"/>
      <c r="Q360" s="185"/>
      <c r="R360" s="185"/>
      <c r="S360" s="185" t="s">
        <v>290</v>
      </c>
      <c r="T360" s="400" t="s">
        <v>938</v>
      </c>
      <c r="U360" s="118">
        <f>П4ВСР!Z434</f>
        <v>163740</v>
      </c>
      <c r="V360" s="118">
        <v>0</v>
      </c>
      <c r="W360" s="118">
        <v>0</v>
      </c>
      <c r="X360" s="116"/>
    </row>
    <row r="361" spans="1:24" ht="15.75" customHeight="1" x14ac:dyDescent="0.25">
      <c r="A361" s="116" t="s">
        <v>492</v>
      </c>
      <c r="B361" s="185" t="s">
        <v>143</v>
      </c>
      <c r="C361" s="185" t="s">
        <v>136</v>
      </c>
      <c r="D361" s="208" t="s">
        <v>741</v>
      </c>
      <c r="E361" s="185"/>
      <c r="F361" s="185"/>
      <c r="G361" s="185"/>
      <c r="H361" s="185"/>
      <c r="I361" s="185"/>
      <c r="J361" s="185"/>
      <c r="K361" s="185"/>
      <c r="L361" s="185"/>
      <c r="M361" s="185"/>
      <c r="N361" s="185"/>
      <c r="O361" s="185"/>
      <c r="P361" s="185"/>
      <c r="Q361" s="185"/>
      <c r="R361" s="185"/>
      <c r="S361" s="185" t="s">
        <v>409</v>
      </c>
      <c r="T361" s="400" t="s">
        <v>858</v>
      </c>
      <c r="U361" s="118">
        <f>П4ВСР!Z435</f>
        <v>16374016.82</v>
      </c>
      <c r="V361" s="118">
        <f>П4ВСР!AA435</f>
        <v>14076600</v>
      </c>
      <c r="W361" s="118">
        <f>П4ВСР!AB435</f>
        <v>14076600</v>
      </c>
      <c r="X361" s="116" t="s">
        <v>492</v>
      </c>
    </row>
    <row r="362" spans="1:24" ht="114" customHeight="1" x14ac:dyDescent="0.25">
      <c r="A362" s="116" t="s">
        <v>229</v>
      </c>
      <c r="B362" s="185" t="s">
        <v>143</v>
      </c>
      <c r="C362" s="185" t="s">
        <v>136</v>
      </c>
      <c r="D362" s="208" t="s">
        <v>690</v>
      </c>
      <c r="E362" s="185"/>
      <c r="F362" s="185"/>
      <c r="G362" s="185"/>
      <c r="H362" s="185"/>
      <c r="I362" s="185"/>
      <c r="J362" s="185"/>
      <c r="K362" s="185"/>
      <c r="L362" s="185"/>
      <c r="M362" s="185"/>
      <c r="N362" s="185"/>
      <c r="O362" s="185"/>
      <c r="P362" s="185"/>
      <c r="Q362" s="185"/>
      <c r="R362" s="185"/>
      <c r="S362" s="185"/>
      <c r="T362" s="402" t="s">
        <v>853</v>
      </c>
      <c r="U362" s="118">
        <f>U363</f>
        <v>3439952</v>
      </c>
      <c r="V362" s="118">
        <f>V363</f>
        <v>1721300</v>
      </c>
      <c r="W362" s="118">
        <f>W363</f>
        <v>1721300</v>
      </c>
      <c r="X362" s="116" t="s">
        <v>229</v>
      </c>
    </row>
    <row r="363" spans="1:24" ht="32.25" customHeight="1" x14ac:dyDescent="0.25">
      <c r="A363" s="116" t="s">
        <v>417</v>
      </c>
      <c r="B363" s="208" t="s">
        <v>143</v>
      </c>
      <c r="C363" s="208" t="s">
        <v>136</v>
      </c>
      <c r="D363" s="208" t="s">
        <v>690</v>
      </c>
      <c r="E363" s="208"/>
      <c r="F363" s="208"/>
      <c r="G363" s="208"/>
      <c r="H363" s="208"/>
      <c r="I363" s="208"/>
      <c r="J363" s="208"/>
      <c r="K363" s="208"/>
      <c r="L363" s="208"/>
      <c r="M363" s="208"/>
      <c r="N363" s="208"/>
      <c r="O363" s="208"/>
      <c r="P363" s="208"/>
      <c r="Q363" s="208"/>
      <c r="R363" s="208"/>
      <c r="S363" s="208" t="s">
        <v>366</v>
      </c>
      <c r="T363" s="400" t="s">
        <v>854</v>
      </c>
      <c r="U363" s="118">
        <f>П4ВСР!Z250</f>
        <v>3439952</v>
      </c>
      <c r="V363" s="118">
        <f>П4ВСР!AA250</f>
        <v>1721300</v>
      </c>
      <c r="W363" s="118">
        <f>П4ВСР!AB250</f>
        <v>1721300</v>
      </c>
      <c r="X363" s="116" t="s">
        <v>417</v>
      </c>
    </row>
    <row r="364" spans="1:24" ht="409.5" hidden="1" customHeight="1" x14ac:dyDescent="0.25">
      <c r="A364" s="116" t="s">
        <v>230</v>
      </c>
      <c r="B364" s="208" t="s">
        <v>143</v>
      </c>
      <c r="C364" s="208" t="s">
        <v>136</v>
      </c>
      <c r="D364" s="208" t="s">
        <v>690</v>
      </c>
      <c r="E364" s="208"/>
      <c r="F364" s="208"/>
      <c r="G364" s="208"/>
      <c r="H364" s="208"/>
      <c r="I364" s="208"/>
      <c r="J364" s="208"/>
      <c r="K364" s="208"/>
      <c r="L364" s="208"/>
      <c r="M364" s="208"/>
      <c r="N364" s="208"/>
      <c r="O364" s="208"/>
      <c r="P364" s="208"/>
      <c r="Q364" s="208"/>
      <c r="R364" s="208"/>
      <c r="S364" s="208"/>
      <c r="T364" s="402" t="s">
        <v>689</v>
      </c>
      <c r="U364" s="118">
        <f>U365</f>
        <v>0</v>
      </c>
      <c r="V364" s="118">
        <f>V365</f>
        <v>0</v>
      </c>
      <c r="W364" s="118">
        <f>W365</f>
        <v>0</v>
      </c>
      <c r="X364" s="116" t="s">
        <v>230</v>
      </c>
    </row>
    <row r="365" spans="1:24" ht="409.5" hidden="1" customHeight="1" x14ac:dyDescent="0.25">
      <c r="A365" s="121" t="s">
        <v>418</v>
      </c>
      <c r="B365" s="185" t="s">
        <v>143</v>
      </c>
      <c r="C365" s="185" t="s">
        <v>136</v>
      </c>
      <c r="D365" s="208" t="s">
        <v>690</v>
      </c>
      <c r="E365" s="185"/>
      <c r="F365" s="185"/>
      <c r="G365" s="185"/>
      <c r="H365" s="185"/>
      <c r="I365" s="185"/>
      <c r="J365" s="185"/>
      <c r="K365" s="185"/>
      <c r="L365" s="185"/>
      <c r="M365" s="185"/>
      <c r="N365" s="185"/>
      <c r="O365" s="185"/>
      <c r="P365" s="185"/>
      <c r="Q365" s="185"/>
      <c r="R365" s="185"/>
      <c r="S365" s="185" t="s">
        <v>366</v>
      </c>
      <c r="T365" s="403" t="s">
        <v>418</v>
      </c>
      <c r="U365" s="118">
        <f>П4ВСР!Z252</f>
        <v>0</v>
      </c>
      <c r="V365" s="118">
        <f>П4ВСР!AA252</f>
        <v>0</v>
      </c>
      <c r="W365" s="118">
        <f>П4ВСР!AB252</f>
        <v>0</v>
      </c>
      <c r="X365" s="121" t="s">
        <v>418</v>
      </c>
    </row>
    <row r="366" spans="1:24" ht="82.5" customHeight="1" x14ac:dyDescent="0.25">
      <c r="A366" s="121" t="s">
        <v>233</v>
      </c>
      <c r="B366" s="208" t="s">
        <v>143</v>
      </c>
      <c r="C366" s="208" t="s">
        <v>136</v>
      </c>
      <c r="D366" s="208" t="s">
        <v>742</v>
      </c>
      <c r="E366" s="208"/>
      <c r="F366" s="208"/>
      <c r="G366" s="208"/>
      <c r="H366" s="208"/>
      <c r="I366" s="208"/>
      <c r="J366" s="208"/>
      <c r="K366" s="208"/>
      <c r="L366" s="208"/>
      <c r="M366" s="208"/>
      <c r="N366" s="208"/>
      <c r="O366" s="208"/>
      <c r="P366" s="208"/>
      <c r="Q366" s="208"/>
      <c r="R366" s="208"/>
      <c r="S366" s="208"/>
      <c r="T366" s="405" t="s">
        <v>859</v>
      </c>
      <c r="U366" s="118">
        <f>U368+U369+U367</f>
        <v>10986048.460000001</v>
      </c>
      <c r="V366" s="118">
        <f>V368+V369</f>
        <v>10826900</v>
      </c>
      <c r="W366" s="118">
        <f>W368+W369</f>
        <v>10826900</v>
      </c>
      <c r="X366" s="121" t="s">
        <v>233</v>
      </c>
    </row>
    <row r="367" spans="1:24" ht="39" customHeight="1" x14ac:dyDescent="0.25">
      <c r="A367" s="121"/>
      <c r="B367" s="185" t="s">
        <v>143</v>
      </c>
      <c r="C367" s="185" t="s">
        <v>136</v>
      </c>
      <c r="D367" s="208" t="s">
        <v>742</v>
      </c>
      <c r="E367" s="185"/>
      <c r="F367" s="185"/>
      <c r="G367" s="185"/>
      <c r="H367" s="185"/>
      <c r="I367" s="185"/>
      <c r="J367" s="185"/>
      <c r="K367" s="185"/>
      <c r="L367" s="185"/>
      <c r="M367" s="185"/>
      <c r="N367" s="185"/>
      <c r="O367" s="185"/>
      <c r="P367" s="185"/>
      <c r="Q367" s="185"/>
      <c r="R367" s="185"/>
      <c r="S367" s="185" t="s">
        <v>290</v>
      </c>
      <c r="T367" s="400" t="s">
        <v>938</v>
      </c>
      <c r="U367" s="118">
        <f>П4ВСР!Z437</f>
        <v>32178</v>
      </c>
      <c r="V367" s="118">
        <v>0</v>
      </c>
      <c r="W367" s="118">
        <v>0</v>
      </c>
      <c r="X367" s="121"/>
    </row>
    <row r="368" spans="1:24" ht="15" customHeight="1" x14ac:dyDescent="0.25">
      <c r="A368" s="121" t="s">
        <v>493</v>
      </c>
      <c r="B368" s="185" t="s">
        <v>143</v>
      </c>
      <c r="C368" s="185" t="s">
        <v>136</v>
      </c>
      <c r="D368" s="208" t="s">
        <v>742</v>
      </c>
      <c r="E368" s="185"/>
      <c r="F368" s="185"/>
      <c r="G368" s="185"/>
      <c r="H368" s="185"/>
      <c r="I368" s="185"/>
      <c r="J368" s="185"/>
      <c r="K368" s="185"/>
      <c r="L368" s="185"/>
      <c r="M368" s="185"/>
      <c r="N368" s="185"/>
      <c r="O368" s="185"/>
      <c r="P368" s="185"/>
      <c r="Q368" s="185"/>
      <c r="R368" s="185"/>
      <c r="S368" s="185" t="s">
        <v>409</v>
      </c>
      <c r="T368" s="403" t="s">
        <v>858</v>
      </c>
      <c r="U368" s="118">
        <f>П4ВСР!Z438</f>
        <v>3217807</v>
      </c>
      <c r="V368" s="118">
        <f>П4ВСР!AA438</f>
        <v>3249985</v>
      </c>
      <c r="W368" s="118">
        <f>П4ВСР!AB438</f>
        <v>3249985</v>
      </c>
      <c r="X368" s="121" t="s">
        <v>493</v>
      </c>
    </row>
    <row r="369" spans="1:24" ht="32.25" customHeight="1" x14ac:dyDescent="0.25">
      <c r="A369" s="121"/>
      <c r="B369" s="185" t="s">
        <v>143</v>
      </c>
      <c r="C369" s="185" t="s">
        <v>136</v>
      </c>
      <c r="D369" s="208" t="s">
        <v>742</v>
      </c>
      <c r="E369" s="185"/>
      <c r="F369" s="185"/>
      <c r="G369" s="185"/>
      <c r="H369" s="185"/>
      <c r="I369" s="185"/>
      <c r="J369" s="185"/>
      <c r="K369" s="185"/>
      <c r="L369" s="185"/>
      <c r="M369" s="185"/>
      <c r="N369" s="185"/>
      <c r="O369" s="185"/>
      <c r="P369" s="185"/>
      <c r="Q369" s="185"/>
      <c r="R369" s="185"/>
      <c r="S369" s="185" t="s">
        <v>309</v>
      </c>
      <c r="T369" s="400" t="s">
        <v>827</v>
      </c>
      <c r="U369" s="118">
        <f>П4ВСР!Z439</f>
        <v>7736063.46</v>
      </c>
      <c r="V369" s="118">
        <f>П4ВСР!AA439</f>
        <v>7576915</v>
      </c>
      <c r="W369" s="118">
        <f>П4ВСР!AB439</f>
        <v>7576915</v>
      </c>
      <c r="X369" s="121"/>
    </row>
    <row r="370" spans="1:24" ht="83.25" hidden="1" customHeight="1" x14ac:dyDescent="0.25">
      <c r="A370" s="121"/>
      <c r="B370" s="208" t="s">
        <v>143</v>
      </c>
      <c r="C370" s="208" t="s">
        <v>136</v>
      </c>
      <c r="D370" s="208" t="s">
        <v>743</v>
      </c>
      <c r="E370" s="208"/>
      <c r="F370" s="208"/>
      <c r="G370" s="208"/>
      <c r="H370" s="208"/>
      <c r="I370" s="208"/>
      <c r="J370" s="208"/>
      <c r="K370" s="208"/>
      <c r="L370" s="208"/>
      <c r="M370" s="208"/>
      <c r="N370" s="208"/>
      <c r="O370" s="208"/>
      <c r="P370" s="208"/>
      <c r="Q370" s="208"/>
      <c r="R370" s="208"/>
      <c r="S370" s="208"/>
      <c r="T370" s="402" t="s">
        <v>860</v>
      </c>
      <c r="U370" s="118">
        <f>U371+U372</f>
        <v>0</v>
      </c>
      <c r="V370" s="118">
        <f>V371+V372</f>
        <v>0</v>
      </c>
      <c r="W370" s="118">
        <f>W371+W372</f>
        <v>0</v>
      </c>
      <c r="X370" s="121"/>
    </row>
    <row r="371" spans="1:24" ht="46.5" hidden="1" customHeight="1" x14ac:dyDescent="0.25">
      <c r="A371" s="121"/>
      <c r="B371" s="185" t="s">
        <v>143</v>
      </c>
      <c r="C371" s="185" t="s">
        <v>136</v>
      </c>
      <c r="D371" s="208" t="s">
        <v>743</v>
      </c>
      <c r="E371" s="185"/>
      <c r="F371" s="185"/>
      <c r="G371" s="185"/>
      <c r="H371" s="185"/>
      <c r="I371" s="185"/>
      <c r="J371" s="185"/>
      <c r="K371" s="185"/>
      <c r="L371" s="185"/>
      <c r="M371" s="185"/>
      <c r="N371" s="185"/>
      <c r="O371" s="185"/>
      <c r="P371" s="185"/>
      <c r="Q371" s="185"/>
      <c r="R371" s="185"/>
      <c r="S371" s="185" t="s">
        <v>38</v>
      </c>
      <c r="T371" s="403" t="s">
        <v>850</v>
      </c>
      <c r="U371" s="118">
        <f>П4ВСР!Z441</f>
        <v>0</v>
      </c>
      <c r="V371" s="118">
        <f>П4ВСР!AA441</f>
        <v>0</v>
      </c>
      <c r="W371" s="118">
        <f>П4ВСР!AB441</f>
        <v>0</v>
      </c>
      <c r="X371" s="121"/>
    </row>
    <row r="372" spans="1:24" ht="35.25" hidden="1" customHeight="1" x14ac:dyDescent="0.25">
      <c r="A372" s="121"/>
      <c r="B372" s="185" t="s">
        <v>143</v>
      </c>
      <c r="C372" s="185" t="s">
        <v>136</v>
      </c>
      <c r="D372" s="208" t="s">
        <v>743</v>
      </c>
      <c r="E372" s="185"/>
      <c r="F372" s="185"/>
      <c r="G372" s="185"/>
      <c r="H372" s="185"/>
      <c r="I372" s="185"/>
      <c r="J372" s="185"/>
      <c r="K372" s="185"/>
      <c r="L372" s="185"/>
      <c r="M372" s="185"/>
      <c r="N372" s="185"/>
      <c r="O372" s="185"/>
      <c r="P372" s="185"/>
      <c r="Q372" s="185"/>
      <c r="R372" s="185"/>
      <c r="S372" s="185" t="s">
        <v>290</v>
      </c>
      <c r="T372" s="400" t="s">
        <v>611</v>
      </c>
      <c r="U372" s="118">
        <f>П4ВСР!Z442</f>
        <v>0</v>
      </c>
      <c r="V372" s="118">
        <f>П4ВСР!AA442</f>
        <v>0</v>
      </c>
      <c r="W372" s="118">
        <f>П4ВСР!AB442</f>
        <v>0</v>
      </c>
      <c r="X372" s="121"/>
    </row>
    <row r="373" spans="1:24" ht="17.25" customHeight="1" x14ac:dyDescent="0.25">
      <c r="A373" s="121"/>
      <c r="B373" s="185" t="s">
        <v>143</v>
      </c>
      <c r="C373" s="185" t="s">
        <v>125</v>
      </c>
      <c r="D373" s="208"/>
      <c r="E373" s="185"/>
      <c r="F373" s="185"/>
      <c r="G373" s="185"/>
      <c r="H373" s="185"/>
      <c r="I373" s="185"/>
      <c r="J373" s="185"/>
      <c r="K373" s="185"/>
      <c r="L373" s="185"/>
      <c r="M373" s="185"/>
      <c r="N373" s="185"/>
      <c r="O373" s="185"/>
      <c r="P373" s="185"/>
      <c r="Q373" s="185"/>
      <c r="R373" s="185"/>
      <c r="S373" s="185"/>
      <c r="T373" s="402" t="s">
        <v>900</v>
      </c>
      <c r="U373" s="118">
        <f>U374</f>
        <v>1750191.15</v>
      </c>
      <c r="V373" s="118">
        <f>V374</f>
        <v>1750200</v>
      </c>
      <c r="W373" s="118">
        <f>W374</f>
        <v>1750200</v>
      </c>
      <c r="X373" s="121"/>
    </row>
    <row r="374" spans="1:24" ht="81.75" customHeight="1" x14ac:dyDescent="0.25">
      <c r="A374" s="121"/>
      <c r="B374" s="185" t="s">
        <v>143</v>
      </c>
      <c r="C374" s="185" t="s">
        <v>125</v>
      </c>
      <c r="D374" s="208" t="s">
        <v>743</v>
      </c>
      <c r="E374" s="185"/>
      <c r="F374" s="185"/>
      <c r="G374" s="185"/>
      <c r="H374" s="185"/>
      <c r="I374" s="185"/>
      <c r="J374" s="185"/>
      <c r="K374" s="185"/>
      <c r="L374" s="185"/>
      <c r="M374" s="185"/>
      <c r="N374" s="185"/>
      <c r="O374" s="185"/>
      <c r="P374" s="185"/>
      <c r="Q374" s="185"/>
      <c r="R374" s="185"/>
      <c r="S374" s="185"/>
      <c r="T374" s="402" t="s">
        <v>860</v>
      </c>
      <c r="U374" s="118">
        <f>U375+U376</f>
        <v>1750191.15</v>
      </c>
      <c r="V374" s="118">
        <f>V375+V376</f>
        <v>1750200</v>
      </c>
      <c r="W374" s="118">
        <f>W375+W376</f>
        <v>1750200</v>
      </c>
      <c r="X374" s="121"/>
    </row>
    <row r="375" spans="1:24" ht="49.5" customHeight="1" x14ac:dyDescent="0.25">
      <c r="A375" s="121"/>
      <c r="B375" s="185" t="s">
        <v>143</v>
      </c>
      <c r="C375" s="185" t="s">
        <v>125</v>
      </c>
      <c r="D375" s="208" t="s">
        <v>743</v>
      </c>
      <c r="E375" s="185"/>
      <c r="F375" s="185"/>
      <c r="G375" s="185"/>
      <c r="H375" s="185"/>
      <c r="I375" s="185"/>
      <c r="J375" s="185"/>
      <c r="K375" s="185"/>
      <c r="L375" s="185"/>
      <c r="M375" s="185"/>
      <c r="N375" s="185"/>
      <c r="O375" s="185"/>
      <c r="P375" s="185"/>
      <c r="Q375" s="185"/>
      <c r="R375" s="185"/>
      <c r="S375" s="185" t="s">
        <v>38</v>
      </c>
      <c r="T375" s="403" t="s">
        <v>850</v>
      </c>
      <c r="U375" s="118">
        <f>П4ВСР!Z445</f>
        <v>1455064</v>
      </c>
      <c r="V375" s="118">
        <f>П4ВСР!AA445</f>
        <v>1455064</v>
      </c>
      <c r="W375" s="118">
        <f>П4ВСР!AB445</f>
        <v>1455064</v>
      </c>
      <c r="X375" s="121"/>
    </row>
    <row r="376" spans="1:24" ht="34.5" customHeight="1" x14ac:dyDescent="0.25">
      <c r="A376" s="121"/>
      <c r="B376" s="185" t="s">
        <v>143</v>
      </c>
      <c r="C376" s="185" t="s">
        <v>125</v>
      </c>
      <c r="D376" s="208" t="s">
        <v>743</v>
      </c>
      <c r="E376" s="185"/>
      <c r="F376" s="185"/>
      <c r="G376" s="185"/>
      <c r="H376" s="185"/>
      <c r="I376" s="185"/>
      <c r="J376" s="185"/>
      <c r="K376" s="185"/>
      <c r="L376" s="185"/>
      <c r="M376" s="185"/>
      <c r="N376" s="185"/>
      <c r="O376" s="185"/>
      <c r="P376" s="185"/>
      <c r="Q376" s="185"/>
      <c r="R376" s="185"/>
      <c r="S376" s="185" t="s">
        <v>290</v>
      </c>
      <c r="T376" s="400" t="s">
        <v>611</v>
      </c>
      <c r="U376" s="118">
        <f>П4ВСР!Z446</f>
        <v>295127.15000000002</v>
      </c>
      <c r="V376" s="118">
        <f>П4ВСР!AA446</f>
        <v>295136</v>
      </c>
      <c r="W376" s="118">
        <f>П4ВСР!AB446</f>
        <v>295136</v>
      </c>
      <c r="X376" s="121"/>
    </row>
    <row r="377" spans="1:24" ht="18.600000000000001" customHeight="1" x14ac:dyDescent="0.25">
      <c r="A377" s="114" t="s">
        <v>419</v>
      </c>
      <c r="B377" s="123" t="s">
        <v>128</v>
      </c>
      <c r="C377" s="123" t="s">
        <v>133</v>
      </c>
      <c r="D377" s="123"/>
      <c r="E377" s="123"/>
      <c r="F377" s="123"/>
      <c r="G377" s="123"/>
      <c r="H377" s="123"/>
      <c r="I377" s="123"/>
      <c r="J377" s="123"/>
      <c r="K377" s="123"/>
      <c r="L377" s="123"/>
      <c r="M377" s="123"/>
      <c r="N377" s="123"/>
      <c r="O377" s="123"/>
      <c r="P377" s="123"/>
      <c r="Q377" s="123"/>
      <c r="R377" s="123"/>
      <c r="S377" s="123"/>
      <c r="T377" s="395" t="s">
        <v>419</v>
      </c>
      <c r="U377" s="115">
        <f>U378+U383</f>
        <v>1656998.0000000002</v>
      </c>
      <c r="V377" s="115">
        <f>V378+V383</f>
        <v>2828700</v>
      </c>
      <c r="W377" s="115">
        <f>W378+W383</f>
        <v>750000</v>
      </c>
      <c r="X377" s="114" t="s">
        <v>419</v>
      </c>
    </row>
    <row r="378" spans="1:24" ht="18.600000000000001" customHeight="1" x14ac:dyDescent="0.25">
      <c r="A378" s="116" t="s">
        <v>119</v>
      </c>
      <c r="B378" s="117" t="s">
        <v>128</v>
      </c>
      <c r="C378" s="117" t="s">
        <v>122</v>
      </c>
      <c r="D378" s="117"/>
      <c r="E378" s="117"/>
      <c r="F378" s="117"/>
      <c r="G378" s="117"/>
      <c r="H378" s="117"/>
      <c r="I378" s="117"/>
      <c r="J378" s="117"/>
      <c r="K378" s="117"/>
      <c r="L378" s="117"/>
      <c r="M378" s="117"/>
      <c r="N378" s="117"/>
      <c r="O378" s="117"/>
      <c r="P378" s="117"/>
      <c r="Q378" s="117"/>
      <c r="R378" s="117"/>
      <c r="S378" s="117"/>
      <c r="T378" s="397" t="s">
        <v>119</v>
      </c>
      <c r="U378" s="118">
        <f>U379+U381</f>
        <v>650000</v>
      </c>
      <c r="V378" s="118">
        <f>V379+V381</f>
        <v>1428700</v>
      </c>
      <c r="W378" s="118">
        <f>W379+W381</f>
        <v>550000</v>
      </c>
      <c r="X378" s="116" t="s">
        <v>119</v>
      </c>
    </row>
    <row r="379" spans="1:24" ht="81" customHeight="1" x14ac:dyDescent="0.25">
      <c r="A379" s="116" t="s">
        <v>420</v>
      </c>
      <c r="B379" s="208" t="s">
        <v>128</v>
      </c>
      <c r="C379" s="208" t="s">
        <v>122</v>
      </c>
      <c r="D379" s="208" t="s">
        <v>692</v>
      </c>
      <c r="E379" s="208"/>
      <c r="F379" s="208"/>
      <c r="G379" s="208"/>
      <c r="H379" s="208"/>
      <c r="I379" s="208"/>
      <c r="J379" s="208"/>
      <c r="K379" s="208"/>
      <c r="L379" s="208"/>
      <c r="M379" s="208"/>
      <c r="N379" s="208"/>
      <c r="O379" s="208"/>
      <c r="P379" s="208"/>
      <c r="Q379" s="208"/>
      <c r="R379" s="208"/>
      <c r="S379" s="208"/>
      <c r="T379" s="402" t="s">
        <v>691</v>
      </c>
      <c r="U379" s="118">
        <f>U380</f>
        <v>600000</v>
      </c>
      <c r="V379" s="118">
        <f>V380</f>
        <v>1378700</v>
      </c>
      <c r="W379" s="118">
        <f>W380</f>
        <v>500000</v>
      </c>
      <c r="X379" s="116" t="s">
        <v>420</v>
      </c>
    </row>
    <row r="380" spans="1:24" ht="33" customHeight="1" x14ac:dyDescent="0.25">
      <c r="A380" s="116" t="s">
        <v>421</v>
      </c>
      <c r="B380" s="185" t="s">
        <v>128</v>
      </c>
      <c r="C380" s="185" t="s">
        <v>122</v>
      </c>
      <c r="D380" s="208" t="s">
        <v>692</v>
      </c>
      <c r="E380" s="185"/>
      <c r="F380" s="185"/>
      <c r="G380" s="185"/>
      <c r="H380" s="185"/>
      <c r="I380" s="185"/>
      <c r="J380" s="185"/>
      <c r="K380" s="185"/>
      <c r="L380" s="185"/>
      <c r="M380" s="185"/>
      <c r="N380" s="185"/>
      <c r="O380" s="185"/>
      <c r="P380" s="185"/>
      <c r="Q380" s="185"/>
      <c r="R380" s="185"/>
      <c r="S380" s="185" t="s">
        <v>290</v>
      </c>
      <c r="T380" s="400" t="s">
        <v>421</v>
      </c>
      <c r="U380" s="118">
        <f>П4ВСР!Z256</f>
        <v>600000</v>
      </c>
      <c r="V380" s="118">
        <f>П4ВСР!AA256</f>
        <v>1378700</v>
      </c>
      <c r="W380" s="118">
        <f>П4ВСР!AB256</f>
        <v>500000</v>
      </c>
      <c r="X380" s="116" t="s">
        <v>421</v>
      </c>
    </row>
    <row r="381" spans="1:24" ht="82.5" customHeight="1" x14ac:dyDescent="0.25">
      <c r="A381" s="116" t="s">
        <v>422</v>
      </c>
      <c r="B381" s="208" t="s">
        <v>128</v>
      </c>
      <c r="C381" s="208" t="s">
        <v>122</v>
      </c>
      <c r="D381" s="208" t="s">
        <v>694</v>
      </c>
      <c r="E381" s="208"/>
      <c r="F381" s="208"/>
      <c r="G381" s="208"/>
      <c r="H381" s="208"/>
      <c r="I381" s="208"/>
      <c r="J381" s="208"/>
      <c r="K381" s="208"/>
      <c r="L381" s="208"/>
      <c r="M381" s="208"/>
      <c r="N381" s="208"/>
      <c r="O381" s="208"/>
      <c r="P381" s="208"/>
      <c r="Q381" s="208"/>
      <c r="R381" s="208"/>
      <c r="S381" s="208"/>
      <c r="T381" s="402" t="s">
        <v>693</v>
      </c>
      <c r="U381" s="118">
        <f>U382</f>
        <v>50000</v>
      </c>
      <c r="V381" s="118">
        <f>V382</f>
        <v>50000</v>
      </c>
      <c r="W381" s="118">
        <f>W382</f>
        <v>50000</v>
      </c>
      <c r="X381" s="116" t="s">
        <v>422</v>
      </c>
    </row>
    <row r="382" spans="1:24" ht="52.5" customHeight="1" x14ac:dyDescent="0.25">
      <c r="A382" s="116" t="s">
        <v>423</v>
      </c>
      <c r="B382" s="185" t="s">
        <v>128</v>
      </c>
      <c r="C382" s="185" t="s">
        <v>122</v>
      </c>
      <c r="D382" s="208" t="s">
        <v>694</v>
      </c>
      <c r="E382" s="185"/>
      <c r="F382" s="185"/>
      <c r="G382" s="185"/>
      <c r="H382" s="185"/>
      <c r="I382" s="185"/>
      <c r="J382" s="185"/>
      <c r="K382" s="185"/>
      <c r="L382" s="185"/>
      <c r="M382" s="185"/>
      <c r="N382" s="185"/>
      <c r="O382" s="185"/>
      <c r="P382" s="185"/>
      <c r="Q382" s="185"/>
      <c r="R382" s="185"/>
      <c r="S382" s="185" t="s">
        <v>290</v>
      </c>
      <c r="T382" s="400" t="s">
        <v>423</v>
      </c>
      <c r="U382" s="118">
        <f>П4ВСР!Z258</f>
        <v>50000</v>
      </c>
      <c r="V382" s="118">
        <f>П4ВСР!AA258</f>
        <v>50000</v>
      </c>
      <c r="W382" s="118">
        <f>П4ВСР!AB258</f>
        <v>50000</v>
      </c>
      <c r="X382" s="116" t="s">
        <v>423</v>
      </c>
    </row>
    <row r="383" spans="1:24" ht="18.600000000000001" customHeight="1" x14ac:dyDescent="0.25">
      <c r="A383" s="116" t="s">
        <v>166</v>
      </c>
      <c r="B383" s="117" t="s">
        <v>128</v>
      </c>
      <c r="C383" s="117" t="s">
        <v>132</v>
      </c>
      <c r="D383" s="117"/>
      <c r="E383" s="117"/>
      <c r="F383" s="117"/>
      <c r="G383" s="117"/>
      <c r="H383" s="117"/>
      <c r="I383" s="117"/>
      <c r="J383" s="117"/>
      <c r="K383" s="117"/>
      <c r="L383" s="117"/>
      <c r="M383" s="117"/>
      <c r="N383" s="117"/>
      <c r="O383" s="117"/>
      <c r="P383" s="117"/>
      <c r="Q383" s="117"/>
      <c r="R383" s="117"/>
      <c r="S383" s="117"/>
      <c r="T383" s="397" t="s">
        <v>166</v>
      </c>
      <c r="U383" s="118">
        <f>U384+U386+U388</f>
        <v>1006998.0000000002</v>
      </c>
      <c r="V383" s="118">
        <f>V384+V386+V388</f>
        <v>1400000</v>
      </c>
      <c r="W383" s="118">
        <f>W384+W386+W388</f>
        <v>200000</v>
      </c>
      <c r="X383" s="116" t="s">
        <v>166</v>
      </c>
    </row>
    <row r="384" spans="1:24" ht="81.75" customHeight="1" x14ac:dyDescent="0.25">
      <c r="A384" s="116" t="s">
        <v>424</v>
      </c>
      <c r="B384" s="208" t="s">
        <v>128</v>
      </c>
      <c r="C384" s="208" t="s">
        <v>132</v>
      </c>
      <c r="D384" s="208" t="s">
        <v>696</v>
      </c>
      <c r="E384" s="208"/>
      <c r="F384" s="208"/>
      <c r="G384" s="208"/>
      <c r="H384" s="208"/>
      <c r="I384" s="208"/>
      <c r="J384" s="208"/>
      <c r="K384" s="208"/>
      <c r="L384" s="208"/>
      <c r="M384" s="208"/>
      <c r="N384" s="208"/>
      <c r="O384" s="208"/>
      <c r="P384" s="208"/>
      <c r="Q384" s="208"/>
      <c r="R384" s="208"/>
      <c r="S384" s="208"/>
      <c r="T384" s="402" t="s">
        <v>695</v>
      </c>
      <c r="U384" s="118">
        <f>U385</f>
        <v>476999</v>
      </c>
      <c r="V384" s="118">
        <f>V385</f>
        <v>200000</v>
      </c>
      <c r="W384" s="118">
        <f>W385</f>
        <v>100000</v>
      </c>
      <c r="X384" s="116" t="s">
        <v>424</v>
      </c>
    </row>
    <row r="385" spans="1:24" ht="30" customHeight="1" x14ac:dyDescent="0.25">
      <c r="A385" s="116" t="s">
        <v>425</v>
      </c>
      <c r="B385" s="185" t="s">
        <v>128</v>
      </c>
      <c r="C385" s="185" t="s">
        <v>132</v>
      </c>
      <c r="D385" s="208" t="s">
        <v>696</v>
      </c>
      <c r="E385" s="185"/>
      <c r="F385" s="185"/>
      <c r="G385" s="185"/>
      <c r="H385" s="185"/>
      <c r="I385" s="185"/>
      <c r="J385" s="185"/>
      <c r="K385" s="185"/>
      <c r="L385" s="185"/>
      <c r="M385" s="185"/>
      <c r="N385" s="185"/>
      <c r="O385" s="185"/>
      <c r="P385" s="185"/>
      <c r="Q385" s="185"/>
      <c r="R385" s="185"/>
      <c r="S385" s="185" t="s">
        <v>290</v>
      </c>
      <c r="T385" s="400" t="s">
        <v>425</v>
      </c>
      <c r="U385" s="118">
        <f>П4ВСР!Z261</f>
        <v>476999</v>
      </c>
      <c r="V385" s="118">
        <f>П4ВСР!AA261</f>
        <v>200000</v>
      </c>
      <c r="W385" s="118">
        <f>П4ВСР!AB261</f>
        <v>100000</v>
      </c>
      <c r="X385" s="116" t="s">
        <v>425</v>
      </c>
    </row>
    <row r="386" spans="1:24" ht="65.25" customHeight="1" x14ac:dyDescent="0.25">
      <c r="A386" s="116" t="s">
        <v>426</v>
      </c>
      <c r="B386" s="208" t="s">
        <v>128</v>
      </c>
      <c r="C386" s="208" t="s">
        <v>132</v>
      </c>
      <c r="D386" s="208" t="s">
        <v>698</v>
      </c>
      <c r="E386" s="208"/>
      <c r="F386" s="208"/>
      <c r="G386" s="208"/>
      <c r="H386" s="208"/>
      <c r="I386" s="208"/>
      <c r="J386" s="208"/>
      <c r="K386" s="208"/>
      <c r="L386" s="208"/>
      <c r="M386" s="208"/>
      <c r="N386" s="208"/>
      <c r="O386" s="208"/>
      <c r="P386" s="208"/>
      <c r="Q386" s="208"/>
      <c r="R386" s="208"/>
      <c r="S386" s="208"/>
      <c r="T386" s="402" t="s">
        <v>697</v>
      </c>
      <c r="U386" s="118">
        <f>U387</f>
        <v>529999</v>
      </c>
      <c r="V386" s="118">
        <f>V387</f>
        <v>200000</v>
      </c>
      <c r="W386" s="118">
        <f>W387</f>
        <v>100000</v>
      </c>
      <c r="X386" s="116" t="s">
        <v>426</v>
      </c>
    </row>
    <row r="387" spans="1:24" ht="33.75" customHeight="1" x14ac:dyDescent="0.25">
      <c r="A387" s="116" t="s">
        <v>427</v>
      </c>
      <c r="B387" s="185" t="s">
        <v>128</v>
      </c>
      <c r="C387" s="185" t="s">
        <v>132</v>
      </c>
      <c r="D387" s="208" t="s">
        <v>698</v>
      </c>
      <c r="E387" s="185"/>
      <c r="F387" s="185"/>
      <c r="G387" s="185"/>
      <c r="H387" s="185"/>
      <c r="I387" s="185"/>
      <c r="J387" s="185"/>
      <c r="K387" s="185"/>
      <c r="L387" s="185"/>
      <c r="M387" s="185"/>
      <c r="N387" s="185"/>
      <c r="O387" s="185"/>
      <c r="P387" s="185"/>
      <c r="Q387" s="185"/>
      <c r="R387" s="185"/>
      <c r="S387" s="185" t="s">
        <v>290</v>
      </c>
      <c r="T387" s="400" t="s">
        <v>427</v>
      </c>
      <c r="U387" s="118">
        <f>П4ВСР!Z263</f>
        <v>529999</v>
      </c>
      <c r="V387" s="118">
        <f>П4ВСР!AA263</f>
        <v>200000</v>
      </c>
      <c r="W387" s="118">
        <f>П4ВСР!AB263</f>
        <v>100000</v>
      </c>
      <c r="X387" s="116" t="s">
        <v>427</v>
      </c>
    </row>
    <row r="388" spans="1:24" ht="82.5" customHeight="1" x14ac:dyDescent="0.25">
      <c r="A388" s="116" t="s">
        <v>428</v>
      </c>
      <c r="B388" s="185" t="s">
        <v>128</v>
      </c>
      <c r="C388" s="185" t="s">
        <v>132</v>
      </c>
      <c r="D388" s="208" t="s">
        <v>700</v>
      </c>
      <c r="E388" s="185"/>
      <c r="F388" s="185"/>
      <c r="G388" s="185"/>
      <c r="H388" s="185"/>
      <c r="I388" s="185"/>
      <c r="J388" s="185"/>
      <c r="K388" s="185"/>
      <c r="L388" s="185"/>
      <c r="M388" s="185"/>
      <c r="N388" s="185"/>
      <c r="O388" s="185"/>
      <c r="P388" s="185"/>
      <c r="Q388" s="185"/>
      <c r="R388" s="185"/>
      <c r="S388" s="185"/>
      <c r="T388" s="402" t="s">
        <v>699</v>
      </c>
      <c r="U388" s="118">
        <f>U389</f>
        <v>2.7648638933897018E-10</v>
      </c>
      <c r="V388" s="118">
        <f>V389</f>
        <v>1000000</v>
      </c>
      <c r="W388" s="118">
        <f>W389</f>
        <v>0</v>
      </c>
      <c r="X388" s="116" t="s">
        <v>428</v>
      </c>
    </row>
    <row r="389" spans="1:24" ht="48.75" customHeight="1" x14ac:dyDescent="0.25">
      <c r="A389" s="116" t="s">
        <v>429</v>
      </c>
      <c r="B389" s="185" t="s">
        <v>128</v>
      </c>
      <c r="C389" s="185" t="s">
        <v>132</v>
      </c>
      <c r="D389" s="208" t="s">
        <v>700</v>
      </c>
      <c r="E389" s="185"/>
      <c r="F389" s="185"/>
      <c r="G389" s="185"/>
      <c r="H389" s="185"/>
      <c r="I389" s="185"/>
      <c r="J389" s="185"/>
      <c r="K389" s="185"/>
      <c r="L389" s="185"/>
      <c r="M389" s="185"/>
      <c r="N389" s="185"/>
      <c r="O389" s="185"/>
      <c r="P389" s="185"/>
      <c r="Q389" s="185"/>
      <c r="R389" s="185"/>
      <c r="S389" s="185" t="s">
        <v>366</v>
      </c>
      <c r="T389" s="434" t="s">
        <v>874</v>
      </c>
      <c r="U389" s="118">
        <f>П4ВСР!Z265</f>
        <v>2.7648638933897018E-10</v>
      </c>
      <c r="V389" s="118">
        <f>П4ВСР!AA265</f>
        <v>1000000</v>
      </c>
      <c r="W389" s="118">
        <f>П4ВСР!AB265</f>
        <v>0</v>
      </c>
      <c r="X389" s="116" t="s">
        <v>429</v>
      </c>
    </row>
    <row r="390" spans="1:24" ht="47.25" customHeight="1" x14ac:dyDescent="0.25">
      <c r="A390" s="114" t="s">
        <v>440</v>
      </c>
      <c r="B390" s="123" t="s">
        <v>131</v>
      </c>
      <c r="C390" s="123" t="s">
        <v>133</v>
      </c>
      <c r="D390" s="123"/>
      <c r="E390" s="123"/>
      <c r="F390" s="123"/>
      <c r="G390" s="123"/>
      <c r="H390" s="123"/>
      <c r="I390" s="123"/>
      <c r="J390" s="123"/>
      <c r="K390" s="123"/>
      <c r="L390" s="123"/>
      <c r="M390" s="123"/>
      <c r="N390" s="123"/>
      <c r="O390" s="123"/>
      <c r="P390" s="123"/>
      <c r="Q390" s="123"/>
      <c r="R390" s="123"/>
      <c r="S390" s="123"/>
      <c r="T390" s="395" t="s">
        <v>440</v>
      </c>
      <c r="U390" s="115">
        <f t="shared" ref="U390:W392" si="14">U391</f>
        <v>18000000</v>
      </c>
      <c r="V390" s="115">
        <f t="shared" si="14"/>
        <v>18000000</v>
      </c>
      <c r="W390" s="115">
        <f t="shared" si="14"/>
        <v>18000000</v>
      </c>
      <c r="X390" s="114" t="s">
        <v>440</v>
      </c>
    </row>
    <row r="391" spans="1:24" ht="30.75" customHeight="1" x14ac:dyDescent="0.25">
      <c r="A391" s="116" t="s">
        <v>169</v>
      </c>
      <c r="B391" s="117" t="s">
        <v>131</v>
      </c>
      <c r="C391" s="117" t="s">
        <v>122</v>
      </c>
      <c r="D391" s="117"/>
      <c r="E391" s="117"/>
      <c r="F391" s="117"/>
      <c r="G391" s="117"/>
      <c r="H391" s="117"/>
      <c r="I391" s="117"/>
      <c r="J391" s="117"/>
      <c r="K391" s="117"/>
      <c r="L391" s="117"/>
      <c r="M391" s="117"/>
      <c r="N391" s="117"/>
      <c r="O391" s="117"/>
      <c r="P391" s="117"/>
      <c r="Q391" s="117"/>
      <c r="R391" s="117"/>
      <c r="S391" s="117"/>
      <c r="T391" s="395" t="s">
        <v>169</v>
      </c>
      <c r="U391" s="118">
        <f t="shared" si="14"/>
        <v>18000000</v>
      </c>
      <c r="V391" s="118">
        <f t="shared" si="14"/>
        <v>18000000</v>
      </c>
      <c r="W391" s="118">
        <f t="shared" si="14"/>
        <v>18000000</v>
      </c>
      <c r="X391" s="116" t="s">
        <v>169</v>
      </c>
    </row>
    <row r="392" spans="1:24" ht="95.25" customHeight="1" x14ac:dyDescent="0.25">
      <c r="A392" s="121" t="s">
        <v>441</v>
      </c>
      <c r="B392" s="208" t="s">
        <v>131</v>
      </c>
      <c r="C392" s="208" t="s">
        <v>122</v>
      </c>
      <c r="D392" s="208" t="s">
        <v>706</v>
      </c>
      <c r="E392" s="208"/>
      <c r="F392" s="208"/>
      <c r="G392" s="208"/>
      <c r="H392" s="208"/>
      <c r="I392" s="208"/>
      <c r="J392" s="208"/>
      <c r="K392" s="208"/>
      <c r="L392" s="208"/>
      <c r="M392" s="208"/>
      <c r="N392" s="208"/>
      <c r="O392" s="208"/>
      <c r="P392" s="208"/>
      <c r="Q392" s="208"/>
      <c r="R392" s="208"/>
      <c r="S392" s="208"/>
      <c r="T392" s="405" t="s">
        <v>705</v>
      </c>
      <c r="U392" s="118">
        <f t="shared" si="14"/>
        <v>18000000</v>
      </c>
      <c r="V392" s="118">
        <f t="shared" si="14"/>
        <v>18000000</v>
      </c>
      <c r="W392" s="118">
        <f t="shared" si="14"/>
        <v>18000000</v>
      </c>
      <c r="X392" s="121" t="s">
        <v>441</v>
      </c>
    </row>
    <row r="393" spans="1:24" ht="48.75" customHeight="1" x14ac:dyDescent="0.25">
      <c r="A393" s="121" t="s">
        <v>442</v>
      </c>
      <c r="B393" s="185" t="s">
        <v>131</v>
      </c>
      <c r="C393" s="185" t="s">
        <v>122</v>
      </c>
      <c r="D393" s="208" t="s">
        <v>706</v>
      </c>
      <c r="E393" s="185"/>
      <c r="F393" s="185"/>
      <c r="G393" s="185"/>
      <c r="H393" s="185"/>
      <c r="I393" s="185"/>
      <c r="J393" s="185"/>
      <c r="K393" s="185"/>
      <c r="L393" s="185"/>
      <c r="M393" s="185"/>
      <c r="N393" s="185"/>
      <c r="O393" s="185"/>
      <c r="P393" s="185"/>
      <c r="Q393" s="185"/>
      <c r="R393" s="185"/>
      <c r="S393" s="185" t="s">
        <v>443</v>
      </c>
      <c r="T393" s="403" t="s">
        <v>707</v>
      </c>
      <c r="U393" s="118">
        <f>П4ВСР!Z355</f>
        <v>18000000</v>
      </c>
      <c r="V393" s="118">
        <f>П4ВСР!AA355</f>
        <v>18000000</v>
      </c>
      <c r="W393" s="118">
        <f>П4ВСР!AB355</f>
        <v>18000000</v>
      </c>
      <c r="X393" s="121" t="s">
        <v>442</v>
      </c>
    </row>
    <row r="394" spans="1:24" ht="21.75" customHeight="1" x14ac:dyDescent="0.25">
      <c r="A394" s="121"/>
      <c r="B394" s="125" t="s">
        <v>122</v>
      </c>
      <c r="C394" s="125" t="s">
        <v>125</v>
      </c>
      <c r="D394" s="257" t="s">
        <v>843</v>
      </c>
      <c r="E394" s="125"/>
      <c r="F394" s="125"/>
      <c r="G394" s="125"/>
      <c r="H394" s="125"/>
      <c r="I394" s="125"/>
      <c r="J394" s="125"/>
      <c r="K394" s="125"/>
      <c r="L394" s="125"/>
      <c r="M394" s="125"/>
      <c r="N394" s="125"/>
      <c r="O394" s="125"/>
      <c r="P394" s="125"/>
      <c r="Q394" s="125"/>
      <c r="R394" s="125"/>
      <c r="S394" s="125" t="s">
        <v>519</v>
      </c>
      <c r="T394" s="395" t="s">
        <v>518</v>
      </c>
      <c r="U394" s="118">
        <v>0</v>
      </c>
      <c r="V394" s="115">
        <f>П4ВСР!AA267</f>
        <v>0</v>
      </c>
      <c r="W394" s="115">
        <f>П4ВСР!AB267</f>
        <v>0</v>
      </c>
      <c r="X394" s="121"/>
    </row>
    <row r="395" spans="1:24" ht="18.600000000000001" customHeight="1" x14ac:dyDescent="0.25">
      <c r="A395" s="114" t="s">
        <v>511</v>
      </c>
      <c r="B395" s="123"/>
      <c r="C395" s="123"/>
      <c r="D395" s="123"/>
      <c r="E395" s="123"/>
      <c r="F395" s="123"/>
      <c r="G395" s="123"/>
      <c r="H395" s="123"/>
      <c r="I395" s="123"/>
      <c r="J395" s="123"/>
      <c r="K395" s="123"/>
      <c r="L395" s="123"/>
      <c r="M395" s="123"/>
      <c r="N395" s="123"/>
      <c r="O395" s="123"/>
      <c r="P395" s="123"/>
      <c r="Q395" s="123"/>
      <c r="R395" s="123"/>
      <c r="S395" s="123"/>
      <c r="T395" s="395" t="s">
        <v>511</v>
      </c>
      <c r="U395" s="115">
        <f>U12+U83+U98+U174+U218+U303+U325+U330+U377+U390</f>
        <v>1049428555.2409999</v>
      </c>
      <c r="V395" s="115">
        <f>V12+V83+V98+V174+V218+V303+V325+V330+V377+V390+V394</f>
        <v>654045822.25999999</v>
      </c>
      <c r="W395" s="115">
        <f>W12+W83+W98+W174+W218+W303+W325+W330+W377+W390+W394</f>
        <v>644006405.3900001</v>
      </c>
      <c r="X395" s="114" t="s">
        <v>511</v>
      </c>
    </row>
    <row r="396" spans="1:24" ht="10.15" customHeight="1" x14ac:dyDescent="0.25"/>
    <row r="397" spans="1:24" ht="10.15" customHeight="1" x14ac:dyDescent="0.25"/>
    <row r="398" spans="1:24" ht="10.15" customHeight="1" x14ac:dyDescent="0.25"/>
    <row r="399" spans="1:24" ht="10.15" customHeight="1" x14ac:dyDescent="0.25"/>
    <row r="400" spans="1:24" ht="10.15" customHeight="1" x14ac:dyDescent="0.25"/>
    <row r="401" ht="10.15" customHeight="1" x14ac:dyDescent="0.25"/>
    <row r="402" ht="10.15" customHeight="1" x14ac:dyDescent="0.25"/>
    <row r="403" ht="10.15" customHeight="1" x14ac:dyDescent="0.25"/>
    <row r="404" ht="10.15" customHeight="1" x14ac:dyDescent="0.25"/>
    <row r="405" ht="10.15" customHeight="1" x14ac:dyDescent="0.25"/>
    <row r="406" ht="10.15" customHeight="1" x14ac:dyDescent="0.25"/>
    <row r="407" ht="10.15" customHeight="1" x14ac:dyDescent="0.25"/>
    <row r="408" ht="10.15" customHeight="1" x14ac:dyDescent="0.25"/>
    <row r="409" ht="10.15" customHeight="1" x14ac:dyDescent="0.25"/>
    <row r="410" ht="10.15" customHeight="1" x14ac:dyDescent="0.25"/>
    <row r="411" ht="10.15" customHeight="1" x14ac:dyDescent="0.25"/>
    <row r="412" ht="10.15" customHeight="1" x14ac:dyDescent="0.25"/>
    <row r="413" ht="10.15" customHeight="1" x14ac:dyDescent="0.25"/>
    <row r="414" ht="10.15" customHeight="1" x14ac:dyDescent="0.25"/>
    <row r="415" ht="10.15" customHeight="1" x14ac:dyDescent="0.25"/>
    <row r="416" ht="10.15" customHeight="1" x14ac:dyDescent="0.25"/>
    <row r="417" ht="10.15" customHeight="1" x14ac:dyDescent="0.25"/>
    <row r="418" ht="10.15" customHeight="1" x14ac:dyDescent="0.25"/>
    <row r="419" ht="10.15" customHeight="1" x14ac:dyDescent="0.25"/>
    <row r="420" ht="10.15" customHeight="1" x14ac:dyDescent="0.25"/>
    <row r="421" ht="10.15" customHeight="1" x14ac:dyDescent="0.25"/>
    <row r="422" ht="10.15" customHeight="1" x14ac:dyDescent="0.25"/>
    <row r="423" ht="10.15" customHeight="1" x14ac:dyDescent="0.25"/>
    <row r="424" ht="10.15" customHeight="1" x14ac:dyDescent="0.25"/>
    <row r="425" ht="10.15" customHeight="1" x14ac:dyDescent="0.25"/>
    <row r="426" ht="10.15" customHeight="1" x14ac:dyDescent="0.25"/>
    <row r="427" ht="10.15" customHeight="1" x14ac:dyDescent="0.25"/>
    <row r="428" ht="10.15" customHeight="1" x14ac:dyDescent="0.25"/>
    <row r="429" ht="10.15" customHeight="1" x14ac:dyDescent="0.25"/>
    <row r="430" ht="10.15" customHeight="1" x14ac:dyDescent="0.25"/>
    <row r="431" ht="10.15" customHeight="1" x14ac:dyDescent="0.25"/>
    <row r="432" ht="10.15" customHeight="1" x14ac:dyDescent="0.25"/>
    <row r="433" ht="10.15" customHeight="1" x14ac:dyDescent="0.25"/>
    <row r="434" ht="10.15" customHeight="1" x14ac:dyDescent="0.25"/>
    <row r="435" ht="10.15" customHeight="1" x14ac:dyDescent="0.25"/>
    <row r="436" ht="10.15" customHeight="1" x14ac:dyDescent="0.25"/>
    <row r="437" ht="10.15" customHeight="1" x14ac:dyDescent="0.25"/>
    <row r="438" ht="10.15" customHeight="1" x14ac:dyDescent="0.25"/>
    <row r="439" ht="10.15" customHeight="1" x14ac:dyDescent="0.25"/>
    <row r="440" ht="10.15" customHeight="1" x14ac:dyDescent="0.25"/>
    <row r="441" ht="10.15" customHeight="1" x14ac:dyDescent="0.25"/>
    <row r="442" ht="10.15" customHeight="1" x14ac:dyDescent="0.25"/>
  </sheetData>
  <mergeCells count="11">
    <mergeCell ref="B6:X6"/>
    <mergeCell ref="A9:A10"/>
    <mergeCell ref="B9:B10"/>
    <mergeCell ref="C9:C10"/>
    <mergeCell ref="D9:R10"/>
    <mergeCell ref="S9:S10"/>
    <mergeCell ref="T9:T10"/>
    <mergeCell ref="U9:U10"/>
    <mergeCell ref="V9:V10"/>
    <mergeCell ref="W9:W10"/>
    <mergeCell ref="X9:X10"/>
  </mergeCells>
  <pageMargins left="0.51181102362204722" right="0.19685039370078741" top="0.35433070866141736" bottom="0.35433070866141736" header="0.31496062992125984" footer="0.31496062992125984"/>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activeCell="C10" sqref="C10"/>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583" t="s">
        <v>104</v>
      </c>
      <c r="B1" s="583"/>
      <c r="C1" s="583"/>
      <c r="D1" s="583"/>
      <c r="E1" s="583"/>
      <c r="F1" s="583"/>
      <c r="G1" s="583"/>
    </row>
    <row r="2" spans="1:7" x14ac:dyDescent="0.25">
      <c r="A2" s="583" t="s">
        <v>30</v>
      </c>
      <c r="B2" s="583"/>
      <c r="C2" s="583"/>
      <c r="D2" s="583"/>
      <c r="E2" s="583"/>
      <c r="F2" s="583"/>
      <c r="G2" s="583"/>
    </row>
    <row r="3" spans="1:7" x14ac:dyDescent="0.25">
      <c r="A3" s="583" t="s">
        <v>32</v>
      </c>
      <c r="B3" s="583"/>
      <c r="C3" s="583"/>
      <c r="D3" s="583"/>
      <c r="E3" s="583"/>
      <c r="F3" s="583"/>
      <c r="G3" s="583"/>
    </row>
    <row r="4" spans="1:7" x14ac:dyDescent="0.25">
      <c r="A4" s="583" t="s">
        <v>29</v>
      </c>
      <c r="B4" s="583"/>
      <c r="C4" s="583"/>
      <c r="D4" s="583"/>
      <c r="E4" s="583"/>
      <c r="F4" s="583"/>
      <c r="G4" s="583"/>
    </row>
    <row r="5" spans="1:7" x14ac:dyDescent="0.25">
      <c r="A5" s="4" t="s">
        <v>33</v>
      </c>
      <c r="B5" s="1"/>
      <c r="C5" s="5"/>
    </row>
    <row r="6" spans="1:7" x14ac:dyDescent="0.25">
      <c r="A6" s="552" t="s">
        <v>50</v>
      </c>
      <c r="B6" s="552"/>
      <c r="C6" s="552"/>
      <c r="D6" s="552"/>
      <c r="E6" s="552"/>
      <c r="F6" s="552"/>
      <c r="G6" s="552"/>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580" t="s">
        <v>103</v>
      </c>
      <c r="B40" s="581"/>
      <c r="C40" s="581"/>
      <c r="D40" s="582"/>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3"/>
  <sheetViews>
    <sheetView topLeftCell="A473" zoomScale="85" zoomScaleNormal="85" workbookViewId="0">
      <selection activeCell="Z478" sqref="Z478"/>
    </sheetView>
  </sheetViews>
  <sheetFormatPr defaultRowHeight="15" x14ac:dyDescent="0.25"/>
  <cols>
    <col min="1" max="1" width="69.42578125" style="501" customWidth="1"/>
    <col min="2" max="2" width="8.140625" style="491" customWidth="1"/>
    <col min="3" max="3" width="5.28515625" style="491" customWidth="1"/>
    <col min="4" max="4" width="5.5703125" style="491" customWidth="1"/>
    <col min="5" max="5" width="18" style="491" customWidth="1"/>
    <col min="6" max="19" width="8.85546875" style="491" hidden="1" customWidth="1"/>
    <col min="20" max="20" width="6.5703125" style="491" customWidth="1"/>
    <col min="21" max="25" width="8.85546875" style="491" hidden="1" customWidth="1"/>
    <col min="26" max="26" width="22.42578125" style="491" customWidth="1"/>
    <col min="27" max="27" width="20.5703125" style="491" customWidth="1"/>
    <col min="28" max="28" width="19.85546875" style="491" customWidth="1"/>
    <col min="29" max="29" width="8.85546875" style="491" hidden="1" customWidth="1"/>
    <col min="30" max="30" width="11.85546875" style="491" hidden="1" customWidth="1"/>
    <col min="31" max="31" width="15" style="491" hidden="1" customWidth="1"/>
    <col min="32" max="256" width="9.140625" style="491"/>
    <col min="257" max="257" width="43.140625" style="491" customWidth="1"/>
    <col min="258" max="258" width="16.7109375" style="491" customWidth="1"/>
    <col min="259" max="260" width="10.7109375" style="491" customWidth="1"/>
    <col min="261" max="261" width="16.28515625" style="491" customWidth="1"/>
    <col min="262" max="275" width="0" style="491" hidden="1" customWidth="1"/>
    <col min="276" max="276" width="10.7109375" style="491" customWidth="1"/>
    <col min="277" max="281" width="0" style="491" hidden="1" customWidth="1"/>
    <col min="282" max="284" width="26" style="491" customWidth="1"/>
    <col min="285" max="285" width="0" style="491" hidden="1" customWidth="1"/>
    <col min="286" max="512" width="9.140625" style="491"/>
    <col min="513" max="513" width="43.140625" style="491" customWidth="1"/>
    <col min="514" max="514" width="16.7109375" style="491" customWidth="1"/>
    <col min="515" max="516" width="10.7109375" style="491" customWidth="1"/>
    <col min="517" max="517" width="16.28515625" style="491" customWidth="1"/>
    <col min="518" max="531" width="0" style="491" hidden="1" customWidth="1"/>
    <col min="532" max="532" width="10.7109375" style="491" customWidth="1"/>
    <col min="533" max="537" width="0" style="491" hidden="1" customWidth="1"/>
    <col min="538" max="540" width="26" style="491" customWidth="1"/>
    <col min="541" max="541" width="0" style="491" hidden="1" customWidth="1"/>
    <col min="542" max="768" width="9.140625" style="491"/>
    <col min="769" max="769" width="43.140625" style="491" customWidth="1"/>
    <col min="770" max="770" width="16.7109375" style="491" customWidth="1"/>
    <col min="771" max="772" width="10.7109375" style="491" customWidth="1"/>
    <col min="773" max="773" width="16.28515625" style="491" customWidth="1"/>
    <col min="774" max="787" width="0" style="491" hidden="1" customWidth="1"/>
    <col min="788" max="788" width="10.7109375" style="491" customWidth="1"/>
    <col min="789" max="793" width="0" style="491" hidden="1" customWidth="1"/>
    <col min="794" max="796" width="26" style="491" customWidth="1"/>
    <col min="797" max="797" width="0" style="491" hidden="1" customWidth="1"/>
    <col min="798" max="1024" width="9.140625" style="491"/>
    <col min="1025" max="1025" width="43.140625" style="491" customWidth="1"/>
    <col min="1026" max="1026" width="16.7109375" style="491" customWidth="1"/>
    <col min="1027" max="1028" width="10.7109375" style="491" customWidth="1"/>
    <col min="1029" max="1029" width="16.28515625" style="491" customWidth="1"/>
    <col min="1030" max="1043" width="0" style="491" hidden="1" customWidth="1"/>
    <col min="1044" max="1044" width="10.7109375" style="491" customWidth="1"/>
    <col min="1045" max="1049" width="0" style="491" hidden="1" customWidth="1"/>
    <col min="1050" max="1052" width="26" style="491" customWidth="1"/>
    <col min="1053" max="1053" width="0" style="491" hidden="1" customWidth="1"/>
    <col min="1054" max="1280" width="9.140625" style="491"/>
    <col min="1281" max="1281" width="43.140625" style="491" customWidth="1"/>
    <col min="1282" max="1282" width="16.7109375" style="491" customWidth="1"/>
    <col min="1283" max="1284" width="10.7109375" style="491" customWidth="1"/>
    <col min="1285" max="1285" width="16.28515625" style="491" customWidth="1"/>
    <col min="1286" max="1299" width="0" style="491" hidden="1" customWidth="1"/>
    <col min="1300" max="1300" width="10.7109375" style="491" customWidth="1"/>
    <col min="1301" max="1305" width="0" style="491" hidden="1" customWidth="1"/>
    <col min="1306" max="1308" width="26" style="491" customWidth="1"/>
    <col min="1309" max="1309" width="0" style="491" hidden="1" customWidth="1"/>
    <col min="1310" max="1536" width="9.140625" style="491"/>
    <col min="1537" max="1537" width="43.140625" style="491" customWidth="1"/>
    <col min="1538" max="1538" width="16.7109375" style="491" customWidth="1"/>
    <col min="1539" max="1540" width="10.7109375" style="491" customWidth="1"/>
    <col min="1541" max="1541" width="16.28515625" style="491" customWidth="1"/>
    <col min="1542" max="1555" width="0" style="491" hidden="1" customWidth="1"/>
    <col min="1556" max="1556" width="10.7109375" style="491" customWidth="1"/>
    <col min="1557" max="1561" width="0" style="491" hidden="1" customWidth="1"/>
    <col min="1562" max="1564" width="26" style="491" customWidth="1"/>
    <col min="1565" max="1565" width="0" style="491" hidden="1" customWidth="1"/>
    <col min="1566" max="1792" width="9.140625" style="491"/>
    <col min="1793" max="1793" width="43.140625" style="491" customWidth="1"/>
    <col min="1794" max="1794" width="16.7109375" style="491" customWidth="1"/>
    <col min="1795" max="1796" width="10.7109375" style="491" customWidth="1"/>
    <col min="1797" max="1797" width="16.28515625" style="491" customWidth="1"/>
    <col min="1798" max="1811" width="0" style="491" hidden="1" customWidth="1"/>
    <col min="1812" max="1812" width="10.7109375" style="491" customWidth="1"/>
    <col min="1813" max="1817" width="0" style="491" hidden="1" customWidth="1"/>
    <col min="1818" max="1820" width="26" style="491" customWidth="1"/>
    <col min="1821" max="1821" width="0" style="491" hidden="1" customWidth="1"/>
    <col min="1822" max="2048" width="9.140625" style="491"/>
    <col min="2049" max="2049" width="43.140625" style="491" customWidth="1"/>
    <col min="2050" max="2050" width="16.7109375" style="491" customWidth="1"/>
    <col min="2051" max="2052" width="10.7109375" style="491" customWidth="1"/>
    <col min="2053" max="2053" width="16.28515625" style="491" customWidth="1"/>
    <col min="2054" max="2067" width="0" style="491" hidden="1" customWidth="1"/>
    <col min="2068" max="2068" width="10.7109375" style="491" customWidth="1"/>
    <col min="2069" max="2073" width="0" style="491" hidden="1" customWidth="1"/>
    <col min="2074" max="2076" width="26" style="491" customWidth="1"/>
    <col min="2077" max="2077" width="0" style="491" hidden="1" customWidth="1"/>
    <col min="2078" max="2304" width="9.140625" style="491"/>
    <col min="2305" max="2305" width="43.140625" style="491" customWidth="1"/>
    <col min="2306" max="2306" width="16.7109375" style="491" customWidth="1"/>
    <col min="2307" max="2308" width="10.7109375" style="491" customWidth="1"/>
    <col min="2309" max="2309" width="16.28515625" style="491" customWidth="1"/>
    <col min="2310" max="2323" width="0" style="491" hidden="1" customWidth="1"/>
    <col min="2324" max="2324" width="10.7109375" style="491" customWidth="1"/>
    <col min="2325" max="2329" width="0" style="491" hidden="1" customWidth="1"/>
    <col min="2330" max="2332" width="26" style="491" customWidth="1"/>
    <col min="2333" max="2333" width="0" style="491" hidden="1" customWidth="1"/>
    <col min="2334" max="2560" width="9.140625" style="491"/>
    <col min="2561" max="2561" width="43.140625" style="491" customWidth="1"/>
    <col min="2562" max="2562" width="16.7109375" style="491" customWidth="1"/>
    <col min="2563" max="2564" width="10.7109375" style="491" customWidth="1"/>
    <col min="2565" max="2565" width="16.28515625" style="491" customWidth="1"/>
    <col min="2566" max="2579" width="0" style="491" hidden="1" customWidth="1"/>
    <col min="2580" max="2580" width="10.7109375" style="491" customWidth="1"/>
    <col min="2581" max="2585" width="0" style="491" hidden="1" customWidth="1"/>
    <col min="2586" max="2588" width="26" style="491" customWidth="1"/>
    <col min="2589" max="2589" width="0" style="491" hidden="1" customWidth="1"/>
    <col min="2590" max="2816" width="9.140625" style="491"/>
    <col min="2817" max="2817" width="43.140625" style="491" customWidth="1"/>
    <col min="2818" max="2818" width="16.7109375" style="491" customWidth="1"/>
    <col min="2819" max="2820" width="10.7109375" style="491" customWidth="1"/>
    <col min="2821" max="2821" width="16.28515625" style="491" customWidth="1"/>
    <col min="2822" max="2835" width="0" style="491" hidden="1" customWidth="1"/>
    <col min="2836" max="2836" width="10.7109375" style="491" customWidth="1"/>
    <col min="2837" max="2841" width="0" style="491" hidden="1" customWidth="1"/>
    <col min="2842" max="2844" width="26" style="491" customWidth="1"/>
    <col min="2845" max="2845" width="0" style="491" hidden="1" customWidth="1"/>
    <col min="2846" max="3072" width="9.140625" style="491"/>
    <col min="3073" max="3073" width="43.140625" style="491" customWidth="1"/>
    <col min="3074" max="3074" width="16.7109375" style="491" customWidth="1"/>
    <col min="3075" max="3076" width="10.7109375" style="491" customWidth="1"/>
    <col min="3077" max="3077" width="16.28515625" style="491" customWidth="1"/>
    <col min="3078" max="3091" width="0" style="491" hidden="1" customWidth="1"/>
    <col min="3092" max="3092" width="10.7109375" style="491" customWidth="1"/>
    <col min="3093" max="3097" width="0" style="491" hidden="1" customWidth="1"/>
    <col min="3098" max="3100" width="26" style="491" customWidth="1"/>
    <col min="3101" max="3101" width="0" style="491" hidden="1" customWidth="1"/>
    <col min="3102" max="3328" width="9.140625" style="491"/>
    <col min="3329" max="3329" width="43.140625" style="491" customWidth="1"/>
    <col min="3330" max="3330" width="16.7109375" style="491" customWidth="1"/>
    <col min="3331" max="3332" width="10.7109375" style="491" customWidth="1"/>
    <col min="3333" max="3333" width="16.28515625" style="491" customWidth="1"/>
    <col min="3334" max="3347" width="0" style="491" hidden="1" customWidth="1"/>
    <col min="3348" max="3348" width="10.7109375" style="491" customWidth="1"/>
    <col min="3349" max="3353" width="0" style="491" hidden="1" customWidth="1"/>
    <col min="3354" max="3356" width="26" style="491" customWidth="1"/>
    <col min="3357" max="3357" width="0" style="491" hidden="1" customWidth="1"/>
    <col min="3358" max="3584" width="9.140625" style="491"/>
    <col min="3585" max="3585" width="43.140625" style="491" customWidth="1"/>
    <col min="3586" max="3586" width="16.7109375" style="491" customWidth="1"/>
    <col min="3587" max="3588" width="10.7109375" style="491" customWidth="1"/>
    <col min="3589" max="3589" width="16.28515625" style="491" customWidth="1"/>
    <col min="3590" max="3603" width="0" style="491" hidden="1" customWidth="1"/>
    <col min="3604" max="3604" width="10.7109375" style="491" customWidth="1"/>
    <col min="3605" max="3609" width="0" style="491" hidden="1" customWidth="1"/>
    <col min="3610" max="3612" width="26" style="491" customWidth="1"/>
    <col min="3613" max="3613" width="0" style="491" hidden="1" customWidth="1"/>
    <col min="3614" max="3840" width="9.140625" style="491"/>
    <col min="3841" max="3841" width="43.140625" style="491" customWidth="1"/>
    <col min="3842" max="3842" width="16.7109375" style="491" customWidth="1"/>
    <col min="3843" max="3844" width="10.7109375" style="491" customWidth="1"/>
    <col min="3845" max="3845" width="16.28515625" style="491" customWidth="1"/>
    <col min="3846" max="3859" width="0" style="491" hidden="1" customWidth="1"/>
    <col min="3860" max="3860" width="10.7109375" style="491" customWidth="1"/>
    <col min="3861" max="3865" width="0" style="491" hidden="1" customWidth="1"/>
    <col min="3866" max="3868" width="26" style="491" customWidth="1"/>
    <col min="3869" max="3869" width="0" style="491" hidden="1" customWidth="1"/>
    <col min="3870" max="4096" width="9.140625" style="491"/>
    <col min="4097" max="4097" width="43.140625" style="491" customWidth="1"/>
    <col min="4098" max="4098" width="16.7109375" style="491" customWidth="1"/>
    <col min="4099" max="4100" width="10.7109375" style="491" customWidth="1"/>
    <col min="4101" max="4101" width="16.28515625" style="491" customWidth="1"/>
    <col min="4102" max="4115" width="0" style="491" hidden="1" customWidth="1"/>
    <col min="4116" max="4116" width="10.7109375" style="491" customWidth="1"/>
    <col min="4117" max="4121" width="0" style="491" hidden="1" customWidth="1"/>
    <col min="4122" max="4124" width="26" style="491" customWidth="1"/>
    <col min="4125" max="4125" width="0" style="491" hidden="1" customWidth="1"/>
    <col min="4126" max="4352" width="9.140625" style="491"/>
    <col min="4353" max="4353" width="43.140625" style="491" customWidth="1"/>
    <col min="4354" max="4354" width="16.7109375" style="491" customWidth="1"/>
    <col min="4355" max="4356" width="10.7109375" style="491" customWidth="1"/>
    <col min="4357" max="4357" width="16.28515625" style="491" customWidth="1"/>
    <col min="4358" max="4371" width="0" style="491" hidden="1" customWidth="1"/>
    <col min="4372" max="4372" width="10.7109375" style="491" customWidth="1"/>
    <col min="4373" max="4377" width="0" style="491" hidden="1" customWidth="1"/>
    <col min="4378" max="4380" width="26" style="491" customWidth="1"/>
    <col min="4381" max="4381" width="0" style="491" hidden="1" customWidth="1"/>
    <col min="4382" max="4608" width="9.140625" style="491"/>
    <col min="4609" max="4609" width="43.140625" style="491" customWidth="1"/>
    <col min="4610" max="4610" width="16.7109375" style="491" customWidth="1"/>
    <col min="4611" max="4612" width="10.7109375" style="491" customWidth="1"/>
    <col min="4613" max="4613" width="16.28515625" style="491" customWidth="1"/>
    <col min="4614" max="4627" width="0" style="491" hidden="1" customWidth="1"/>
    <col min="4628" max="4628" width="10.7109375" style="491" customWidth="1"/>
    <col min="4629" max="4633" width="0" style="491" hidden="1" customWidth="1"/>
    <col min="4634" max="4636" width="26" style="491" customWidth="1"/>
    <col min="4637" max="4637" width="0" style="491" hidden="1" customWidth="1"/>
    <col min="4638" max="4864" width="9.140625" style="491"/>
    <col min="4865" max="4865" width="43.140625" style="491" customWidth="1"/>
    <col min="4866" max="4866" width="16.7109375" style="491" customWidth="1"/>
    <col min="4867" max="4868" width="10.7109375" style="491" customWidth="1"/>
    <col min="4869" max="4869" width="16.28515625" style="491" customWidth="1"/>
    <col min="4870" max="4883" width="0" style="491" hidden="1" customWidth="1"/>
    <col min="4884" max="4884" width="10.7109375" style="491" customWidth="1"/>
    <col min="4885" max="4889" width="0" style="491" hidden="1" customWidth="1"/>
    <col min="4890" max="4892" width="26" style="491" customWidth="1"/>
    <col min="4893" max="4893" width="0" style="491" hidden="1" customWidth="1"/>
    <col min="4894" max="5120" width="9.140625" style="491"/>
    <col min="5121" max="5121" width="43.140625" style="491" customWidth="1"/>
    <col min="5122" max="5122" width="16.7109375" style="491" customWidth="1"/>
    <col min="5123" max="5124" width="10.7109375" style="491" customWidth="1"/>
    <col min="5125" max="5125" width="16.28515625" style="491" customWidth="1"/>
    <col min="5126" max="5139" width="0" style="491" hidden="1" customWidth="1"/>
    <col min="5140" max="5140" width="10.7109375" style="491" customWidth="1"/>
    <col min="5141" max="5145" width="0" style="491" hidden="1" customWidth="1"/>
    <col min="5146" max="5148" width="26" style="491" customWidth="1"/>
    <col min="5149" max="5149" width="0" style="491" hidden="1" customWidth="1"/>
    <col min="5150" max="5376" width="9.140625" style="491"/>
    <col min="5377" max="5377" width="43.140625" style="491" customWidth="1"/>
    <col min="5378" max="5378" width="16.7109375" style="491" customWidth="1"/>
    <col min="5379" max="5380" width="10.7109375" style="491" customWidth="1"/>
    <col min="5381" max="5381" width="16.28515625" style="491" customWidth="1"/>
    <col min="5382" max="5395" width="0" style="491" hidden="1" customWidth="1"/>
    <col min="5396" max="5396" width="10.7109375" style="491" customWidth="1"/>
    <col min="5397" max="5401" width="0" style="491" hidden="1" customWidth="1"/>
    <col min="5402" max="5404" width="26" style="491" customWidth="1"/>
    <col min="5405" max="5405" width="0" style="491" hidden="1" customWidth="1"/>
    <col min="5406" max="5632" width="9.140625" style="491"/>
    <col min="5633" max="5633" width="43.140625" style="491" customWidth="1"/>
    <col min="5634" max="5634" width="16.7109375" style="491" customWidth="1"/>
    <col min="5635" max="5636" width="10.7109375" style="491" customWidth="1"/>
    <col min="5637" max="5637" width="16.28515625" style="491" customWidth="1"/>
    <col min="5638" max="5651" width="0" style="491" hidden="1" customWidth="1"/>
    <col min="5652" max="5652" width="10.7109375" style="491" customWidth="1"/>
    <col min="5653" max="5657" width="0" style="491" hidden="1" customWidth="1"/>
    <col min="5658" max="5660" width="26" style="491" customWidth="1"/>
    <col min="5661" max="5661" width="0" style="491" hidden="1" customWidth="1"/>
    <col min="5662" max="5888" width="9.140625" style="491"/>
    <col min="5889" max="5889" width="43.140625" style="491" customWidth="1"/>
    <col min="5890" max="5890" width="16.7109375" style="491" customWidth="1"/>
    <col min="5891" max="5892" width="10.7109375" style="491" customWidth="1"/>
    <col min="5893" max="5893" width="16.28515625" style="491" customWidth="1"/>
    <col min="5894" max="5907" width="0" style="491" hidden="1" customWidth="1"/>
    <col min="5908" max="5908" width="10.7109375" style="491" customWidth="1"/>
    <col min="5909" max="5913" width="0" style="491" hidden="1" customWidth="1"/>
    <col min="5914" max="5916" width="26" style="491" customWidth="1"/>
    <col min="5917" max="5917" width="0" style="491" hidden="1" customWidth="1"/>
    <col min="5918" max="6144" width="9.140625" style="491"/>
    <col min="6145" max="6145" width="43.140625" style="491" customWidth="1"/>
    <col min="6146" max="6146" width="16.7109375" style="491" customWidth="1"/>
    <col min="6147" max="6148" width="10.7109375" style="491" customWidth="1"/>
    <col min="6149" max="6149" width="16.28515625" style="491" customWidth="1"/>
    <col min="6150" max="6163" width="0" style="491" hidden="1" customWidth="1"/>
    <col min="6164" max="6164" width="10.7109375" style="491" customWidth="1"/>
    <col min="6165" max="6169" width="0" style="491" hidden="1" customWidth="1"/>
    <col min="6170" max="6172" width="26" style="491" customWidth="1"/>
    <col min="6173" max="6173" width="0" style="491" hidden="1" customWidth="1"/>
    <col min="6174" max="6400" width="9.140625" style="491"/>
    <col min="6401" max="6401" width="43.140625" style="491" customWidth="1"/>
    <col min="6402" max="6402" width="16.7109375" style="491" customWidth="1"/>
    <col min="6403" max="6404" width="10.7109375" style="491" customWidth="1"/>
    <col min="6405" max="6405" width="16.28515625" style="491" customWidth="1"/>
    <col min="6406" max="6419" width="0" style="491" hidden="1" customWidth="1"/>
    <col min="6420" max="6420" width="10.7109375" style="491" customWidth="1"/>
    <col min="6421" max="6425" width="0" style="491" hidden="1" customWidth="1"/>
    <col min="6426" max="6428" width="26" style="491" customWidth="1"/>
    <col min="6429" max="6429" width="0" style="491" hidden="1" customWidth="1"/>
    <col min="6430" max="6656" width="9.140625" style="491"/>
    <col min="6657" max="6657" width="43.140625" style="491" customWidth="1"/>
    <col min="6658" max="6658" width="16.7109375" style="491" customWidth="1"/>
    <col min="6659" max="6660" width="10.7109375" style="491" customWidth="1"/>
    <col min="6661" max="6661" width="16.28515625" style="491" customWidth="1"/>
    <col min="6662" max="6675" width="0" style="491" hidden="1" customWidth="1"/>
    <col min="6676" max="6676" width="10.7109375" style="491" customWidth="1"/>
    <col min="6677" max="6681" width="0" style="491" hidden="1" customWidth="1"/>
    <col min="6682" max="6684" width="26" style="491" customWidth="1"/>
    <col min="6685" max="6685" width="0" style="491" hidden="1" customWidth="1"/>
    <col min="6686" max="6912" width="9.140625" style="491"/>
    <col min="6913" max="6913" width="43.140625" style="491" customWidth="1"/>
    <col min="6914" max="6914" width="16.7109375" style="491" customWidth="1"/>
    <col min="6915" max="6916" width="10.7109375" style="491" customWidth="1"/>
    <col min="6917" max="6917" width="16.28515625" style="491" customWidth="1"/>
    <col min="6918" max="6931" width="0" style="491" hidden="1" customWidth="1"/>
    <col min="6932" max="6932" width="10.7109375" style="491" customWidth="1"/>
    <col min="6933" max="6937" width="0" style="491" hidden="1" customWidth="1"/>
    <col min="6938" max="6940" width="26" style="491" customWidth="1"/>
    <col min="6941" max="6941" width="0" style="491" hidden="1" customWidth="1"/>
    <col min="6942" max="7168" width="9.140625" style="491"/>
    <col min="7169" max="7169" width="43.140625" style="491" customWidth="1"/>
    <col min="7170" max="7170" width="16.7109375" style="491" customWidth="1"/>
    <col min="7171" max="7172" width="10.7109375" style="491" customWidth="1"/>
    <col min="7173" max="7173" width="16.28515625" style="491" customWidth="1"/>
    <col min="7174" max="7187" width="0" style="491" hidden="1" customWidth="1"/>
    <col min="7188" max="7188" width="10.7109375" style="491" customWidth="1"/>
    <col min="7189" max="7193" width="0" style="491" hidden="1" customWidth="1"/>
    <col min="7194" max="7196" width="26" style="491" customWidth="1"/>
    <col min="7197" max="7197" width="0" style="491" hidden="1" customWidth="1"/>
    <col min="7198" max="7424" width="9.140625" style="491"/>
    <col min="7425" max="7425" width="43.140625" style="491" customWidth="1"/>
    <col min="7426" max="7426" width="16.7109375" style="491" customWidth="1"/>
    <col min="7427" max="7428" width="10.7109375" style="491" customWidth="1"/>
    <col min="7429" max="7429" width="16.28515625" style="491" customWidth="1"/>
    <col min="7430" max="7443" width="0" style="491" hidden="1" customWidth="1"/>
    <col min="7444" max="7444" width="10.7109375" style="491" customWidth="1"/>
    <col min="7445" max="7449" width="0" style="491" hidden="1" customWidth="1"/>
    <col min="7450" max="7452" width="26" style="491" customWidth="1"/>
    <col min="7453" max="7453" width="0" style="491" hidden="1" customWidth="1"/>
    <col min="7454" max="7680" width="9.140625" style="491"/>
    <col min="7681" max="7681" width="43.140625" style="491" customWidth="1"/>
    <col min="7682" max="7682" width="16.7109375" style="491" customWidth="1"/>
    <col min="7683" max="7684" width="10.7109375" style="491" customWidth="1"/>
    <col min="7685" max="7685" width="16.28515625" style="491" customWidth="1"/>
    <col min="7686" max="7699" width="0" style="491" hidden="1" customWidth="1"/>
    <col min="7700" max="7700" width="10.7109375" style="491" customWidth="1"/>
    <col min="7701" max="7705" width="0" style="491" hidden="1" customWidth="1"/>
    <col min="7706" max="7708" width="26" style="491" customWidth="1"/>
    <col min="7709" max="7709" width="0" style="491" hidden="1" customWidth="1"/>
    <col min="7710" max="7936" width="9.140625" style="491"/>
    <col min="7937" max="7937" width="43.140625" style="491" customWidth="1"/>
    <col min="7938" max="7938" width="16.7109375" style="491" customWidth="1"/>
    <col min="7939" max="7940" width="10.7109375" style="491" customWidth="1"/>
    <col min="7941" max="7941" width="16.28515625" style="491" customWidth="1"/>
    <col min="7942" max="7955" width="0" style="491" hidden="1" customWidth="1"/>
    <col min="7956" max="7956" width="10.7109375" style="491" customWidth="1"/>
    <col min="7957" max="7961" width="0" style="491" hidden="1" customWidth="1"/>
    <col min="7962" max="7964" width="26" style="491" customWidth="1"/>
    <col min="7965" max="7965" width="0" style="491" hidden="1" customWidth="1"/>
    <col min="7966" max="8192" width="9.140625" style="491"/>
    <col min="8193" max="8193" width="43.140625" style="491" customWidth="1"/>
    <col min="8194" max="8194" width="16.7109375" style="491" customWidth="1"/>
    <col min="8195" max="8196" width="10.7109375" style="491" customWidth="1"/>
    <col min="8197" max="8197" width="16.28515625" style="491" customWidth="1"/>
    <col min="8198" max="8211" width="0" style="491" hidden="1" customWidth="1"/>
    <col min="8212" max="8212" width="10.7109375" style="491" customWidth="1"/>
    <col min="8213" max="8217" width="0" style="491" hidden="1" customWidth="1"/>
    <col min="8218" max="8220" width="26" style="491" customWidth="1"/>
    <col min="8221" max="8221" width="0" style="491" hidden="1" customWidth="1"/>
    <col min="8222" max="8448" width="9.140625" style="491"/>
    <col min="8449" max="8449" width="43.140625" style="491" customWidth="1"/>
    <col min="8450" max="8450" width="16.7109375" style="491" customWidth="1"/>
    <col min="8451" max="8452" width="10.7109375" style="491" customWidth="1"/>
    <col min="8453" max="8453" width="16.28515625" style="491" customWidth="1"/>
    <col min="8454" max="8467" width="0" style="491" hidden="1" customWidth="1"/>
    <col min="8468" max="8468" width="10.7109375" style="491" customWidth="1"/>
    <col min="8469" max="8473" width="0" style="491" hidden="1" customWidth="1"/>
    <col min="8474" max="8476" width="26" style="491" customWidth="1"/>
    <col min="8477" max="8477" width="0" style="491" hidden="1" customWidth="1"/>
    <col min="8478" max="8704" width="9.140625" style="491"/>
    <col min="8705" max="8705" width="43.140625" style="491" customWidth="1"/>
    <col min="8706" max="8706" width="16.7109375" style="491" customWidth="1"/>
    <col min="8707" max="8708" width="10.7109375" style="491" customWidth="1"/>
    <col min="8709" max="8709" width="16.28515625" style="491" customWidth="1"/>
    <col min="8710" max="8723" width="0" style="491" hidden="1" customWidth="1"/>
    <col min="8724" max="8724" width="10.7109375" style="491" customWidth="1"/>
    <col min="8725" max="8729" width="0" style="491" hidden="1" customWidth="1"/>
    <col min="8730" max="8732" width="26" style="491" customWidth="1"/>
    <col min="8733" max="8733" width="0" style="491" hidden="1" customWidth="1"/>
    <col min="8734" max="8960" width="9.140625" style="491"/>
    <col min="8961" max="8961" width="43.140625" style="491" customWidth="1"/>
    <col min="8962" max="8962" width="16.7109375" style="491" customWidth="1"/>
    <col min="8963" max="8964" width="10.7109375" style="491" customWidth="1"/>
    <col min="8965" max="8965" width="16.28515625" style="491" customWidth="1"/>
    <col min="8966" max="8979" width="0" style="491" hidden="1" customWidth="1"/>
    <col min="8980" max="8980" width="10.7109375" style="491" customWidth="1"/>
    <col min="8981" max="8985" width="0" style="491" hidden="1" customWidth="1"/>
    <col min="8986" max="8988" width="26" style="491" customWidth="1"/>
    <col min="8989" max="8989" width="0" style="491" hidden="1" customWidth="1"/>
    <col min="8990" max="9216" width="9.140625" style="491"/>
    <col min="9217" max="9217" width="43.140625" style="491" customWidth="1"/>
    <col min="9218" max="9218" width="16.7109375" style="491" customWidth="1"/>
    <col min="9219" max="9220" width="10.7109375" style="491" customWidth="1"/>
    <col min="9221" max="9221" width="16.28515625" style="491" customWidth="1"/>
    <col min="9222" max="9235" width="0" style="491" hidden="1" customWidth="1"/>
    <col min="9236" max="9236" width="10.7109375" style="491" customWidth="1"/>
    <col min="9237" max="9241" width="0" style="491" hidden="1" customWidth="1"/>
    <col min="9242" max="9244" width="26" style="491" customWidth="1"/>
    <col min="9245" max="9245" width="0" style="491" hidden="1" customWidth="1"/>
    <col min="9246" max="9472" width="9.140625" style="491"/>
    <col min="9473" max="9473" width="43.140625" style="491" customWidth="1"/>
    <col min="9474" max="9474" width="16.7109375" style="491" customWidth="1"/>
    <col min="9475" max="9476" width="10.7109375" style="491" customWidth="1"/>
    <col min="9477" max="9477" width="16.28515625" style="491" customWidth="1"/>
    <col min="9478" max="9491" width="0" style="491" hidden="1" customWidth="1"/>
    <col min="9492" max="9492" width="10.7109375" style="491" customWidth="1"/>
    <col min="9493" max="9497" width="0" style="491" hidden="1" customWidth="1"/>
    <col min="9498" max="9500" width="26" style="491" customWidth="1"/>
    <col min="9501" max="9501" width="0" style="491" hidden="1" customWidth="1"/>
    <col min="9502" max="9728" width="9.140625" style="491"/>
    <col min="9729" max="9729" width="43.140625" style="491" customWidth="1"/>
    <col min="9730" max="9730" width="16.7109375" style="491" customWidth="1"/>
    <col min="9731" max="9732" width="10.7109375" style="491" customWidth="1"/>
    <col min="9733" max="9733" width="16.28515625" style="491" customWidth="1"/>
    <col min="9734" max="9747" width="0" style="491" hidden="1" customWidth="1"/>
    <col min="9748" max="9748" width="10.7109375" style="491" customWidth="1"/>
    <col min="9749" max="9753" width="0" style="491" hidden="1" customWidth="1"/>
    <col min="9754" max="9756" width="26" style="491" customWidth="1"/>
    <col min="9757" max="9757" width="0" style="491" hidden="1" customWidth="1"/>
    <col min="9758" max="9984" width="9.140625" style="491"/>
    <col min="9985" max="9985" width="43.140625" style="491" customWidth="1"/>
    <col min="9986" max="9986" width="16.7109375" style="491" customWidth="1"/>
    <col min="9987" max="9988" width="10.7109375" style="491" customWidth="1"/>
    <col min="9989" max="9989" width="16.28515625" style="491" customWidth="1"/>
    <col min="9990" max="10003" width="0" style="491" hidden="1" customWidth="1"/>
    <col min="10004" max="10004" width="10.7109375" style="491" customWidth="1"/>
    <col min="10005" max="10009" width="0" style="491" hidden="1" customWidth="1"/>
    <col min="10010" max="10012" width="26" style="491" customWidth="1"/>
    <col min="10013" max="10013" width="0" style="491" hidden="1" customWidth="1"/>
    <col min="10014" max="10240" width="9.140625" style="491"/>
    <col min="10241" max="10241" width="43.140625" style="491" customWidth="1"/>
    <col min="10242" max="10242" width="16.7109375" style="491" customWidth="1"/>
    <col min="10243" max="10244" width="10.7109375" style="491" customWidth="1"/>
    <col min="10245" max="10245" width="16.28515625" style="491" customWidth="1"/>
    <col min="10246" max="10259" width="0" style="491" hidden="1" customWidth="1"/>
    <col min="10260" max="10260" width="10.7109375" style="491" customWidth="1"/>
    <col min="10261" max="10265" width="0" style="491" hidden="1" customWidth="1"/>
    <col min="10266" max="10268" width="26" style="491" customWidth="1"/>
    <col min="10269" max="10269" width="0" style="491" hidden="1" customWidth="1"/>
    <col min="10270" max="10496" width="9.140625" style="491"/>
    <col min="10497" max="10497" width="43.140625" style="491" customWidth="1"/>
    <col min="10498" max="10498" width="16.7109375" style="491" customWidth="1"/>
    <col min="10499" max="10500" width="10.7109375" style="491" customWidth="1"/>
    <col min="10501" max="10501" width="16.28515625" style="491" customWidth="1"/>
    <col min="10502" max="10515" width="0" style="491" hidden="1" customWidth="1"/>
    <col min="10516" max="10516" width="10.7109375" style="491" customWidth="1"/>
    <col min="10517" max="10521" width="0" style="491" hidden="1" customWidth="1"/>
    <col min="10522" max="10524" width="26" style="491" customWidth="1"/>
    <col min="10525" max="10525" width="0" style="491" hidden="1" customWidth="1"/>
    <col min="10526" max="10752" width="9.140625" style="491"/>
    <col min="10753" max="10753" width="43.140625" style="491" customWidth="1"/>
    <col min="10754" max="10754" width="16.7109375" style="491" customWidth="1"/>
    <col min="10755" max="10756" width="10.7109375" style="491" customWidth="1"/>
    <col min="10757" max="10757" width="16.28515625" style="491" customWidth="1"/>
    <col min="10758" max="10771" width="0" style="491" hidden="1" customWidth="1"/>
    <col min="10772" max="10772" width="10.7109375" style="491" customWidth="1"/>
    <col min="10773" max="10777" width="0" style="491" hidden="1" customWidth="1"/>
    <col min="10778" max="10780" width="26" style="491" customWidth="1"/>
    <col min="10781" max="10781" width="0" style="491" hidden="1" customWidth="1"/>
    <col min="10782" max="11008" width="9.140625" style="491"/>
    <col min="11009" max="11009" width="43.140625" style="491" customWidth="1"/>
    <col min="11010" max="11010" width="16.7109375" style="491" customWidth="1"/>
    <col min="11011" max="11012" width="10.7109375" style="491" customWidth="1"/>
    <col min="11013" max="11013" width="16.28515625" style="491" customWidth="1"/>
    <col min="11014" max="11027" width="0" style="491" hidden="1" customWidth="1"/>
    <col min="11028" max="11028" width="10.7109375" style="491" customWidth="1"/>
    <col min="11029" max="11033" width="0" style="491" hidden="1" customWidth="1"/>
    <col min="11034" max="11036" width="26" style="491" customWidth="1"/>
    <col min="11037" max="11037" width="0" style="491" hidden="1" customWidth="1"/>
    <col min="11038" max="11264" width="9.140625" style="491"/>
    <col min="11265" max="11265" width="43.140625" style="491" customWidth="1"/>
    <col min="11266" max="11266" width="16.7109375" style="491" customWidth="1"/>
    <col min="11267" max="11268" width="10.7109375" style="491" customWidth="1"/>
    <col min="11269" max="11269" width="16.28515625" style="491" customWidth="1"/>
    <col min="11270" max="11283" width="0" style="491" hidden="1" customWidth="1"/>
    <col min="11284" max="11284" width="10.7109375" style="491" customWidth="1"/>
    <col min="11285" max="11289" width="0" style="491" hidden="1" customWidth="1"/>
    <col min="11290" max="11292" width="26" style="491" customWidth="1"/>
    <col min="11293" max="11293" width="0" style="491" hidden="1" customWidth="1"/>
    <col min="11294" max="11520" width="9.140625" style="491"/>
    <col min="11521" max="11521" width="43.140625" style="491" customWidth="1"/>
    <col min="11522" max="11522" width="16.7109375" style="491" customWidth="1"/>
    <col min="11523" max="11524" width="10.7109375" style="491" customWidth="1"/>
    <col min="11525" max="11525" width="16.28515625" style="491" customWidth="1"/>
    <col min="11526" max="11539" width="0" style="491" hidden="1" customWidth="1"/>
    <col min="11540" max="11540" width="10.7109375" style="491" customWidth="1"/>
    <col min="11541" max="11545" width="0" style="491" hidden="1" customWidth="1"/>
    <col min="11546" max="11548" width="26" style="491" customWidth="1"/>
    <col min="11549" max="11549" width="0" style="491" hidden="1" customWidth="1"/>
    <col min="11550" max="11776" width="9.140625" style="491"/>
    <col min="11777" max="11777" width="43.140625" style="491" customWidth="1"/>
    <col min="11778" max="11778" width="16.7109375" style="491" customWidth="1"/>
    <col min="11779" max="11780" width="10.7109375" style="491" customWidth="1"/>
    <col min="11781" max="11781" width="16.28515625" style="491" customWidth="1"/>
    <col min="11782" max="11795" width="0" style="491" hidden="1" customWidth="1"/>
    <col min="11796" max="11796" width="10.7109375" style="491" customWidth="1"/>
    <col min="11797" max="11801" width="0" style="491" hidden="1" customWidth="1"/>
    <col min="11802" max="11804" width="26" style="491" customWidth="1"/>
    <col min="11805" max="11805" width="0" style="491" hidden="1" customWidth="1"/>
    <col min="11806" max="12032" width="9.140625" style="491"/>
    <col min="12033" max="12033" width="43.140625" style="491" customWidth="1"/>
    <col min="12034" max="12034" width="16.7109375" style="491" customWidth="1"/>
    <col min="12035" max="12036" width="10.7109375" style="491" customWidth="1"/>
    <col min="12037" max="12037" width="16.28515625" style="491" customWidth="1"/>
    <col min="12038" max="12051" width="0" style="491" hidden="1" customWidth="1"/>
    <col min="12052" max="12052" width="10.7109375" style="491" customWidth="1"/>
    <col min="12053" max="12057" width="0" style="491" hidden="1" customWidth="1"/>
    <col min="12058" max="12060" width="26" style="491" customWidth="1"/>
    <col min="12061" max="12061" width="0" style="491" hidden="1" customWidth="1"/>
    <col min="12062" max="12288" width="9.140625" style="491"/>
    <col min="12289" max="12289" width="43.140625" style="491" customWidth="1"/>
    <col min="12290" max="12290" width="16.7109375" style="491" customWidth="1"/>
    <col min="12291" max="12292" width="10.7109375" style="491" customWidth="1"/>
    <col min="12293" max="12293" width="16.28515625" style="491" customWidth="1"/>
    <col min="12294" max="12307" width="0" style="491" hidden="1" customWidth="1"/>
    <col min="12308" max="12308" width="10.7109375" style="491" customWidth="1"/>
    <col min="12309" max="12313" width="0" style="491" hidden="1" customWidth="1"/>
    <col min="12314" max="12316" width="26" style="491" customWidth="1"/>
    <col min="12317" max="12317" width="0" style="491" hidden="1" customWidth="1"/>
    <col min="12318" max="12544" width="9.140625" style="491"/>
    <col min="12545" max="12545" width="43.140625" style="491" customWidth="1"/>
    <col min="12546" max="12546" width="16.7109375" style="491" customWidth="1"/>
    <col min="12547" max="12548" width="10.7109375" style="491" customWidth="1"/>
    <col min="12549" max="12549" width="16.28515625" style="491" customWidth="1"/>
    <col min="12550" max="12563" width="0" style="491" hidden="1" customWidth="1"/>
    <col min="12564" max="12564" width="10.7109375" style="491" customWidth="1"/>
    <col min="12565" max="12569" width="0" style="491" hidden="1" customWidth="1"/>
    <col min="12570" max="12572" width="26" style="491" customWidth="1"/>
    <col min="12573" max="12573" width="0" style="491" hidden="1" customWidth="1"/>
    <col min="12574" max="12800" width="9.140625" style="491"/>
    <col min="12801" max="12801" width="43.140625" style="491" customWidth="1"/>
    <col min="12802" max="12802" width="16.7109375" style="491" customWidth="1"/>
    <col min="12803" max="12804" width="10.7109375" style="491" customWidth="1"/>
    <col min="12805" max="12805" width="16.28515625" style="491" customWidth="1"/>
    <col min="12806" max="12819" width="0" style="491" hidden="1" customWidth="1"/>
    <col min="12820" max="12820" width="10.7109375" style="491" customWidth="1"/>
    <col min="12821" max="12825" width="0" style="491" hidden="1" customWidth="1"/>
    <col min="12826" max="12828" width="26" style="491" customWidth="1"/>
    <col min="12829" max="12829" width="0" style="491" hidden="1" customWidth="1"/>
    <col min="12830" max="13056" width="9.140625" style="491"/>
    <col min="13057" max="13057" width="43.140625" style="491" customWidth="1"/>
    <col min="13058" max="13058" width="16.7109375" style="491" customWidth="1"/>
    <col min="13059" max="13060" width="10.7109375" style="491" customWidth="1"/>
    <col min="13061" max="13061" width="16.28515625" style="491" customWidth="1"/>
    <col min="13062" max="13075" width="0" style="491" hidden="1" customWidth="1"/>
    <col min="13076" max="13076" width="10.7109375" style="491" customWidth="1"/>
    <col min="13077" max="13081" width="0" style="491" hidden="1" customWidth="1"/>
    <col min="13082" max="13084" width="26" style="491" customWidth="1"/>
    <col min="13085" max="13085" width="0" style="491" hidden="1" customWidth="1"/>
    <col min="13086" max="13312" width="9.140625" style="491"/>
    <col min="13313" max="13313" width="43.140625" style="491" customWidth="1"/>
    <col min="13314" max="13314" width="16.7109375" style="491" customWidth="1"/>
    <col min="13315" max="13316" width="10.7109375" style="491" customWidth="1"/>
    <col min="13317" max="13317" width="16.28515625" style="491" customWidth="1"/>
    <col min="13318" max="13331" width="0" style="491" hidden="1" customWidth="1"/>
    <col min="13332" max="13332" width="10.7109375" style="491" customWidth="1"/>
    <col min="13333" max="13337" width="0" style="491" hidden="1" customWidth="1"/>
    <col min="13338" max="13340" width="26" style="491" customWidth="1"/>
    <col min="13341" max="13341" width="0" style="491" hidden="1" customWidth="1"/>
    <col min="13342" max="13568" width="9.140625" style="491"/>
    <col min="13569" max="13569" width="43.140625" style="491" customWidth="1"/>
    <col min="13570" max="13570" width="16.7109375" style="491" customWidth="1"/>
    <col min="13571" max="13572" width="10.7109375" style="491" customWidth="1"/>
    <col min="13573" max="13573" width="16.28515625" style="491" customWidth="1"/>
    <col min="13574" max="13587" width="0" style="491" hidden="1" customWidth="1"/>
    <col min="13588" max="13588" width="10.7109375" style="491" customWidth="1"/>
    <col min="13589" max="13593" width="0" style="491" hidden="1" customWidth="1"/>
    <col min="13594" max="13596" width="26" style="491" customWidth="1"/>
    <col min="13597" max="13597" width="0" style="491" hidden="1" customWidth="1"/>
    <col min="13598" max="13824" width="9.140625" style="491"/>
    <col min="13825" max="13825" width="43.140625" style="491" customWidth="1"/>
    <col min="13826" max="13826" width="16.7109375" style="491" customWidth="1"/>
    <col min="13827" max="13828" width="10.7109375" style="491" customWidth="1"/>
    <col min="13829" max="13829" width="16.28515625" style="491" customWidth="1"/>
    <col min="13830" max="13843" width="0" style="491" hidden="1" customWidth="1"/>
    <col min="13844" max="13844" width="10.7109375" style="491" customWidth="1"/>
    <col min="13845" max="13849" width="0" style="491" hidden="1" customWidth="1"/>
    <col min="13850" max="13852" width="26" style="491" customWidth="1"/>
    <col min="13853" max="13853" width="0" style="491" hidden="1" customWidth="1"/>
    <col min="13854" max="14080" width="9.140625" style="491"/>
    <col min="14081" max="14081" width="43.140625" style="491" customWidth="1"/>
    <col min="14082" max="14082" width="16.7109375" style="491" customWidth="1"/>
    <col min="14083" max="14084" width="10.7109375" style="491" customWidth="1"/>
    <col min="14085" max="14085" width="16.28515625" style="491" customWidth="1"/>
    <col min="14086" max="14099" width="0" style="491" hidden="1" customWidth="1"/>
    <col min="14100" max="14100" width="10.7109375" style="491" customWidth="1"/>
    <col min="14101" max="14105" width="0" style="491" hidden="1" customWidth="1"/>
    <col min="14106" max="14108" width="26" style="491" customWidth="1"/>
    <col min="14109" max="14109" width="0" style="491" hidden="1" customWidth="1"/>
    <col min="14110" max="14336" width="9.140625" style="491"/>
    <col min="14337" max="14337" width="43.140625" style="491" customWidth="1"/>
    <col min="14338" max="14338" width="16.7109375" style="491" customWidth="1"/>
    <col min="14339" max="14340" width="10.7109375" style="491" customWidth="1"/>
    <col min="14341" max="14341" width="16.28515625" style="491" customWidth="1"/>
    <col min="14342" max="14355" width="0" style="491" hidden="1" customWidth="1"/>
    <col min="14356" max="14356" width="10.7109375" style="491" customWidth="1"/>
    <col min="14357" max="14361" width="0" style="491" hidden="1" customWidth="1"/>
    <col min="14362" max="14364" width="26" style="491" customWidth="1"/>
    <col min="14365" max="14365" width="0" style="491" hidden="1" customWidth="1"/>
    <col min="14366" max="14592" width="9.140625" style="491"/>
    <col min="14593" max="14593" width="43.140625" style="491" customWidth="1"/>
    <col min="14594" max="14594" width="16.7109375" style="491" customWidth="1"/>
    <col min="14595" max="14596" width="10.7109375" style="491" customWidth="1"/>
    <col min="14597" max="14597" width="16.28515625" style="491" customWidth="1"/>
    <col min="14598" max="14611" width="0" style="491" hidden="1" customWidth="1"/>
    <col min="14612" max="14612" width="10.7109375" style="491" customWidth="1"/>
    <col min="14613" max="14617" width="0" style="491" hidden="1" customWidth="1"/>
    <col min="14618" max="14620" width="26" style="491" customWidth="1"/>
    <col min="14621" max="14621" width="0" style="491" hidden="1" customWidth="1"/>
    <col min="14622" max="14848" width="9.140625" style="491"/>
    <col min="14849" max="14849" width="43.140625" style="491" customWidth="1"/>
    <col min="14850" max="14850" width="16.7109375" style="491" customWidth="1"/>
    <col min="14851" max="14852" width="10.7109375" style="491" customWidth="1"/>
    <col min="14853" max="14853" width="16.28515625" style="491" customWidth="1"/>
    <col min="14854" max="14867" width="0" style="491" hidden="1" customWidth="1"/>
    <col min="14868" max="14868" width="10.7109375" style="491" customWidth="1"/>
    <col min="14869" max="14873" width="0" style="491" hidden="1" customWidth="1"/>
    <col min="14874" max="14876" width="26" style="491" customWidth="1"/>
    <col min="14877" max="14877" width="0" style="491" hidden="1" customWidth="1"/>
    <col min="14878" max="15104" width="9.140625" style="491"/>
    <col min="15105" max="15105" width="43.140625" style="491" customWidth="1"/>
    <col min="15106" max="15106" width="16.7109375" style="491" customWidth="1"/>
    <col min="15107" max="15108" width="10.7109375" style="491" customWidth="1"/>
    <col min="15109" max="15109" width="16.28515625" style="491" customWidth="1"/>
    <col min="15110" max="15123" width="0" style="491" hidden="1" customWidth="1"/>
    <col min="15124" max="15124" width="10.7109375" style="491" customWidth="1"/>
    <col min="15125" max="15129" width="0" style="491" hidden="1" customWidth="1"/>
    <col min="15130" max="15132" width="26" style="491" customWidth="1"/>
    <col min="15133" max="15133" width="0" style="491" hidden="1" customWidth="1"/>
    <col min="15134" max="15360" width="9.140625" style="491"/>
    <col min="15361" max="15361" width="43.140625" style="491" customWidth="1"/>
    <col min="15362" max="15362" width="16.7109375" style="491" customWidth="1"/>
    <col min="15363" max="15364" width="10.7109375" style="491" customWidth="1"/>
    <col min="15365" max="15365" width="16.28515625" style="491" customWidth="1"/>
    <col min="15366" max="15379" width="0" style="491" hidden="1" customWidth="1"/>
    <col min="15380" max="15380" width="10.7109375" style="491" customWidth="1"/>
    <col min="15381" max="15385" width="0" style="491" hidden="1" customWidth="1"/>
    <col min="15386" max="15388" width="26" style="491" customWidth="1"/>
    <col min="15389" max="15389" width="0" style="491" hidden="1" customWidth="1"/>
    <col min="15390" max="15616" width="9.140625" style="491"/>
    <col min="15617" max="15617" width="43.140625" style="491" customWidth="1"/>
    <col min="15618" max="15618" width="16.7109375" style="491" customWidth="1"/>
    <col min="15619" max="15620" width="10.7109375" style="491" customWidth="1"/>
    <col min="15621" max="15621" width="16.28515625" style="491" customWidth="1"/>
    <col min="15622" max="15635" width="0" style="491" hidden="1" customWidth="1"/>
    <col min="15636" max="15636" width="10.7109375" style="491" customWidth="1"/>
    <col min="15637" max="15641" width="0" style="491" hidden="1" customWidth="1"/>
    <col min="15642" max="15644" width="26" style="491" customWidth="1"/>
    <col min="15645" max="15645" width="0" style="491" hidden="1" customWidth="1"/>
    <col min="15646" max="15872" width="9.140625" style="491"/>
    <col min="15873" max="15873" width="43.140625" style="491" customWidth="1"/>
    <col min="15874" max="15874" width="16.7109375" style="491" customWidth="1"/>
    <col min="15875" max="15876" width="10.7109375" style="491" customWidth="1"/>
    <col min="15877" max="15877" width="16.28515625" style="491" customWidth="1"/>
    <col min="15878" max="15891" width="0" style="491" hidden="1" customWidth="1"/>
    <col min="15892" max="15892" width="10.7109375" style="491" customWidth="1"/>
    <col min="15893" max="15897" width="0" style="491" hidden="1" customWidth="1"/>
    <col min="15898" max="15900" width="26" style="491" customWidth="1"/>
    <col min="15901" max="15901" width="0" style="491" hidden="1" customWidth="1"/>
    <col min="15902" max="16128" width="9.140625" style="491"/>
    <col min="16129" max="16129" width="43.140625" style="491" customWidth="1"/>
    <col min="16130" max="16130" width="16.7109375" style="491" customWidth="1"/>
    <col min="16131" max="16132" width="10.7109375" style="491" customWidth="1"/>
    <col min="16133" max="16133" width="16.28515625" style="491" customWidth="1"/>
    <col min="16134" max="16147" width="0" style="491" hidden="1" customWidth="1"/>
    <col min="16148" max="16148" width="10.7109375" style="491" customWidth="1"/>
    <col min="16149" max="16153" width="0" style="491" hidden="1" customWidth="1"/>
    <col min="16154" max="16156" width="26" style="491" customWidth="1"/>
    <col min="16157" max="16157" width="0" style="491" hidden="1" customWidth="1"/>
    <col min="16158" max="16384" width="9.140625" style="491"/>
  </cols>
  <sheetData>
    <row r="1" spans="1:30" x14ac:dyDescent="0.25">
      <c r="AB1" s="492" t="s">
        <v>1073</v>
      </c>
    </row>
    <row r="2" spans="1:30" x14ac:dyDescent="0.25">
      <c r="AB2" s="492" t="s">
        <v>512</v>
      </c>
    </row>
    <row r="3" spans="1:30" x14ac:dyDescent="0.25">
      <c r="AB3" s="492" t="s">
        <v>258</v>
      </c>
    </row>
    <row r="4" spans="1:30" ht="15.75" x14ac:dyDescent="0.25">
      <c r="AA4" s="2"/>
      <c r="AB4" s="2" t="s">
        <v>1252</v>
      </c>
    </row>
    <row r="5" spans="1:30" ht="33.75" customHeight="1" x14ac:dyDescent="0.25">
      <c r="A5" s="575" t="s">
        <v>839</v>
      </c>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row>
    <row r="7" spans="1:30" ht="21.75" customHeight="1" x14ac:dyDescent="0.25">
      <c r="A7" s="393"/>
      <c r="B7" s="109"/>
      <c r="C7" s="109"/>
      <c r="D7" s="109"/>
      <c r="E7" s="109"/>
      <c r="F7" s="109"/>
      <c r="G7" s="109"/>
      <c r="H7" s="109"/>
      <c r="I7" s="109"/>
      <c r="J7" s="109"/>
      <c r="K7" s="109"/>
      <c r="L7" s="109"/>
      <c r="M7" s="109"/>
      <c r="N7" s="109"/>
      <c r="O7" s="109"/>
      <c r="P7" s="109"/>
      <c r="Q7" s="109"/>
      <c r="R7" s="109"/>
      <c r="S7" s="109"/>
      <c r="T7" s="109"/>
      <c r="U7" s="109"/>
      <c r="V7" s="110"/>
      <c r="W7" s="110"/>
      <c r="X7" s="110"/>
      <c r="Y7" s="109"/>
      <c r="Z7" s="109"/>
      <c r="AA7" s="109"/>
      <c r="AB7" s="109" t="s">
        <v>277</v>
      </c>
      <c r="AC7" s="109"/>
    </row>
    <row r="8" spans="1:30" ht="15" customHeight="1" x14ac:dyDescent="0.25">
      <c r="A8" s="588" t="s">
        <v>1</v>
      </c>
      <c r="B8" s="584" t="s">
        <v>823</v>
      </c>
      <c r="C8" s="584" t="s">
        <v>278</v>
      </c>
      <c r="D8" s="584" t="s">
        <v>279</v>
      </c>
      <c r="E8" s="584" t="s">
        <v>198</v>
      </c>
      <c r="F8" s="207" t="s">
        <v>198</v>
      </c>
      <c r="G8" s="207" t="s">
        <v>198</v>
      </c>
      <c r="H8" s="207" t="s">
        <v>198</v>
      </c>
      <c r="I8" s="207" t="s">
        <v>198</v>
      </c>
      <c r="J8" s="207" t="s">
        <v>198</v>
      </c>
      <c r="K8" s="207" t="s">
        <v>198</v>
      </c>
      <c r="L8" s="207" t="s">
        <v>198</v>
      </c>
      <c r="M8" s="207" t="s">
        <v>198</v>
      </c>
      <c r="N8" s="207" t="s">
        <v>198</v>
      </c>
      <c r="O8" s="207" t="s">
        <v>198</v>
      </c>
      <c r="P8" s="207" t="s">
        <v>198</v>
      </c>
      <c r="Q8" s="207" t="s">
        <v>198</v>
      </c>
      <c r="R8" s="207" t="s">
        <v>198</v>
      </c>
      <c r="S8" s="207" t="s">
        <v>198</v>
      </c>
      <c r="T8" s="584" t="s">
        <v>226</v>
      </c>
      <c r="U8" s="207" t="s">
        <v>280</v>
      </c>
      <c r="V8" s="207" t="s">
        <v>52</v>
      </c>
      <c r="W8" s="207" t="s">
        <v>281</v>
      </c>
      <c r="X8" s="584" t="s">
        <v>282</v>
      </c>
      <c r="Y8" s="590" t="s">
        <v>1</v>
      </c>
      <c r="Z8" s="590">
        <v>2017</v>
      </c>
      <c r="AA8" s="590">
        <v>2018</v>
      </c>
      <c r="AB8" s="592">
        <v>2019</v>
      </c>
      <c r="AC8" s="586" t="s">
        <v>1</v>
      </c>
    </row>
    <row r="9" spans="1:30" ht="15" customHeight="1" x14ac:dyDescent="0.25">
      <c r="A9" s="589"/>
      <c r="B9" s="585"/>
      <c r="C9" s="585"/>
      <c r="D9" s="585"/>
      <c r="E9" s="585"/>
      <c r="F9" s="207" t="s">
        <v>198</v>
      </c>
      <c r="G9" s="207" t="s">
        <v>198</v>
      </c>
      <c r="H9" s="207" t="s">
        <v>198</v>
      </c>
      <c r="I9" s="207" t="s">
        <v>198</v>
      </c>
      <c r="J9" s="207" t="s">
        <v>198</v>
      </c>
      <c r="K9" s="207" t="s">
        <v>198</v>
      </c>
      <c r="L9" s="207" t="s">
        <v>198</v>
      </c>
      <c r="M9" s="207" t="s">
        <v>198</v>
      </c>
      <c r="N9" s="207" t="s">
        <v>198</v>
      </c>
      <c r="O9" s="207" t="s">
        <v>198</v>
      </c>
      <c r="P9" s="207" t="s">
        <v>198</v>
      </c>
      <c r="Q9" s="207" t="s">
        <v>198</v>
      </c>
      <c r="R9" s="207" t="s">
        <v>198</v>
      </c>
      <c r="S9" s="207" t="s">
        <v>198</v>
      </c>
      <c r="T9" s="585" t="s">
        <v>226</v>
      </c>
      <c r="U9" s="207" t="s">
        <v>280</v>
      </c>
      <c r="V9" s="207" t="s">
        <v>52</v>
      </c>
      <c r="W9" s="207" t="s">
        <v>281</v>
      </c>
      <c r="X9" s="585" t="s">
        <v>282</v>
      </c>
      <c r="Y9" s="591"/>
      <c r="Z9" s="591"/>
      <c r="AA9" s="591" t="s">
        <v>283</v>
      </c>
      <c r="AB9" s="593" t="s">
        <v>283</v>
      </c>
      <c r="AC9" s="587"/>
    </row>
    <row r="10" spans="1:30" ht="15" hidden="1" customHeight="1" x14ac:dyDescent="0.25">
      <c r="A10" s="394"/>
      <c r="B10" s="111"/>
      <c r="C10" s="111"/>
      <c r="D10" s="111"/>
      <c r="E10" s="111"/>
      <c r="F10" s="111"/>
      <c r="G10" s="111"/>
      <c r="H10" s="111"/>
      <c r="I10" s="111"/>
      <c r="J10" s="111"/>
      <c r="K10" s="111"/>
      <c r="L10" s="111"/>
      <c r="M10" s="111"/>
      <c r="N10" s="111"/>
      <c r="O10" s="111"/>
      <c r="P10" s="111"/>
      <c r="Q10" s="111"/>
      <c r="R10" s="111"/>
      <c r="S10" s="111"/>
      <c r="T10" s="111"/>
      <c r="U10" s="111"/>
      <c r="V10" s="112"/>
      <c r="W10" s="112"/>
      <c r="X10" s="112"/>
      <c r="Y10" s="111"/>
      <c r="Z10" s="111"/>
      <c r="AA10" s="111"/>
      <c r="AB10" s="111"/>
      <c r="AC10" s="113"/>
    </row>
    <row r="11" spans="1:30" ht="18.75" customHeight="1" x14ac:dyDescent="0.3">
      <c r="A11" s="415" t="s">
        <v>284</v>
      </c>
      <c r="B11" s="207" t="s">
        <v>15</v>
      </c>
      <c r="C11" s="207"/>
      <c r="D11" s="207"/>
      <c r="E11" s="207"/>
      <c r="F11" s="207"/>
      <c r="G11" s="207"/>
      <c r="H11" s="207"/>
      <c r="I11" s="207"/>
      <c r="J11" s="207"/>
      <c r="K11" s="207"/>
      <c r="L11" s="207"/>
      <c r="M11" s="207"/>
      <c r="N11" s="207"/>
      <c r="O11" s="207"/>
      <c r="P11" s="207"/>
      <c r="Q11" s="207"/>
      <c r="R11" s="207"/>
      <c r="S11" s="207"/>
      <c r="T11" s="207"/>
      <c r="U11" s="207"/>
      <c r="V11" s="254"/>
      <c r="W11" s="254"/>
      <c r="X11" s="254"/>
      <c r="Y11" s="206" t="s">
        <v>284</v>
      </c>
      <c r="Z11" s="255">
        <f>Z12+Z65+Z78+Z150+Z186+Z207+Z221+Z226+Z253</f>
        <v>552634761.07999992</v>
      </c>
      <c r="AA11" s="255">
        <f>AA12+AA65+AA78+AA150+AA186+AA207+AA221+AA226+AA253</f>
        <v>184824485.76999998</v>
      </c>
      <c r="AB11" s="255">
        <f>AB12+AB65+AB78+AB150+AB186+AB207+AB221+AB226+AB253</f>
        <v>180543354.63</v>
      </c>
      <c r="AC11" s="502" t="s">
        <v>284</v>
      </c>
      <c r="AD11" s="503"/>
    </row>
    <row r="12" spans="1:30" ht="18.75" customHeight="1" x14ac:dyDescent="0.3">
      <c r="A12" s="415" t="s">
        <v>285</v>
      </c>
      <c r="B12" s="207" t="s">
        <v>15</v>
      </c>
      <c r="C12" s="207" t="s">
        <v>122</v>
      </c>
      <c r="D12" s="207" t="s">
        <v>133</v>
      </c>
      <c r="E12" s="207"/>
      <c r="F12" s="207"/>
      <c r="G12" s="207"/>
      <c r="H12" s="207"/>
      <c r="I12" s="207"/>
      <c r="J12" s="207"/>
      <c r="K12" s="207"/>
      <c r="L12" s="207"/>
      <c r="M12" s="207"/>
      <c r="N12" s="207"/>
      <c r="O12" s="207"/>
      <c r="P12" s="207"/>
      <c r="Q12" s="207"/>
      <c r="R12" s="207"/>
      <c r="S12" s="207"/>
      <c r="T12" s="207"/>
      <c r="U12" s="207"/>
      <c r="V12" s="254"/>
      <c r="W12" s="254"/>
      <c r="X12" s="254"/>
      <c r="Y12" s="206" t="s">
        <v>285</v>
      </c>
      <c r="Z12" s="255">
        <f>Z13+Z16+Z23+Z35+Z38+Z44+Z47+Z41</f>
        <v>55907814.460000001</v>
      </c>
      <c r="AA12" s="255">
        <f>AA13+AA16+AA23+AA35+AA38+AA44+AA47</f>
        <v>48084861.299999997</v>
      </c>
      <c r="AB12" s="255">
        <f>AB13+AB16+AB23+AB35+AB38+AB44+AB47</f>
        <v>48084861.200000003</v>
      </c>
      <c r="AC12" s="502" t="s">
        <v>285</v>
      </c>
      <c r="AD12" s="503"/>
    </row>
    <row r="13" spans="1:30" ht="40.5" customHeight="1" x14ac:dyDescent="0.3">
      <c r="A13" s="415" t="s">
        <v>248</v>
      </c>
      <c r="B13" s="207" t="s">
        <v>15</v>
      </c>
      <c r="C13" s="207" t="s">
        <v>122</v>
      </c>
      <c r="D13" s="207" t="s">
        <v>132</v>
      </c>
      <c r="E13" s="207"/>
      <c r="F13" s="207"/>
      <c r="G13" s="207"/>
      <c r="H13" s="207"/>
      <c r="I13" s="207"/>
      <c r="J13" s="207"/>
      <c r="K13" s="207"/>
      <c r="L13" s="207"/>
      <c r="M13" s="207"/>
      <c r="N13" s="207"/>
      <c r="O13" s="207"/>
      <c r="P13" s="207"/>
      <c r="Q13" s="207"/>
      <c r="R13" s="207"/>
      <c r="S13" s="207"/>
      <c r="T13" s="207"/>
      <c r="U13" s="207"/>
      <c r="V13" s="254"/>
      <c r="W13" s="254"/>
      <c r="X13" s="254"/>
      <c r="Y13" s="206" t="s">
        <v>248</v>
      </c>
      <c r="Z13" s="255">
        <f t="shared" ref="Z13:AB14" si="0">Z14</f>
        <v>1494696</v>
      </c>
      <c r="AA13" s="255">
        <f t="shared" si="0"/>
        <v>1494696</v>
      </c>
      <c r="AB13" s="255">
        <f t="shared" si="0"/>
        <v>1494696</v>
      </c>
      <c r="AC13" s="502" t="s">
        <v>248</v>
      </c>
      <c r="AD13" s="503"/>
    </row>
    <row r="14" spans="1:30" ht="66" customHeight="1" x14ac:dyDescent="0.3">
      <c r="A14" s="402" t="s">
        <v>237</v>
      </c>
      <c r="B14" s="208" t="s">
        <v>15</v>
      </c>
      <c r="C14" s="208" t="s">
        <v>122</v>
      </c>
      <c r="D14" s="208" t="s">
        <v>132</v>
      </c>
      <c r="E14" s="276" t="s">
        <v>567</v>
      </c>
      <c r="F14" s="208"/>
      <c r="G14" s="208"/>
      <c r="H14" s="208"/>
      <c r="I14" s="208"/>
      <c r="J14" s="208"/>
      <c r="K14" s="208"/>
      <c r="L14" s="208"/>
      <c r="M14" s="208"/>
      <c r="N14" s="208"/>
      <c r="O14" s="208"/>
      <c r="P14" s="208"/>
      <c r="Q14" s="208"/>
      <c r="R14" s="208"/>
      <c r="S14" s="208"/>
      <c r="T14" s="208"/>
      <c r="U14" s="208"/>
      <c r="V14" s="250"/>
      <c r="W14" s="250"/>
      <c r="X14" s="250"/>
      <c r="Y14" s="203" t="s">
        <v>237</v>
      </c>
      <c r="Z14" s="280">
        <f t="shared" si="0"/>
        <v>1494696</v>
      </c>
      <c r="AA14" s="280">
        <f t="shared" si="0"/>
        <v>1494696</v>
      </c>
      <c r="AB14" s="280">
        <f t="shared" si="0"/>
        <v>1494696</v>
      </c>
      <c r="AC14" s="350" t="s">
        <v>237</v>
      </c>
      <c r="AD14" s="503"/>
    </row>
    <row r="15" spans="1:30" ht="114" customHeight="1" x14ac:dyDescent="0.3">
      <c r="A15" s="403" t="s">
        <v>286</v>
      </c>
      <c r="B15" s="185" t="s">
        <v>15</v>
      </c>
      <c r="C15" s="185" t="s">
        <v>122</v>
      </c>
      <c r="D15" s="185" t="s">
        <v>132</v>
      </c>
      <c r="E15" s="276" t="s">
        <v>567</v>
      </c>
      <c r="F15" s="185"/>
      <c r="G15" s="185"/>
      <c r="H15" s="185"/>
      <c r="I15" s="185"/>
      <c r="J15" s="185"/>
      <c r="K15" s="185"/>
      <c r="L15" s="185"/>
      <c r="M15" s="185"/>
      <c r="N15" s="185"/>
      <c r="O15" s="185"/>
      <c r="P15" s="185"/>
      <c r="Q15" s="185"/>
      <c r="R15" s="185"/>
      <c r="S15" s="185"/>
      <c r="T15" s="185" t="s">
        <v>38</v>
      </c>
      <c r="U15" s="185"/>
      <c r="V15" s="186"/>
      <c r="W15" s="186"/>
      <c r="X15" s="186"/>
      <c r="Y15" s="204" t="s">
        <v>286</v>
      </c>
      <c r="Z15" s="253">
        <f>1148000+346696</f>
        <v>1494696</v>
      </c>
      <c r="AA15" s="253">
        <f>1148000+346696</f>
        <v>1494696</v>
      </c>
      <c r="AB15" s="253">
        <f>1148000+346696</f>
        <v>1494696</v>
      </c>
      <c r="AC15" s="190" t="s">
        <v>286</v>
      </c>
      <c r="AD15" s="503"/>
    </row>
    <row r="16" spans="1:30" ht="51" customHeight="1" x14ac:dyDescent="0.3">
      <c r="A16" s="415" t="s">
        <v>249</v>
      </c>
      <c r="B16" s="207" t="s">
        <v>15</v>
      </c>
      <c r="C16" s="207" t="s">
        <v>122</v>
      </c>
      <c r="D16" s="207" t="s">
        <v>123</v>
      </c>
      <c r="E16" s="207"/>
      <c r="F16" s="207"/>
      <c r="G16" s="207"/>
      <c r="H16" s="207"/>
      <c r="I16" s="207"/>
      <c r="J16" s="207"/>
      <c r="K16" s="207"/>
      <c r="L16" s="207"/>
      <c r="M16" s="207"/>
      <c r="N16" s="207"/>
      <c r="O16" s="207"/>
      <c r="P16" s="207"/>
      <c r="Q16" s="207"/>
      <c r="R16" s="207"/>
      <c r="S16" s="207"/>
      <c r="T16" s="207"/>
      <c r="U16" s="207"/>
      <c r="V16" s="254"/>
      <c r="W16" s="254"/>
      <c r="X16" s="254"/>
      <c r="Y16" s="206" t="s">
        <v>249</v>
      </c>
      <c r="Z16" s="255">
        <f>Z17+Z19</f>
        <v>2902134.2199999997</v>
      </c>
      <c r="AA16" s="255">
        <f>AA17+AA19</f>
        <v>2838921.7199999997</v>
      </c>
      <c r="AB16" s="255">
        <f>AB17+AB19</f>
        <v>2838921.62</v>
      </c>
      <c r="AC16" s="502" t="s">
        <v>249</v>
      </c>
      <c r="AD16" s="503"/>
    </row>
    <row r="17" spans="1:30" ht="66" customHeight="1" x14ac:dyDescent="0.3">
      <c r="A17" s="402" t="s">
        <v>238</v>
      </c>
      <c r="B17" s="208" t="s">
        <v>15</v>
      </c>
      <c r="C17" s="208" t="s">
        <v>122</v>
      </c>
      <c r="D17" s="208" t="s">
        <v>123</v>
      </c>
      <c r="E17" s="276" t="s">
        <v>568</v>
      </c>
      <c r="F17" s="208"/>
      <c r="G17" s="208"/>
      <c r="H17" s="208"/>
      <c r="I17" s="208"/>
      <c r="J17" s="208"/>
      <c r="K17" s="208"/>
      <c r="L17" s="208"/>
      <c r="M17" s="208"/>
      <c r="N17" s="208"/>
      <c r="O17" s="208"/>
      <c r="P17" s="208"/>
      <c r="Q17" s="208"/>
      <c r="R17" s="208"/>
      <c r="S17" s="208"/>
      <c r="T17" s="208"/>
      <c r="U17" s="208"/>
      <c r="V17" s="250"/>
      <c r="W17" s="250"/>
      <c r="X17" s="250"/>
      <c r="Y17" s="203" t="s">
        <v>238</v>
      </c>
      <c r="Z17" s="280">
        <f>1344604</f>
        <v>1344604</v>
      </c>
      <c r="AA17" s="280">
        <f>AA18</f>
        <v>1344604</v>
      </c>
      <c r="AB17" s="280">
        <f>AB18</f>
        <v>1344604</v>
      </c>
      <c r="AC17" s="350" t="s">
        <v>238</v>
      </c>
      <c r="AD17" s="503"/>
    </row>
    <row r="18" spans="1:30" ht="129" customHeight="1" x14ac:dyDescent="0.3">
      <c r="A18" s="403" t="s">
        <v>287</v>
      </c>
      <c r="B18" s="185" t="s">
        <v>15</v>
      </c>
      <c r="C18" s="185" t="s">
        <v>122</v>
      </c>
      <c r="D18" s="185" t="s">
        <v>123</v>
      </c>
      <c r="E18" s="276" t="s">
        <v>568</v>
      </c>
      <c r="F18" s="185"/>
      <c r="G18" s="185"/>
      <c r="H18" s="185"/>
      <c r="I18" s="185"/>
      <c r="J18" s="185"/>
      <c r="K18" s="185"/>
      <c r="L18" s="185"/>
      <c r="M18" s="185"/>
      <c r="N18" s="185"/>
      <c r="O18" s="185"/>
      <c r="P18" s="185"/>
      <c r="Q18" s="185"/>
      <c r="R18" s="185"/>
      <c r="S18" s="185"/>
      <c r="T18" s="185" t="s">
        <v>38</v>
      </c>
      <c r="U18" s="185"/>
      <c r="V18" s="186"/>
      <c r="W18" s="186"/>
      <c r="X18" s="186"/>
      <c r="Y18" s="204" t="s">
        <v>287</v>
      </c>
      <c r="Z18" s="253">
        <f>1042000+302604</f>
        <v>1344604</v>
      </c>
      <c r="AA18" s="253">
        <f>1042000+302604</f>
        <v>1344604</v>
      </c>
      <c r="AB18" s="253">
        <f>1042000+302604</f>
        <v>1344604</v>
      </c>
      <c r="AC18" s="190" t="s">
        <v>287</v>
      </c>
      <c r="AD18" s="503"/>
    </row>
    <row r="19" spans="1:30" ht="49.5" customHeight="1" x14ac:dyDescent="0.3">
      <c r="A19" s="402" t="s">
        <v>239</v>
      </c>
      <c r="B19" s="208" t="s">
        <v>15</v>
      </c>
      <c r="C19" s="208" t="s">
        <v>122</v>
      </c>
      <c r="D19" s="208" t="s">
        <v>123</v>
      </c>
      <c r="E19" s="276" t="s">
        <v>569</v>
      </c>
      <c r="F19" s="208"/>
      <c r="G19" s="208"/>
      <c r="H19" s="208"/>
      <c r="I19" s="208"/>
      <c r="J19" s="208"/>
      <c r="K19" s="208"/>
      <c r="L19" s="208"/>
      <c r="M19" s="208"/>
      <c r="N19" s="208"/>
      <c r="O19" s="208"/>
      <c r="P19" s="208"/>
      <c r="Q19" s="208"/>
      <c r="R19" s="208"/>
      <c r="S19" s="208"/>
      <c r="T19" s="208"/>
      <c r="U19" s="208"/>
      <c r="V19" s="250"/>
      <c r="W19" s="250"/>
      <c r="X19" s="250"/>
      <c r="Y19" s="203" t="s">
        <v>239</v>
      </c>
      <c r="Z19" s="280">
        <f>Z20+Z21+Z22</f>
        <v>1557530.22</v>
      </c>
      <c r="AA19" s="280">
        <f>AA20+AA21+AA22</f>
        <v>1494317.72</v>
      </c>
      <c r="AB19" s="280">
        <f>AB20+AB21+AB22</f>
        <v>1494317.6199999999</v>
      </c>
      <c r="AC19" s="350" t="s">
        <v>239</v>
      </c>
      <c r="AD19" s="503"/>
    </row>
    <row r="20" spans="1:30" ht="99" customHeight="1" x14ac:dyDescent="0.3">
      <c r="A20" s="403" t="s">
        <v>288</v>
      </c>
      <c r="B20" s="185" t="s">
        <v>15</v>
      </c>
      <c r="C20" s="185" t="s">
        <v>122</v>
      </c>
      <c r="D20" s="185" t="s">
        <v>123</v>
      </c>
      <c r="E20" s="276" t="s">
        <v>569</v>
      </c>
      <c r="F20" s="185"/>
      <c r="G20" s="185"/>
      <c r="H20" s="185"/>
      <c r="I20" s="185"/>
      <c r="J20" s="185"/>
      <c r="K20" s="185"/>
      <c r="L20" s="185"/>
      <c r="M20" s="185"/>
      <c r="N20" s="185"/>
      <c r="O20" s="185"/>
      <c r="P20" s="185"/>
      <c r="Q20" s="185"/>
      <c r="R20" s="185"/>
      <c r="S20" s="185"/>
      <c r="T20" s="185" t="s">
        <v>38</v>
      </c>
      <c r="U20" s="185"/>
      <c r="V20" s="186"/>
      <c r="W20" s="186"/>
      <c r="X20" s="186"/>
      <c r="Y20" s="204" t="s">
        <v>288</v>
      </c>
      <c r="Z20" s="253">
        <f>1263747.75+63212.5</f>
        <v>1326960.25</v>
      </c>
      <c r="AA20" s="253">
        <v>1263747.75</v>
      </c>
      <c r="AB20" s="253">
        <v>1263747.75</v>
      </c>
      <c r="AC20" s="190" t="s">
        <v>288</v>
      </c>
      <c r="AD20" s="503"/>
    </row>
    <row r="21" spans="1:30" ht="65.25" customHeight="1" x14ac:dyDescent="0.3">
      <c r="A21" s="400" t="s">
        <v>289</v>
      </c>
      <c r="B21" s="185" t="s">
        <v>15</v>
      </c>
      <c r="C21" s="185" t="s">
        <v>122</v>
      </c>
      <c r="D21" s="185" t="s">
        <v>123</v>
      </c>
      <c r="E21" s="276" t="s">
        <v>569</v>
      </c>
      <c r="F21" s="185"/>
      <c r="G21" s="185"/>
      <c r="H21" s="185"/>
      <c r="I21" s="185"/>
      <c r="J21" s="185"/>
      <c r="K21" s="185"/>
      <c r="L21" s="185"/>
      <c r="M21" s="185"/>
      <c r="N21" s="185"/>
      <c r="O21" s="185"/>
      <c r="P21" s="185"/>
      <c r="Q21" s="185"/>
      <c r="R21" s="185"/>
      <c r="S21" s="185"/>
      <c r="T21" s="185" t="s">
        <v>290</v>
      </c>
      <c r="U21" s="185"/>
      <c r="V21" s="186"/>
      <c r="W21" s="186"/>
      <c r="X21" s="186"/>
      <c r="Y21" s="184" t="s">
        <v>289</v>
      </c>
      <c r="Z21" s="253">
        <v>222573.32</v>
      </c>
      <c r="AA21" s="253">
        <v>222573.32</v>
      </c>
      <c r="AB21" s="253">
        <v>222573.22</v>
      </c>
      <c r="AC21" s="504" t="s">
        <v>289</v>
      </c>
      <c r="AD21" s="503"/>
    </row>
    <row r="22" spans="1:30" ht="49.5" customHeight="1" x14ac:dyDescent="0.3">
      <c r="A22" s="400" t="s">
        <v>291</v>
      </c>
      <c r="B22" s="185" t="s">
        <v>15</v>
      </c>
      <c r="C22" s="185" t="s">
        <v>122</v>
      </c>
      <c r="D22" s="185" t="s">
        <v>123</v>
      </c>
      <c r="E22" s="276" t="s">
        <v>569</v>
      </c>
      <c r="F22" s="185"/>
      <c r="G22" s="185"/>
      <c r="H22" s="185"/>
      <c r="I22" s="185"/>
      <c r="J22" s="185"/>
      <c r="K22" s="185"/>
      <c r="L22" s="185"/>
      <c r="M22" s="185"/>
      <c r="N22" s="185"/>
      <c r="O22" s="185"/>
      <c r="P22" s="185"/>
      <c r="Q22" s="185"/>
      <c r="R22" s="185"/>
      <c r="S22" s="185"/>
      <c r="T22" s="185" t="s">
        <v>244</v>
      </c>
      <c r="U22" s="185"/>
      <c r="V22" s="186"/>
      <c r="W22" s="186"/>
      <c r="X22" s="186"/>
      <c r="Y22" s="184" t="s">
        <v>291</v>
      </c>
      <c r="Z22" s="253">
        <v>7996.65</v>
      </c>
      <c r="AA22" s="253">
        <v>7996.65</v>
      </c>
      <c r="AB22" s="253">
        <v>7996.65</v>
      </c>
      <c r="AC22" s="504" t="s">
        <v>291</v>
      </c>
      <c r="AD22" s="503"/>
    </row>
    <row r="23" spans="1:30" ht="51" customHeight="1" x14ac:dyDescent="0.3">
      <c r="A23" s="415" t="s">
        <v>250</v>
      </c>
      <c r="B23" s="207" t="s">
        <v>15</v>
      </c>
      <c r="C23" s="207" t="s">
        <v>122</v>
      </c>
      <c r="D23" s="207" t="s">
        <v>136</v>
      </c>
      <c r="E23" s="207"/>
      <c r="F23" s="207"/>
      <c r="G23" s="207"/>
      <c r="H23" s="207"/>
      <c r="I23" s="207"/>
      <c r="J23" s="207"/>
      <c r="K23" s="207"/>
      <c r="L23" s="207"/>
      <c r="M23" s="207"/>
      <c r="N23" s="207"/>
      <c r="O23" s="207"/>
      <c r="P23" s="207"/>
      <c r="Q23" s="207"/>
      <c r="R23" s="207"/>
      <c r="S23" s="207"/>
      <c r="T23" s="207"/>
      <c r="U23" s="207"/>
      <c r="V23" s="254"/>
      <c r="W23" s="254"/>
      <c r="X23" s="254"/>
      <c r="Y23" s="206" t="s">
        <v>250</v>
      </c>
      <c r="Z23" s="255">
        <f>Z24+Z26+Z32+Z30</f>
        <v>29593778.750000004</v>
      </c>
      <c r="AA23" s="255">
        <f t="shared" ref="AA23:AC23" si="1">AA24+AA26+AA32+AA30</f>
        <v>28187774.07</v>
      </c>
      <c r="AB23" s="255">
        <f t="shared" si="1"/>
        <v>28187774.07</v>
      </c>
      <c r="AC23" s="255" t="e">
        <f t="shared" si="1"/>
        <v>#VALUE!</v>
      </c>
      <c r="AD23" s="503"/>
    </row>
    <row r="24" spans="1:30" ht="66.75" customHeight="1" x14ac:dyDescent="0.3">
      <c r="A24" s="402" t="s">
        <v>861</v>
      </c>
      <c r="B24" s="208" t="s">
        <v>15</v>
      </c>
      <c r="C24" s="208" t="s">
        <v>122</v>
      </c>
      <c r="D24" s="208" t="s">
        <v>136</v>
      </c>
      <c r="E24" s="276" t="s">
        <v>570</v>
      </c>
      <c r="F24" s="208"/>
      <c r="G24" s="208"/>
      <c r="H24" s="208"/>
      <c r="I24" s="208"/>
      <c r="J24" s="208"/>
      <c r="K24" s="208"/>
      <c r="L24" s="208"/>
      <c r="M24" s="208"/>
      <c r="N24" s="208"/>
      <c r="O24" s="208"/>
      <c r="P24" s="208"/>
      <c r="Q24" s="208"/>
      <c r="R24" s="208"/>
      <c r="S24" s="208"/>
      <c r="T24" s="208"/>
      <c r="U24" s="208"/>
      <c r="V24" s="250"/>
      <c r="W24" s="250"/>
      <c r="X24" s="250"/>
      <c r="Y24" s="203" t="s">
        <v>292</v>
      </c>
      <c r="Z24" s="280">
        <f>Z25</f>
        <v>178508.96000000002</v>
      </c>
      <c r="AA24" s="280">
        <f>AA25</f>
        <v>150000</v>
      </c>
      <c r="AB24" s="280">
        <f>AB25</f>
        <v>150000</v>
      </c>
      <c r="AC24" s="350" t="s">
        <v>292</v>
      </c>
      <c r="AD24" s="503"/>
    </row>
    <row r="25" spans="1:30" ht="49.5" customHeight="1" x14ac:dyDescent="0.3">
      <c r="A25" s="400" t="s">
        <v>293</v>
      </c>
      <c r="B25" s="185" t="s">
        <v>15</v>
      </c>
      <c r="C25" s="185" t="s">
        <v>122</v>
      </c>
      <c r="D25" s="185" t="s">
        <v>136</v>
      </c>
      <c r="E25" s="276" t="s">
        <v>570</v>
      </c>
      <c r="F25" s="185"/>
      <c r="G25" s="185"/>
      <c r="H25" s="185"/>
      <c r="I25" s="185"/>
      <c r="J25" s="185"/>
      <c r="K25" s="185"/>
      <c r="L25" s="185"/>
      <c r="M25" s="185"/>
      <c r="N25" s="185"/>
      <c r="O25" s="185"/>
      <c r="P25" s="185"/>
      <c r="Q25" s="185"/>
      <c r="R25" s="185"/>
      <c r="S25" s="185"/>
      <c r="T25" s="185" t="s">
        <v>290</v>
      </c>
      <c r="U25" s="185"/>
      <c r="V25" s="186"/>
      <c r="W25" s="186"/>
      <c r="X25" s="186"/>
      <c r="Y25" s="184" t="s">
        <v>293</v>
      </c>
      <c r="Z25" s="253">
        <f>150000+100000-71491.04</f>
        <v>178508.96000000002</v>
      </c>
      <c r="AA25" s="253">
        <v>150000</v>
      </c>
      <c r="AB25" s="253">
        <v>150000</v>
      </c>
      <c r="AC25" s="504" t="s">
        <v>293</v>
      </c>
      <c r="AD25" s="503"/>
    </row>
    <row r="26" spans="1:30" ht="96" customHeight="1" x14ac:dyDescent="0.3">
      <c r="A26" s="402" t="s">
        <v>656</v>
      </c>
      <c r="B26" s="208" t="s">
        <v>15</v>
      </c>
      <c r="C26" s="208" t="s">
        <v>122</v>
      </c>
      <c r="D26" s="208" t="s">
        <v>136</v>
      </c>
      <c r="E26" s="276" t="s">
        <v>571</v>
      </c>
      <c r="F26" s="208"/>
      <c r="G26" s="208"/>
      <c r="H26" s="208"/>
      <c r="I26" s="208"/>
      <c r="J26" s="208"/>
      <c r="K26" s="208"/>
      <c r="L26" s="208"/>
      <c r="M26" s="208"/>
      <c r="N26" s="208"/>
      <c r="O26" s="208"/>
      <c r="P26" s="208"/>
      <c r="Q26" s="208"/>
      <c r="R26" s="208"/>
      <c r="S26" s="208"/>
      <c r="T26" s="208"/>
      <c r="U26" s="208"/>
      <c r="V26" s="250"/>
      <c r="W26" s="250"/>
      <c r="X26" s="250"/>
      <c r="Y26" s="203" t="s">
        <v>294</v>
      </c>
      <c r="Z26" s="280">
        <f>Z27+Z28+Z29</f>
        <v>29111898.690000001</v>
      </c>
      <c r="AA26" s="280">
        <f>AA27+AA28+AA29</f>
        <v>27779774.07</v>
      </c>
      <c r="AB26" s="280">
        <f>AB27+AB28+AB29</f>
        <v>27779774.07</v>
      </c>
      <c r="AC26" s="350" t="s">
        <v>294</v>
      </c>
      <c r="AD26" s="503"/>
    </row>
    <row r="27" spans="1:30" ht="80.25" customHeight="1" x14ac:dyDescent="0.3">
      <c r="A27" s="403" t="s">
        <v>295</v>
      </c>
      <c r="B27" s="185" t="s">
        <v>15</v>
      </c>
      <c r="C27" s="185" t="s">
        <v>122</v>
      </c>
      <c r="D27" s="185" t="s">
        <v>136</v>
      </c>
      <c r="E27" s="276" t="s">
        <v>571</v>
      </c>
      <c r="F27" s="185"/>
      <c r="G27" s="185"/>
      <c r="H27" s="185"/>
      <c r="I27" s="185"/>
      <c r="J27" s="185"/>
      <c r="K27" s="185"/>
      <c r="L27" s="185"/>
      <c r="M27" s="185"/>
      <c r="N27" s="185"/>
      <c r="O27" s="185"/>
      <c r="P27" s="185"/>
      <c r="Q27" s="185"/>
      <c r="R27" s="185"/>
      <c r="S27" s="185"/>
      <c r="T27" s="185" t="s">
        <v>38</v>
      </c>
      <c r="U27" s="185"/>
      <c r="V27" s="186"/>
      <c r="W27" s="186"/>
      <c r="X27" s="186"/>
      <c r="Y27" s="204" t="s">
        <v>295</v>
      </c>
      <c r="Z27" s="253">
        <f>17266840.2+689030.66+5214585.74+1282124.41</f>
        <v>24452581.010000002</v>
      </c>
      <c r="AA27" s="253">
        <f>17266840.2+689030.46+5214585.74</f>
        <v>23170456.399999999</v>
      </c>
      <c r="AB27" s="253">
        <f>17266840.2+689030.46+5214585.74</f>
        <v>23170456.399999999</v>
      </c>
      <c r="AC27" s="190" t="s">
        <v>295</v>
      </c>
      <c r="AD27" s="503"/>
    </row>
    <row r="28" spans="1:30" ht="49.5" customHeight="1" x14ac:dyDescent="0.3">
      <c r="A28" s="400" t="s">
        <v>296</v>
      </c>
      <c r="B28" s="185" t="s">
        <v>15</v>
      </c>
      <c r="C28" s="185" t="s">
        <v>122</v>
      </c>
      <c r="D28" s="185" t="s">
        <v>136</v>
      </c>
      <c r="E28" s="276" t="s">
        <v>571</v>
      </c>
      <c r="F28" s="185"/>
      <c r="G28" s="185"/>
      <c r="H28" s="185"/>
      <c r="I28" s="185"/>
      <c r="J28" s="185"/>
      <c r="K28" s="185"/>
      <c r="L28" s="185"/>
      <c r="M28" s="185"/>
      <c r="N28" s="185"/>
      <c r="O28" s="185"/>
      <c r="P28" s="185"/>
      <c r="Q28" s="185"/>
      <c r="R28" s="185"/>
      <c r="S28" s="185"/>
      <c r="T28" s="185" t="s">
        <v>290</v>
      </c>
      <c r="U28" s="185"/>
      <c r="V28" s="186"/>
      <c r="W28" s="186"/>
      <c r="X28" s="186"/>
      <c r="Y28" s="184" t="s">
        <v>296</v>
      </c>
      <c r="Z28" s="253">
        <f>1127061.54+2572541.69+387346.05+256317.2+50000</f>
        <v>4393266.4799999995</v>
      </c>
      <c r="AA28" s="253">
        <f>1127061.54+2572541.69+387346.05+256317.2</f>
        <v>4343266.4799999995</v>
      </c>
      <c r="AB28" s="253">
        <f>1127061.54+2572541.69+387346.05+256317.2</f>
        <v>4343266.4799999995</v>
      </c>
      <c r="AC28" s="504" t="s">
        <v>296</v>
      </c>
      <c r="AD28" s="503"/>
    </row>
    <row r="29" spans="1:30" ht="33" customHeight="1" x14ac:dyDescent="0.3">
      <c r="A29" s="400" t="s">
        <v>297</v>
      </c>
      <c r="B29" s="185" t="s">
        <v>15</v>
      </c>
      <c r="C29" s="185" t="s">
        <v>122</v>
      </c>
      <c r="D29" s="185" t="s">
        <v>136</v>
      </c>
      <c r="E29" s="276" t="s">
        <v>571</v>
      </c>
      <c r="F29" s="185"/>
      <c r="G29" s="185"/>
      <c r="H29" s="185"/>
      <c r="I29" s="185"/>
      <c r="J29" s="185"/>
      <c r="K29" s="185"/>
      <c r="L29" s="185"/>
      <c r="M29" s="185"/>
      <c r="N29" s="185"/>
      <c r="O29" s="185"/>
      <c r="P29" s="185"/>
      <c r="Q29" s="185"/>
      <c r="R29" s="185"/>
      <c r="S29" s="185"/>
      <c r="T29" s="185" t="s">
        <v>244</v>
      </c>
      <c r="U29" s="185"/>
      <c r="V29" s="186"/>
      <c r="W29" s="186"/>
      <c r="X29" s="186"/>
      <c r="Y29" s="184" t="s">
        <v>297</v>
      </c>
      <c r="Z29" s="253">
        <f>93879.53+162171.67+10000</f>
        <v>266051.20000000001</v>
      </c>
      <c r="AA29" s="253">
        <f>93879.52+162171.67+10000</f>
        <v>266051.19</v>
      </c>
      <c r="AB29" s="253">
        <f>93879.52+162171.67+10000</f>
        <v>266051.19</v>
      </c>
      <c r="AC29" s="504" t="s">
        <v>297</v>
      </c>
      <c r="AD29" s="503"/>
    </row>
    <row r="30" spans="1:30" ht="48.75" customHeight="1" x14ac:dyDescent="0.3">
      <c r="A30" s="402" t="s">
        <v>1046</v>
      </c>
      <c r="B30" s="208" t="s">
        <v>15</v>
      </c>
      <c r="C30" s="208" t="s">
        <v>122</v>
      </c>
      <c r="D30" s="208" t="s">
        <v>136</v>
      </c>
      <c r="E30" s="276" t="s">
        <v>1045</v>
      </c>
      <c r="F30" s="208"/>
      <c r="G30" s="208"/>
      <c r="H30" s="208"/>
      <c r="I30" s="208"/>
      <c r="J30" s="208"/>
      <c r="K30" s="208"/>
      <c r="L30" s="208"/>
      <c r="M30" s="208"/>
      <c r="N30" s="208"/>
      <c r="O30" s="208"/>
      <c r="P30" s="208"/>
      <c r="Q30" s="208"/>
      <c r="R30" s="208"/>
      <c r="S30" s="208"/>
      <c r="T30" s="208"/>
      <c r="U30" s="208"/>
      <c r="V30" s="250"/>
      <c r="W30" s="250"/>
      <c r="X30" s="250"/>
      <c r="Y30" s="203"/>
      <c r="Z30" s="280">
        <f>Z31</f>
        <v>50000</v>
      </c>
      <c r="AA30" s="280">
        <f t="shared" ref="AA30:AC30" si="2">AA31</f>
        <v>0</v>
      </c>
      <c r="AB30" s="280">
        <f t="shared" si="2"/>
        <v>0</v>
      </c>
      <c r="AC30" s="280">
        <f t="shared" si="2"/>
        <v>0</v>
      </c>
      <c r="AD30" s="503"/>
    </row>
    <row r="31" spans="1:30" ht="50.25" customHeight="1" x14ac:dyDescent="0.3">
      <c r="A31" s="400" t="s">
        <v>296</v>
      </c>
      <c r="B31" s="185" t="s">
        <v>15</v>
      </c>
      <c r="C31" s="185" t="s">
        <v>122</v>
      </c>
      <c r="D31" s="185" t="s">
        <v>136</v>
      </c>
      <c r="E31" s="276" t="s">
        <v>1045</v>
      </c>
      <c r="F31" s="185"/>
      <c r="G31" s="185"/>
      <c r="H31" s="185"/>
      <c r="I31" s="185"/>
      <c r="J31" s="185"/>
      <c r="K31" s="185"/>
      <c r="L31" s="185"/>
      <c r="M31" s="185"/>
      <c r="N31" s="185"/>
      <c r="O31" s="185"/>
      <c r="P31" s="185"/>
      <c r="Q31" s="185"/>
      <c r="R31" s="185"/>
      <c r="S31" s="185"/>
      <c r="T31" s="185" t="s">
        <v>290</v>
      </c>
      <c r="U31" s="185"/>
      <c r="V31" s="186"/>
      <c r="W31" s="186"/>
      <c r="X31" s="186"/>
      <c r="Y31" s="184"/>
      <c r="Z31" s="253">
        <v>50000</v>
      </c>
      <c r="AA31" s="253">
        <v>0</v>
      </c>
      <c r="AB31" s="253">
        <v>0</v>
      </c>
      <c r="AC31" s="504"/>
      <c r="AD31" s="503"/>
    </row>
    <row r="32" spans="1:30" ht="48" customHeight="1" x14ac:dyDescent="0.3">
      <c r="A32" s="402" t="s">
        <v>298</v>
      </c>
      <c r="B32" s="208" t="s">
        <v>15</v>
      </c>
      <c r="C32" s="208" t="s">
        <v>122</v>
      </c>
      <c r="D32" s="208" t="s">
        <v>136</v>
      </c>
      <c r="E32" s="276" t="s">
        <v>572</v>
      </c>
      <c r="F32" s="208"/>
      <c r="G32" s="208"/>
      <c r="H32" s="208"/>
      <c r="I32" s="208"/>
      <c r="J32" s="208"/>
      <c r="K32" s="208"/>
      <c r="L32" s="208"/>
      <c r="M32" s="208"/>
      <c r="N32" s="208"/>
      <c r="O32" s="208"/>
      <c r="P32" s="208"/>
      <c r="Q32" s="208"/>
      <c r="R32" s="208"/>
      <c r="S32" s="208"/>
      <c r="T32" s="208"/>
      <c r="U32" s="208"/>
      <c r="V32" s="250"/>
      <c r="W32" s="250"/>
      <c r="X32" s="250"/>
      <c r="Y32" s="203" t="s">
        <v>298</v>
      </c>
      <c r="Z32" s="280">
        <f>Z33+Z34</f>
        <v>253371.1</v>
      </c>
      <c r="AA32" s="280">
        <f>AA33+AA34</f>
        <v>258000</v>
      </c>
      <c r="AB32" s="280">
        <f>AB33+AB34</f>
        <v>258000</v>
      </c>
      <c r="AC32" s="350" t="s">
        <v>298</v>
      </c>
      <c r="AD32" s="503"/>
    </row>
    <row r="33" spans="1:31" ht="114.75" customHeight="1" x14ac:dyDescent="0.3">
      <c r="A33" s="403" t="s">
        <v>299</v>
      </c>
      <c r="B33" s="185" t="s">
        <v>15</v>
      </c>
      <c r="C33" s="185" t="s">
        <v>122</v>
      </c>
      <c r="D33" s="185" t="s">
        <v>136</v>
      </c>
      <c r="E33" s="276" t="s">
        <v>572</v>
      </c>
      <c r="F33" s="185"/>
      <c r="G33" s="185"/>
      <c r="H33" s="185"/>
      <c r="I33" s="185"/>
      <c r="J33" s="185"/>
      <c r="K33" s="185"/>
      <c r="L33" s="185"/>
      <c r="M33" s="185"/>
      <c r="N33" s="185"/>
      <c r="O33" s="185"/>
      <c r="P33" s="185"/>
      <c r="Q33" s="185"/>
      <c r="R33" s="185"/>
      <c r="S33" s="185"/>
      <c r="T33" s="185" t="s">
        <v>38</v>
      </c>
      <c r="U33" s="185"/>
      <c r="V33" s="186"/>
      <c r="W33" s="186"/>
      <c r="X33" s="186"/>
      <c r="Y33" s="204" t="s">
        <v>299</v>
      </c>
      <c r="Z33" s="253">
        <f>156238-36366.9</f>
        <v>119871.1</v>
      </c>
      <c r="AA33" s="253">
        <v>160000</v>
      </c>
      <c r="AB33" s="253">
        <v>160000</v>
      </c>
      <c r="AC33" s="190" t="s">
        <v>299</v>
      </c>
      <c r="AD33" s="503"/>
    </row>
    <row r="34" spans="1:31" ht="83.25" customHeight="1" x14ac:dyDescent="0.3">
      <c r="A34" s="400" t="s">
        <v>300</v>
      </c>
      <c r="B34" s="185" t="s">
        <v>15</v>
      </c>
      <c r="C34" s="185" t="s">
        <v>122</v>
      </c>
      <c r="D34" s="185" t="s">
        <v>136</v>
      </c>
      <c r="E34" s="276" t="s">
        <v>572</v>
      </c>
      <c r="F34" s="185"/>
      <c r="G34" s="185"/>
      <c r="H34" s="185"/>
      <c r="I34" s="185"/>
      <c r="J34" s="185"/>
      <c r="K34" s="185"/>
      <c r="L34" s="185"/>
      <c r="M34" s="185"/>
      <c r="N34" s="185"/>
      <c r="O34" s="185"/>
      <c r="P34" s="185"/>
      <c r="Q34" s="185"/>
      <c r="R34" s="185"/>
      <c r="S34" s="185"/>
      <c r="T34" s="185" t="s">
        <v>290</v>
      </c>
      <c r="U34" s="185"/>
      <c r="V34" s="186"/>
      <c r="W34" s="186"/>
      <c r="X34" s="186"/>
      <c r="Y34" s="184" t="s">
        <v>300</v>
      </c>
      <c r="Z34" s="253">
        <f>97133.1+36366.9</f>
        <v>133500</v>
      </c>
      <c r="AA34" s="253">
        <v>98000</v>
      </c>
      <c r="AB34" s="253">
        <v>98000</v>
      </c>
      <c r="AC34" s="504" t="s">
        <v>300</v>
      </c>
      <c r="AD34" s="503"/>
    </row>
    <row r="35" spans="1:31" ht="21.75" customHeight="1" x14ac:dyDescent="0.3">
      <c r="A35" s="415" t="s">
        <v>137</v>
      </c>
      <c r="B35" s="207" t="s">
        <v>15</v>
      </c>
      <c r="C35" s="207" t="s">
        <v>122</v>
      </c>
      <c r="D35" s="207" t="s">
        <v>124</v>
      </c>
      <c r="E35" s="207"/>
      <c r="F35" s="207"/>
      <c r="G35" s="207"/>
      <c r="H35" s="207"/>
      <c r="I35" s="207"/>
      <c r="J35" s="207"/>
      <c r="K35" s="207"/>
      <c r="L35" s="207"/>
      <c r="M35" s="207"/>
      <c r="N35" s="207"/>
      <c r="O35" s="207"/>
      <c r="P35" s="207"/>
      <c r="Q35" s="207"/>
      <c r="R35" s="207"/>
      <c r="S35" s="207"/>
      <c r="T35" s="207"/>
      <c r="U35" s="207"/>
      <c r="V35" s="254"/>
      <c r="W35" s="254"/>
      <c r="X35" s="254"/>
      <c r="Y35" s="206" t="s">
        <v>137</v>
      </c>
      <c r="Z35" s="255">
        <f>Z36</f>
        <v>8790</v>
      </c>
      <c r="AA35" s="255">
        <f t="shared" ref="Z35:AB36" si="3">AA36</f>
        <v>0</v>
      </c>
      <c r="AB35" s="255">
        <f t="shared" si="3"/>
        <v>0</v>
      </c>
      <c r="AC35" s="502" t="s">
        <v>137</v>
      </c>
      <c r="AD35" s="503"/>
    </row>
    <row r="36" spans="1:31" ht="54.75" customHeight="1" x14ac:dyDescent="0.3">
      <c r="A36" s="402" t="s">
        <v>231</v>
      </c>
      <c r="B36" s="208" t="s">
        <v>15</v>
      </c>
      <c r="C36" s="208" t="s">
        <v>122</v>
      </c>
      <c r="D36" s="208" t="s">
        <v>124</v>
      </c>
      <c r="E36" s="208" t="s">
        <v>759</v>
      </c>
      <c r="F36" s="208"/>
      <c r="G36" s="208"/>
      <c r="H36" s="208"/>
      <c r="I36" s="208"/>
      <c r="J36" s="208"/>
      <c r="K36" s="208"/>
      <c r="L36" s="208"/>
      <c r="M36" s="208"/>
      <c r="N36" s="208"/>
      <c r="O36" s="208"/>
      <c r="P36" s="208"/>
      <c r="Q36" s="208"/>
      <c r="R36" s="208"/>
      <c r="S36" s="208"/>
      <c r="T36" s="208"/>
      <c r="U36" s="208"/>
      <c r="V36" s="250"/>
      <c r="W36" s="250"/>
      <c r="X36" s="250"/>
      <c r="Y36" s="203" t="s">
        <v>231</v>
      </c>
      <c r="Z36" s="280">
        <f t="shared" si="3"/>
        <v>8790</v>
      </c>
      <c r="AA36" s="280">
        <f t="shared" si="3"/>
        <v>0</v>
      </c>
      <c r="AB36" s="280">
        <f t="shared" si="3"/>
        <v>0</v>
      </c>
      <c r="AC36" s="350" t="s">
        <v>231</v>
      </c>
      <c r="AD36" s="503"/>
    </row>
    <row r="37" spans="1:31" ht="70.5" customHeight="1" x14ac:dyDescent="0.3">
      <c r="A37" s="523" t="s">
        <v>301</v>
      </c>
      <c r="B37" s="262" t="s">
        <v>15</v>
      </c>
      <c r="C37" s="262" t="s">
        <v>122</v>
      </c>
      <c r="D37" s="262" t="s">
        <v>124</v>
      </c>
      <c r="E37" s="268" t="s">
        <v>759</v>
      </c>
      <c r="F37" s="262"/>
      <c r="G37" s="262"/>
      <c r="H37" s="262"/>
      <c r="I37" s="262"/>
      <c r="J37" s="262"/>
      <c r="K37" s="262"/>
      <c r="L37" s="262"/>
      <c r="M37" s="262"/>
      <c r="N37" s="262"/>
      <c r="O37" s="262"/>
      <c r="P37" s="262"/>
      <c r="Q37" s="262"/>
      <c r="R37" s="262"/>
      <c r="S37" s="262"/>
      <c r="T37" s="262" t="s">
        <v>290</v>
      </c>
      <c r="U37" s="262"/>
      <c r="V37" s="263"/>
      <c r="W37" s="263"/>
      <c r="X37" s="263"/>
      <c r="Y37" s="522" t="s">
        <v>301</v>
      </c>
      <c r="Z37" s="264">
        <v>8790</v>
      </c>
      <c r="AA37" s="253">
        <v>0</v>
      </c>
      <c r="AB37" s="253">
        <v>0</v>
      </c>
      <c r="AC37" s="504" t="s">
        <v>301</v>
      </c>
      <c r="AD37" s="503"/>
    </row>
    <row r="38" spans="1:31" ht="35.25" customHeight="1" x14ac:dyDescent="0.3">
      <c r="A38" s="415" t="s">
        <v>251</v>
      </c>
      <c r="B38" s="207" t="s">
        <v>15</v>
      </c>
      <c r="C38" s="207" t="s">
        <v>122</v>
      </c>
      <c r="D38" s="207" t="s">
        <v>125</v>
      </c>
      <c r="E38" s="207"/>
      <c r="F38" s="207"/>
      <c r="G38" s="207"/>
      <c r="H38" s="207"/>
      <c r="I38" s="207"/>
      <c r="J38" s="207"/>
      <c r="K38" s="207"/>
      <c r="L38" s="207"/>
      <c r="M38" s="207"/>
      <c r="N38" s="207"/>
      <c r="O38" s="207"/>
      <c r="P38" s="207"/>
      <c r="Q38" s="207"/>
      <c r="R38" s="207"/>
      <c r="S38" s="207"/>
      <c r="T38" s="207"/>
      <c r="U38" s="207"/>
      <c r="V38" s="254"/>
      <c r="W38" s="254"/>
      <c r="X38" s="254"/>
      <c r="Y38" s="206" t="s">
        <v>251</v>
      </c>
      <c r="Z38" s="255">
        <f t="shared" ref="Z38:AB39" si="4">Z39</f>
        <v>532864.01</v>
      </c>
      <c r="AA38" s="255">
        <f t="shared" si="4"/>
        <v>532864.01</v>
      </c>
      <c r="AB38" s="255">
        <f t="shared" si="4"/>
        <v>532864.01</v>
      </c>
      <c r="AC38" s="502" t="s">
        <v>251</v>
      </c>
      <c r="AD38" s="503"/>
    </row>
    <row r="39" spans="1:31" ht="49.5" customHeight="1" x14ac:dyDescent="0.3">
      <c r="A39" s="402" t="s">
        <v>240</v>
      </c>
      <c r="B39" s="208" t="s">
        <v>15</v>
      </c>
      <c r="C39" s="208" t="s">
        <v>122</v>
      </c>
      <c r="D39" s="208" t="s">
        <v>125</v>
      </c>
      <c r="E39" s="276" t="s">
        <v>573</v>
      </c>
      <c r="F39" s="208"/>
      <c r="G39" s="208"/>
      <c r="H39" s="208"/>
      <c r="I39" s="208"/>
      <c r="J39" s="208"/>
      <c r="K39" s="208"/>
      <c r="L39" s="208"/>
      <c r="M39" s="208"/>
      <c r="N39" s="208"/>
      <c r="O39" s="208"/>
      <c r="P39" s="208"/>
      <c r="Q39" s="208"/>
      <c r="R39" s="208"/>
      <c r="S39" s="208"/>
      <c r="T39" s="208"/>
      <c r="U39" s="208"/>
      <c r="V39" s="250"/>
      <c r="W39" s="250"/>
      <c r="X39" s="250"/>
      <c r="Y39" s="203" t="s">
        <v>240</v>
      </c>
      <c r="Z39" s="280">
        <f t="shared" si="4"/>
        <v>532864.01</v>
      </c>
      <c r="AA39" s="280">
        <f t="shared" si="4"/>
        <v>532864.01</v>
      </c>
      <c r="AB39" s="280">
        <f t="shared" si="4"/>
        <v>532864.01</v>
      </c>
      <c r="AC39" s="350" t="s">
        <v>240</v>
      </c>
      <c r="AD39" s="503"/>
    </row>
    <row r="40" spans="1:31" ht="99.75" customHeight="1" x14ac:dyDescent="0.3">
      <c r="A40" s="403" t="s">
        <v>302</v>
      </c>
      <c r="B40" s="185" t="s">
        <v>15</v>
      </c>
      <c r="C40" s="185" t="s">
        <v>122</v>
      </c>
      <c r="D40" s="185" t="s">
        <v>125</v>
      </c>
      <c r="E40" s="276" t="s">
        <v>573</v>
      </c>
      <c r="F40" s="185"/>
      <c r="G40" s="185"/>
      <c r="H40" s="185"/>
      <c r="I40" s="185"/>
      <c r="J40" s="185"/>
      <c r="K40" s="185"/>
      <c r="L40" s="185"/>
      <c r="M40" s="185"/>
      <c r="N40" s="185"/>
      <c r="O40" s="185"/>
      <c r="P40" s="185"/>
      <c r="Q40" s="185"/>
      <c r="R40" s="185"/>
      <c r="S40" s="185"/>
      <c r="T40" s="185" t="s">
        <v>38</v>
      </c>
      <c r="U40" s="185"/>
      <c r="V40" s="186"/>
      <c r="W40" s="186"/>
      <c r="X40" s="186"/>
      <c r="Y40" s="204" t="s">
        <v>302</v>
      </c>
      <c r="Z40" s="253">
        <f>408410.1+1114.06+123339.85</f>
        <v>532864.01</v>
      </c>
      <c r="AA40" s="253">
        <f>408410.1+1114.06+123339.85</f>
        <v>532864.01</v>
      </c>
      <c r="AB40" s="253">
        <f>408410.1+1114.06+123339.85</f>
        <v>532864.01</v>
      </c>
      <c r="AC40" s="190" t="s">
        <v>302</v>
      </c>
      <c r="AD40" s="503"/>
    </row>
    <row r="41" spans="1:31" ht="18.75" customHeight="1" x14ac:dyDescent="0.35">
      <c r="A41" s="435" t="s">
        <v>139</v>
      </c>
      <c r="B41" s="207" t="s">
        <v>15</v>
      </c>
      <c r="C41" s="207" t="s">
        <v>122</v>
      </c>
      <c r="D41" s="207" t="s">
        <v>138</v>
      </c>
      <c r="E41" s="187"/>
      <c r="F41" s="505"/>
      <c r="G41" s="505"/>
      <c r="H41" s="505"/>
      <c r="I41" s="505"/>
      <c r="J41" s="505"/>
      <c r="K41" s="505"/>
      <c r="L41" s="505"/>
      <c r="M41" s="505"/>
      <c r="N41" s="505"/>
      <c r="O41" s="505"/>
      <c r="P41" s="505"/>
      <c r="Q41" s="505"/>
      <c r="R41" s="505"/>
      <c r="S41" s="505"/>
      <c r="T41" s="505"/>
      <c r="U41" s="505"/>
      <c r="V41" s="506"/>
      <c r="W41" s="506"/>
      <c r="X41" s="506"/>
      <c r="Y41" s="507"/>
      <c r="Z41" s="255">
        <f t="shared" ref="Z41:AB42" si="5">Z42</f>
        <v>2085575.02</v>
      </c>
      <c r="AA41" s="256">
        <f t="shared" si="5"/>
        <v>0</v>
      </c>
      <c r="AB41" s="256">
        <f t="shared" si="5"/>
        <v>0</v>
      </c>
      <c r="AC41" s="190"/>
      <c r="AD41" s="503"/>
    </row>
    <row r="42" spans="1:31" ht="96" customHeight="1" x14ac:dyDescent="0.3">
      <c r="A42" s="508" t="s">
        <v>829</v>
      </c>
      <c r="B42" s="208" t="s">
        <v>15</v>
      </c>
      <c r="C42" s="208" t="s">
        <v>122</v>
      </c>
      <c r="D42" s="208" t="s">
        <v>138</v>
      </c>
      <c r="E42" s="276" t="s">
        <v>830</v>
      </c>
      <c r="F42" s="185"/>
      <c r="G42" s="185"/>
      <c r="H42" s="185"/>
      <c r="I42" s="185"/>
      <c r="J42" s="185"/>
      <c r="K42" s="185"/>
      <c r="L42" s="185"/>
      <c r="M42" s="185"/>
      <c r="N42" s="185"/>
      <c r="O42" s="185"/>
      <c r="P42" s="185"/>
      <c r="Q42" s="185"/>
      <c r="R42" s="185"/>
      <c r="S42" s="185"/>
      <c r="T42" s="185"/>
      <c r="U42" s="185"/>
      <c r="V42" s="186"/>
      <c r="W42" s="186"/>
      <c r="X42" s="186"/>
      <c r="Y42" s="204"/>
      <c r="Z42" s="253">
        <f t="shared" si="5"/>
        <v>2085575.02</v>
      </c>
      <c r="AA42" s="253">
        <f t="shared" si="5"/>
        <v>0</v>
      </c>
      <c r="AB42" s="253">
        <f t="shared" si="5"/>
        <v>0</v>
      </c>
      <c r="AC42" s="190"/>
      <c r="AD42" s="503"/>
    </row>
    <row r="43" spans="1:31" ht="16.5" customHeight="1" x14ac:dyDescent="0.3">
      <c r="A43" s="539" t="s">
        <v>844</v>
      </c>
      <c r="B43" s="268" t="s">
        <v>15</v>
      </c>
      <c r="C43" s="268" t="s">
        <v>122</v>
      </c>
      <c r="D43" s="268" t="s">
        <v>138</v>
      </c>
      <c r="E43" s="538" t="s">
        <v>830</v>
      </c>
      <c r="F43" s="262"/>
      <c r="G43" s="262"/>
      <c r="H43" s="262"/>
      <c r="I43" s="262"/>
      <c r="J43" s="262"/>
      <c r="K43" s="262"/>
      <c r="L43" s="262"/>
      <c r="M43" s="262"/>
      <c r="N43" s="262"/>
      <c r="O43" s="262"/>
      <c r="P43" s="262"/>
      <c r="Q43" s="262"/>
      <c r="R43" s="262"/>
      <c r="S43" s="262"/>
      <c r="T43" s="262" t="s">
        <v>244</v>
      </c>
      <c r="U43" s="262"/>
      <c r="V43" s="263"/>
      <c r="W43" s="263"/>
      <c r="X43" s="263"/>
      <c r="Y43" s="479"/>
      <c r="Z43" s="264">
        <f>2000000+106853.31-21150.01-128.28</f>
        <v>2085575.02</v>
      </c>
      <c r="AA43" s="253">
        <v>0</v>
      </c>
      <c r="AB43" s="253">
        <v>0</v>
      </c>
      <c r="AC43" s="190"/>
      <c r="AD43" s="503"/>
    </row>
    <row r="44" spans="1:31" ht="18.600000000000001" customHeight="1" x14ac:dyDescent="0.3">
      <c r="A44" s="415" t="s">
        <v>140</v>
      </c>
      <c r="B44" s="207" t="s">
        <v>15</v>
      </c>
      <c r="C44" s="207" t="s">
        <v>122</v>
      </c>
      <c r="D44" s="207" t="s">
        <v>128</v>
      </c>
      <c r="E44" s="207"/>
      <c r="F44" s="207"/>
      <c r="G44" s="207"/>
      <c r="H44" s="207"/>
      <c r="I44" s="207"/>
      <c r="J44" s="207"/>
      <c r="K44" s="207"/>
      <c r="L44" s="207"/>
      <c r="M44" s="207"/>
      <c r="N44" s="207"/>
      <c r="O44" s="207"/>
      <c r="P44" s="207"/>
      <c r="Q44" s="207"/>
      <c r="R44" s="207"/>
      <c r="S44" s="207"/>
      <c r="T44" s="207"/>
      <c r="U44" s="207"/>
      <c r="V44" s="254"/>
      <c r="W44" s="254"/>
      <c r="X44" s="254"/>
      <c r="Y44" s="206" t="s">
        <v>140</v>
      </c>
      <c r="Z44" s="255">
        <f t="shared" ref="Z44:AB45" si="6">Z45</f>
        <v>351931</v>
      </c>
      <c r="AA44" s="255">
        <f t="shared" si="6"/>
        <v>351931</v>
      </c>
      <c r="AB44" s="255">
        <f t="shared" si="6"/>
        <v>351931</v>
      </c>
      <c r="AC44" s="502" t="s">
        <v>140</v>
      </c>
      <c r="AD44" s="503"/>
    </row>
    <row r="45" spans="1:31" ht="83.25" customHeight="1" x14ac:dyDescent="0.3">
      <c r="A45" s="402" t="s">
        <v>657</v>
      </c>
      <c r="B45" s="208" t="s">
        <v>15</v>
      </c>
      <c r="C45" s="208" t="s">
        <v>122</v>
      </c>
      <c r="D45" s="208" t="s">
        <v>128</v>
      </c>
      <c r="E45" s="276" t="s">
        <v>574</v>
      </c>
      <c r="F45" s="208"/>
      <c r="G45" s="208"/>
      <c r="H45" s="208"/>
      <c r="I45" s="208"/>
      <c r="J45" s="208"/>
      <c r="K45" s="208"/>
      <c r="L45" s="208"/>
      <c r="M45" s="208"/>
      <c r="N45" s="208"/>
      <c r="O45" s="208"/>
      <c r="P45" s="208"/>
      <c r="Q45" s="208"/>
      <c r="R45" s="208"/>
      <c r="S45" s="208"/>
      <c r="T45" s="208"/>
      <c r="U45" s="208"/>
      <c r="V45" s="250"/>
      <c r="W45" s="250"/>
      <c r="X45" s="250"/>
      <c r="Y45" s="203" t="s">
        <v>303</v>
      </c>
      <c r="Z45" s="280">
        <f t="shared" si="6"/>
        <v>351931</v>
      </c>
      <c r="AA45" s="280">
        <f t="shared" si="6"/>
        <v>351931</v>
      </c>
      <c r="AB45" s="280">
        <f t="shared" si="6"/>
        <v>351931</v>
      </c>
      <c r="AC45" s="350" t="s">
        <v>303</v>
      </c>
      <c r="AD45" s="503"/>
    </row>
    <row r="46" spans="1:31" ht="33.75" customHeight="1" x14ac:dyDescent="0.3">
      <c r="A46" s="400" t="s">
        <v>304</v>
      </c>
      <c r="B46" s="185" t="s">
        <v>15</v>
      </c>
      <c r="C46" s="185" t="s">
        <v>122</v>
      </c>
      <c r="D46" s="185" t="s">
        <v>128</v>
      </c>
      <c r="E46" s="276" t="s">
        <v>574</v>
      </c>
      <c r="F46" s="185"/>
      <c r="G46" s="185"/>
      <c r="H46" s="185"/>
      <c r="I46" s="185"/>
      <c r="J46" s="185"/>
      <c r="K46" s="185"/>
      <c r="L46" s="185"/>
      <c r="M46" s="185"/>
      <c r="N46" s="185"/>
      <c r="O46" s="185"/>
      <c r="P46" s="185"/>
      <c r="Q46" s="185"/>
      <c r="R46" s="185"/>
      <c r="S46" s="185"/>
      <c r="T46" s="185" t="s">
        <v>244</v>
      </c>
      <c r="U46" s="185"/>
      <c r="V46" s="186"/>
      <c r="W46" s="186"/>
      <c r="X46" s="186"/>
      <c r="Y46" s="184" t="s">
        <v>304</v>
      </c>
      <c r="Z46" s="253">
        <v>351931</v>
      </c>
      <c r="AA46" s="253">
        <v>351931</v>
      </c>
      <c r="AB46" s="253">
        <v>351931</v>
      </c>
      <c r="AC46" s="504" t="s">
        <v>304</v>
      </c>
      <c r="AD46" s="503"/>
    </row>
    <row r="47" spans="1:31" ht="21" customHeight="1" x14ac:dyDescent="0.3">
      <c r="A47" s="415" t="s">
        <v>141</v>
      </c>
      <c r="B47" s="207" t="s">
        <v>15</v>
      </c>
      <c r="C47" s="207" t="s">
        <v>122</v>
      </c>
      <c r="D47" s="207" t="s">
        <v>130</v>
      </c>
      <c r="E47" s="207"/>
      <c r="F47" s="207"/>
      <c r="G47" s="207"/>
      <c r="H47" s="207"/>
      <c r="I47" s="207"/>
      <c r="J47" s="207"/>
      <c r="K47" s="207"/>
      <c r="L47" s="207"/>
      <c r="M47" s="207"/>
      <c r="N47" s="207"/>
      <c r="O47" s="207"/>
      <c r="P47" s="207"/>
      <c r="Q47" s="207"/>
      <c r="R47" s="207"/>
      <c r="S47" s="207"/>
      <c r="T47" s="207"/>
      <c r="U47" s="207"/>
      <c r="V47" s="254"/>
      <c r="W47" s="254"/>
      <c r="X47" s="254"/>
      <c r="Y47" s="206" t="s">
        <v>141</v>
      </c>
      <c r="Z47" s="255">
        <f>Z50+Z52+Z58+Z63+Z56+Z61+Z54+Z48</f>
        <v>18938045.459999997</v>
      </c>
      <c r="AA47" s="255">
        <f t="shared" ref="AA47:AE47" si="7">AA50+AA52+AA58+AA63+AA56+AA61+AA54+AA48</f>
        <v>14678674.5</v>
      </c>
      <c r="AB47" s="255">
        <f t="shared" si="7"/>
        <v>14678674.5</v>
      </c>
      <c r="AC47" s="255" t="e">
        <f t="shared" si="7"/>
        <v>#VALUE!</v>
      </c>
      <c r="AD47" s="255">
        <f t="shared" si="7"/>
        <v>0</v>
      </c>
      <c r="AE47" s="255">
        <f t="shared" si="7"/>
        <v>0</v>
      </c>
    </row>
    <row r="48" spans="1:31" s="503" customFormat="1" ht="101.25" customHeight="1" x14ac:dyDescent="0.3">
      <c r="A48" s="402" t="s">
        <v>1228</v>
      </c>
      <c r="B48" s="276" t="s">
        <v>15</v>
      </c>
      <c r="C48" s="276" t="s">
        <v>122</v>
      </c>
      <c r="D48" s="276" t="s">
        <v>130</v>
      </c>
      <c r="E48" s="276" t="s">
        <v>1227</v>
      </c>
      <c r="F48" s="276"/>
      <c r="G48" s="276"/>
      <c r="H48" s="276"/>
      <c r="I48" s="276"/>
      <c r="J48" s="276"/>
      <c r="K48" s="276"/>
      <c r="L48" s="276"/>
      <c r="M48" s="276"/>
      <c r="N48" s="276"/>
      <c r="O48" s="276"/>
      <c r="P48" s="276"/>
      <c r="Q48" s="276"/>
      <c r="R48" s="276"/>
      <c r="S48" s="276"/>
      <c r="T48" s="276"/>
      <c r="U48" s="276"/>
      <c r="V48" s="378"/>
      <c r="W48" s="378"/>
      <c r="X48" s="378"/>
      <c r="Y48" s="350"/>
      <c r="Z48" s="280">
        <f>Z49</f>
        <v>80000</v>
      </c>
      <c r="AA48" s="280">
        <f t="shared" ref="AA48:AB48" si="8">AA49</f>
        <v>0</v>
      </c>
      <c r="AB48" s="280">
        <f t="shared" si="8"/>
        <v>0</v>
      </c>
      <c r="AC48" s="350"/>
    </row>
    <row r="49" spans="1:30" s="503" customFormat="1" ht="33" customHeight="1" x14ac:dyDescent="0.3">
      <c r="A49" s="402" t="s">
        <v>611</v>
      </c>
      <c r="B49" s="276" t="s">
        <v>15</v>
      </c>
      <c r="C49" s="276" t="s">
        <v>122</v>
      </c>
      <c r="D49" s="276" t="s">
        <v>130</v>
      </c>
      <c r="E49" s="276" t="s">
        <v>1227</v>
      </c>
      <c r="F49" s="276"/>
      <c r="G49" s="276"/>
      <c r="H49" s="276"/>
      <c r="I49" s="276"/>
      <c r="J49" s="276"/>
      <c r="K49" s="276"/>
      <c r="L49" s="276"/>
      <c r="M49" s="276"/>
      <c r="N49" s="276"/>
      <c r="O49" s="276"/>
      <c r="P49" s="276"/>
      <c r="Q49" s="276"/>
      <c r="R49" s="276"/>
      <c r="S49" s="276"/>
      <c r="T49" s="208" t="s">
        <v>290</v>
      </c>
      <c r="U49" s="276"/>
      <c r="V49" s="378"/>
      <c r="W49" s="378"/>
      <c r="X49" s="378"/>
      <c r="Y49" s="350"/>
      <c r="Z49" s="280">
        <v>80000</v>
      </c>
      <c r="AA49" s="280">
        <v>0</v>
      </c>
      <c r="AB49" s="280">
        <v>0</v>
      </c>
      <c r="AC49" s="350"/>
    </row>
    <row r="50" spans="1:30" ht="68.25" customHeight="1" x14ac:dyDescent="0.3">
      <c r="A50" s="402" t="s">
        <v>658</v>
      </c>
      <c r="B50" s="208" t="s">
        <v>15</v>
      </c>
      <c r="C50" s="208" t="s">
        <v>122</v>
      </c>
      <c r="D50" s="208" t="s">
        <v>130</v>
      </c>
      <c r="E50" s="276" t="s">
        <v>575</v>
      </c>
      <c r="F50" s="208"/>
      <c r="G50" s="208"/>
      <c r="H50" s="208"/>
      <c r="I50" s="208"/>
      <c r="J50" s="208"/>
      <c r="K50" s="208"/>
      <c r="L50" s="208"/>
      <c r="M50" s="208"/>
      <c r="N50" s="208"/>
      <c r="O50" s="208"/>
      <c r="P50" s="208"/>
      <c r="Q50" s="208"/>
      <c r="R50" s="208"/>
      <c r="S50" s="208"/>
      <c r="T50" s="208"/>
      <c r="U50" s="208"/>
      <c r="V50" s="250"/>
      <c r="W50" s="250"/>
      <c r="X50" s="250"/>
      <c r="Y50" s="203" t="s">
        <v>305</v>
      </c>
      <c r="Z50" s="280">
        <f>Z51</f>
        <v>113428.17</v>
      </c>
      <c r="AA50" s="280">
        <f>AA51</f>
        <v>100000</v>
      </c>
      <c r="AB50" s="280">
        <f>AB51</f>
        <v>100000</v>
      </c>
      <c r="AC50" s="350" t="s">
        <v>305</v>
      </c>
      <c r="AD50" s="503"/>
    </row>
    <row r="51" spans="1:30" ht="65.25" customHeight="1" x14ac:dyDescent="0.3">
      <c r="A51" s="400" t="s">
        <v>306</v>
      </c>
      <c r="B51" s="185" t="s">
        <v>15</v>
      </c>
      <c r="C51" s="185" t="s">
        <v>122</v>
      </c>
      <c r="D51" s="185" t="s">
        <v>130</v>
      </c>
      <c r="E51" s="276" t="s">
        <v>575</v>
      </c>
      <c r="F51" s="185"/>
      <c r="G51" s="185"/>
      <c r="H51" s="185"/>
      <c r="I51" s="185"/>
      <c r="J51" s="185"/>
      <c r="K51" s="185"/>
      <c r="L51" s="185"/>
      <c r="M51" s="185"/>
      <c r="N51" s="185"/>
      <c r="O51" s="185"/>
      <c r="P51" s="185"/>
      <c r="Q51" s="185"/>
      <c r="R51" s="185"/>
      <c r="S51" s="185"/>
      <c r="T51" s="185" t="s">
        <v>290</v>
      </c>
      <c r="U51" s="185"/>
      <c r="V51" s="186"/>
      <c r="W51" s="186"/>
      <c r="X51" s="186"/>
      <c r="Y51" s="184" t="s">
        <v>306</v>
      </c>
      <c r="Z51" s="253">
        <f>100000-79000+13428.17+79000</f>
        <v>113428.17</v>
      </c>
      <c r="AA51" s="253">
        <v>100000</v>
      </c>
      <c r="AB51" s="253">
        <v>100000</v>
      </c>
      <c r="AC51" s="504" t="s">
        <v>306</v>
      </c>
      <c r="AD51" s="503"/>
    </row>
    <row r="52" spans="1:30" ht="114.75" customHeight="1" x14ac:dyDescent="0.3">
      <c r="A52" s="402" t="s">
        <v>659</v>
      </c>
      <c r="B52" s="208" t="s">
        <v>15</v>
      </c>
      <c r="C52" s="208" t="s">
        <v>122</v>
      </c>
      <c r="D52" s="208" t="s">
        <v>130</v>
      </c>
      <c r="E52" s="276" t="s">
        <v>576</v>
      </c>
      <c r="F52" s="208"/>
      <c r="G52" s="208"/>
      <c r="H52" s="208"/>
      <c r="I52" s="208"/>
      <c r="J52" s="208"/>
      <c r="K52" s="208"/>
      <c r="L52" s="208"/>
      <c r="M52" s="208"/>
      <c r="N52" s="208"/>
      <c r="O52" s="208"/>
      <c r="P52" s="208"/>
      <c r="Q52" s="208"/>
      <c r="R52" s="208"/>
      <c r="S52" s="208"/>
      <c r="T52" s="208"/>
      <c r="U52" s="208"/>
      <c r="V52" s="250"/>
      <c r="W52" s="250"/>
      <c r="X52" s="250"/>
      <c r="Y52" s="203" t="s">
        <v>307</v>
      </c>
      <c r="Z52" s="280">
        <f>Z53</f>
        <v>16334274.5</v>
      </c>
      <c r="AA52" s="280">
        <f>AA53</f>
        <v>13994274.5</v>
      </c>
      <c r="AB52" s="280">
        <f>AB53</f>
        <v>13994274.5</v>
      </c>
      <c r="AC52" s="350" t="s">
        <v>307</v>
      </c>
      <c r="AD52" s="503"/>
    </row>
    <row r="53" spans="1:30" ht="82.5" customHeight="1" x14ac:dyDescent="0.3">
      <c r="A53" s="403" t="s">
        <v>308</v>
      </c>
      <c r="B53" s="185" t="s">
        <v>15</v>
      </c>
      <c r="C53" s="185" t="s">
        <v>122</v>
      </c>
      <c r="D53" s="185" t="s">
        <v>130</v>
      </c>
      <c r="E53" s="276" t="s">
        <v>576</v>
      </c>
      <c r="F53" s="185"/>
      <c r="G53" s="185"/>
      <c r="H53" s="185"/>
      <c r="I53" s="185"/>
      <c r="J53" s="185"/>
      <c r="K53" s="185"/>
      <c r="L53" s="185"/>
      <c r="M53" s="185"/>
      <c r="N53" s="185"/>
      <c r="O53" s="185"/>
      <c r="P53" s="185"/>
      <c r="Q53" s="185"/>
      <c r="R53" s="185"/>
      <c r="S53" s="185"/>
      <c r="T53" s="185" t="s">
        <v>309</v>
      </c>
      <c r="U53" s="185"/>
      <c r="V53" s="186"/>
      <c r="W53" s="186"/>
      <c r="X53" s="186"/>
      <c r="Y53" s="204" t="s">
        <v>308</v>
      </c>
      <c r="Z53" s="253">
        <f>12227450.21+1766824.29+2340000</f>
        <v>16334274.5</v>
      </c>
      <c r="AA53" s="253">
        <v>13994274.5</v>
      </c>
      <c r="AB53" s="253">
        <v>13994274.5</v>
      </c>
      <c r="AC53" s="190" t="s">
        <v>308</v>
      </c>
      <c r="AD53" s="503"/>
    </row>
    <row r="54" spans="1:30" ht="99.75" customHeight="1" x14ac:dyDescent="0.3">
      <c r="A54" s="508" t="s">
        <v>1218</v>
      </c>
      <c r="B54" s="185" t="s">
        <v>15</v>
      </c>
      <c r="C54" s="185" t="s">
        <v>122</v>
      </c>
      <c r="D54" s="185" t="s">
        <v>130</v>
      </c>
      <c r="E54" s="276" t="s">
        <v>967</v>
      </c>
      <c r="F54" s="185"/>
      <c r="G54" s="185"/>
      <c r="H54" s="185"/>
      <c r="I54" s="185"/>
      <c r="J54" s="185"/>
      <c r="K54" s="185"/>
      <c r="L54" s="185"/>
      <c r="M54" s="185"/>
      <c r="N54" s="185"/>
      <c r="O54" s="185"/>
      <c r="P54" s="185"/>
      <c r="Q54" s="185"/>
      <c r="R54" s="185"/>
      <c r="S54" s="185"/>
      <c r="T54" s="185"/>
      <c r="U54" s="185"/>
      <c r="V54" s="186"/>
      <c r="W54" s="186"/>
      <c r="X54" s="186"/>
      <c r="Y54" s="204"/>
      <c r="Z54" s="253">
        <f>Z55</f>
        <v>33653.61</v>
      </c>
      <c r="AA54" s="253">
        <v>0</v>
      </c>
      <c r="AB54" s="253">
        <v>0</v>
      </c>
      <c r="AC54" s="190"/>
      <c r="AD54" s="503"/>
    </row>
    <row r="55" spans="1:30" ht="51.75" customHeight="1" x14ac:dyDescent="0.3">
      <c r="A55" s="403" t="s">
        <v>966</v>
      </c>
      <c r="B55" s="185" t="s">
        <v>15</v>
      </c>
      <c r="C55" s="185" t="s">
        <v>122</v>
      </c>
      <c r="D55" s="185" t="s">
        <v>130</v>
      </c>
      <c r="E55" s="276" t="s">
        <v>967</v>
      </c>
      <c r="F55" s="185"/>
      <c r="G55" s="185"/>
      <c r="H55" s="185"/>
      <c r="I55" s="185"/>
      <c r="J55" s="185"/>
      <c r="K55" s="185"/>
      <c r="L55" s="185"/>
      <c r="M55" s="185"/>
      <c r="N55" s="185"/>
      <c r="O55" s="185"/>
      <c r="P55" s="185"/>
      <c r="Q55" s="185"/>
      <c r="R55" s="185"/>
      <c r="S55" s="185"/>
      <c r="T55" s="185" t="s">
        <v>244</v>
      </c>
      <c r="U55" s="185"/>
      <c r="V55" s="186"/>
      <c r="W55" s="186"/>
      <c r="X55" s="186"/>
      <c r="Y55" s="204"/>
      <c r="Z55" s="253">
        <v>33653.61</v>
      </c>
      <c r="AA55" s="253">
        <v>0</v>
      </c>
      <c r="AB55" s="253">
        <v>0</v>
      </c>
      <c r="AC55" s="190"/>
      <c r="AD55" s="503"/>
    </row>
    <row r="56" spans="1:30" ht="83.25" customHeight="1" x14ac:dyDescent="0.3">
      <c r="A56" s="405" t="s">
        <v>901</v>
      </c>
      <c r="B56" s="185" t="s">
        <v>15</v>
      </c>
      <c r="C56" s="185" t="s">
        <v>122</v>
      </c>
      <c r="D56" s="185" t="s">
        <v>130</v>
      </c>
      <c r="E56" s="276" t="s">
        <v>899</v>
      </c>
      <c r="F56" s="185"/>
      <c r="G56" s="185"/>
      <c r="H56" s="185"/>
      <c r="I56" s="185"/>
      <c r="J56" s="185"/>
      <c r="K56" s="185"/>
      <c r="L56" s="185"/>
      <c r="M56" s="185"/>
      <c r="N56" s="185"/>
      <c r="O56" s="185"/>
      <c r="P56" s="185"/>
      <c r="Q56" s="185"/>
      <c r="R56" s="185"/>
      <c r="S56" s="185"/>
      <c r="T56" s="185"/>
      <c r="U56" s="185"/>
      <c r="V56" s="186"/>
      <c r="W56" s="186"/>
      <c r="X56" s="186"/>
      <c r="Y56" s="204"/>
      <c r="Z56" s="253">
        <f>Z57</f>
        <v>345000</v>
      </c>
      <c r="AA56" s="253">
        <f>AA57</f>
        <v>0</v>
      </c>
      <c r="AB56" s="253">
        <f>AB57</f>
        <v>0</v>
      </c>
      <c r="AC56" s="190"/>
      <c r="AD56" s="503"/>
    </row>
    <row r="57" spans="1:30" ht="51.75" customHeight="1" x14ac:dyDescent="0.3">
      <c r="A57" s="403" t="s">
        <v>902</v>
      </c>
      <c r="B57" s="185" t="s">
        <v>15</v>
      </c>
      <c r="C57" s="185" t="s">
        <v>122</v>
      </c>
      <c r="D57" s="185" t="s">
        <v>130</v>
      </c>
      <c r="E57" s="276" t="s">
        <v>899</v>
      </c>
      <c r="F57" s="185"/>
      <c r="G57" s="185"/>
      <c r="H57" s="185"/>
      <c r="I57" s="185"/>
      <c r="J57" s="185"/>
      <c r="K57" s="185"/>
      <c r="L57" s="185"/>
      <c r="M57" s="185"/>
      <c r="N57" s="185"/>
      <c r="O57" s="185"/>
      <c r="P57" s="185"/>
      <c r="Q57" s="185"/>
      <c r="R57" s="185"/>
      <c r="S57" s="185"/>
      <c r="T57" s="185" t="s">
        <v>290</v>
      </c>
      <c r="U57" s="185"/>
      <c r="V57" s="186"/>
      <c r="W57" s="186"/>
      <c r="X57" s="186"/>
      <c r="Y57" s="204"/>
      <c r="Z57" s="253">
        <f>360000-15000</f>
        <v>345000</v>
      </c>
      <c r="AA57" s="253">
        <v>0</v>
      </c>
      <c r="AB57" s="253">
        <v>0</v>
      </c>
      <c r="AC57" s="190"/>
      <c r="AD57" s="503"/>
    </row>
    <row r="58" spans="1:30" ht="127.5" customHeight="1" x14ac:dyDescent="0.3">
      <c r="A58" s="405" t="s">
        <v>846</v>
      </c>
      <c r="B58" s="276" t="s">
        <v>15</v>
      </c>
      <c r="C58" s="276" t="s">
        <v>122</v>
      </c>
      <c r="D58" s="276" t="s">
        <v>130</v>
      </c>
      <c r="E58" s="276" t="s">
        <v>649</v>
      </c>
      <c r="F58" s="276"/>
      <c r="G58" s="276"/>
      <c r="H58" s="276"/>
      <c r="I58" s="276"/>
      <c r="J58" s="276"/>
      <c r="K58" s="276"/>
      <c r="L58" s="276"/>
      <c r="M58" s="276"/>
      <c r="N58" s="276"/>
      <c r="O58" s="276"/>
      <c r="P58" s="276"/>
      <c r="Q58" s="276"/>
      <c r="R58" s="276"/>
      <c r="S58" s="276"/>
      <c r="T58" s="276"/>
      <c r="U58" s="208"/>
      <c r="V58" s="250"/>
      <c r="W58" s="250"/>
      <c r="X58" s="250"/>
      <c r="Y58" s="205" t="s">
        <v>232</v>
      </c>
      <c r="Z58" s="280">
        <f>Z59+Z60</f>
        <v>584381.05000000005</v>
      </c>
      <c r="AA58" s="280">
        <f>AA59+AA60</f>
        <v>584400</v>
      </c>
      <c r="AB58" s="280">
        <f>AB59+AB60</f>
        <v>584400</v>
      </c>
      <c r="AC58" s="509" t="s">
        <v>232</v>
      </c>
      <c r="AD58" s="503"/>
    </row>
    <row r="59" spans="1:30" ht="66" customHeight="1" x14ac:dyDescent="0.3">
      <c r="A59" s="403" t="s">
        <v>850</v>
      </c>
      <c r="B59" s="188" t="s">
        <v>15</v>
      </c>
      <c r="C59" s="188" t="s">
        <v>122</v>
      </c>
      <c r="D59" s="188" t="s">
        <v>130</v>
      </c>
      <c r="E59" s="276" t="s">
        <v>649</v>
      </c>
      <c r="F59" s="188"/>
      <c r="G59" s="188"/>
      <c r="H59" s="188"/>
      <c r="I59" s="188"/>
      <c r="J59" s="188"/>
      <c r="K59" s="188"/>
      <c r="L59" s="188"/>
      <c r="M59" s="188"/>
      <c r="N59" s="188"/>
      <c r="O59" s="188"/>
      <c r="P59" s="188"/>
      <c r="Q59" s="188"/>
      <c r="R59" s="188"/>
      <c r="S59" s="188"/>
      <c r="T59" s="188" t="s">
        <v>38</v>
      </c>
      <c r="U59" s="185"/>
      <c r="V59" s="186"/>
      <c r="W59" s="186"/>
      <c r="X59" s="186"/>
      <c r="Y59" s="204" t="s">
        <v>310</v>
      </c>
      <c r="Z59" s="253">
        <f>538300-18.95-6600</f>
        <v>531681.05000000005</v>
      </c>
      <c r="AA59" s="253">
        <v>538300</v>
      </c>
      <c r="AB59" s="253">
        <v>538300</v>
      </c>
      <c r="AC59" s="190" t="s">
        <v>310</v>
      </c>
      <c r="AD59" s="503"/>
    </row>
    <row r="60" spans="1:30" ht="34.5" customHeight="1" x14ac:dyDescent="0.3">
      <c r="A60" s="403" t="s">
        <v>611</v>
      </c>
      <c r="B60" s="188" t="s">
        <v>15</v>
      </c>
      <c r="C60" s="188" t="s">
        <v>122</v>
      </c>
      <c r="D60" s="188" t="s">
        <v>130</v>
      </c>
      <c r="E60" s="276" t="s">
        <v>649</v>
      </c>
      <c r="F60" s="188"/>
      <c r="G60" s="188"/>
      <c r="H60" s="188"/>
      <c r="I60" s="188"/>
      <c r="J60" s="188"/>
      <c r="K60" s="188"/>
      <c r="L60" s="188"/>
      <c r="M60" s="188"/>
      <c r="N60" s="188"/>
      <c r="O60" s="188"/>
      <c r="P60" s="188"/>
      <c r="Q60" s="188"/>
      <c r="R60" s="188"/>
      <c r="S60" s="188"/>
      <c r="T60" s="188" t="s">
        <v>290</v>
      </c>
      <c r="U60" s="185"/>
      <c r="V60" s="186"/>
      <c r="W60" s="186"/>
      <c r="X60" s="186"/>
      <c r="Y60" s="204" t="s">
        <v>311</v>
      </c>
      <c r="Z60" s="253">
        <f>46100+6600</f>
        <v>52700</v>
      </c>
      <c r="AA60" s="253">
        <v>46100</v>
      </c>
      <c r="AB60" s="253">
        <v>46100</v>
      </c>
      <c r="AC60" s="190" t="s">
        <v>311</v>
      </c>
      <c r="AD60" s="503"/>
    </row>
    <row r="61" spans="1:30" ht="64.5" customHeight="1" x14ac:dyDescent="0.3">
      <c r="A61" s="405" t="s">
        <v>932</v>
      </c>
      <c r="B61" s="188" t="s">
        <v>15</v>
      </c>
      <c r="C61" s="188" t="s">
        <v>122</v>
      </c>
      <c r="D61" s="188" t="s">
        <v>130</v>
      </c>
      <c r="E61" s="276" t="s">
        <v>925</v>
      </c>
      <c r="F61" s="188"/>
      <c r="G61" s="188"/>
      <c r="H61" s="188"/>
      <c r="I61" s="188"/>
      <c r="J61" s="188"/>
      <c r="K61" s="188"/>
      <c r="L61" s="188"/>
      <c r="M61" s="188"/>
      <c r="N61" s="188"/>
      <c r="O61" s="188"/>
      <c r="P61" s="188"/>
      <c r="Q61" s="188"/>
      <c r="R61" s="188"/>
      <c r="S61" s="188"/>
      <c r="T61" s="188"/>
      <c r="U61" s="185"/>
      <c r="V61" s="186"/>
      <c r="W61" s="186"/>
      <c r="X61" s="186"/>
      <c r="Y61" s="204"/>
      <c r="Z61" s="253">
        <f>Z62</f>
        <v>147308.13</v>
      </c>
      <c r="AA61" s="253">
        <v>0</v>
      </c>
      <c r="AB61" s="253">
        <v>0</v>
      </c>
      <c r="AC61" s="190"/>
      <c r="AD61" s="503"/>
    </row>
    <row r="62" spans="1:30" ht="34.5" customHeight="1" x14ac:dyDescent="0.3">
      <c r="A62" s="403" t="s">
        <v>924</v>
      </c>
      <c r="B62" s="188" t="s">
        <v>15</v>
      </c>
      <c r="C62" s="188" t="s">
        <v>122</v>
      </c>
      <c r="D62" s="188" t="s">
        <v>130</v>
      </c>
      <c r="E62" s="276" t="s">
        <v>925</v>
      </c>
      <c r="F62" s="188"/>
      <c r="G62" s="188"/>
      <c r="H62" s="188"/>
      <c r="I62" s="188"/>
      <c r="J62" s="188"/>
      <c r="K62" s="188"/>
      <c r="L62" s="188"/>
      <c r="M62" s="188"/>
      <c r="N62" s="188"/>
      <c r="O62" s="188"/>
      <c r="P62" s="188"/>
      <c r="Q62" s="188"/>
      <c r="R62" s="188"/>
      <c r="S62" s="188"/>
      <c r="T62" s="188" t="s">
        <v>290</v>
      </c>
      <c r="U62" s="185"/>
      <c r="V62" s="186"/>
      <c r="W62" s="186"/>
      <c r="X62" s="186"/>
      <c r="Y62" s="204"/>
      <c r="Z62" s="253">
        <f>120308.13+27000</f>
        <v>147308.13</v>
      </c>
      <c r="AA62" s="253">
        <v>0</v>
      </c>
      <c r="AB62" s="253">
        <v>0</v>
      </c>
      <c r="AC62" s="190"/>
      <c r="AD62" s="503"/>
    </row>
    <row r="63" spans="1:30" ht="39" customHeight="1" x14ac:dyDescent="0.3">
      <c r="A63" s="407" t="s">
        <v>762</v>
      </c>
      <c r="B63" s="188" t="s">
        <v>15</v>
      </c>
      <c r="C63" s="188" t="s">
        <v>122</v>
      </c>
      <c r="D63" s="188" t="s">
        <v>130</v>
      </c>
      <c r="E63" s="276" t="s">
        <v>763</v>
      </c>
      <c r="F63" s="188"/>
      <c r="G63" s="188"/>
      <c r="H63" s="188"/>
      <c r="I63" s="188"/>
      <c r="J63" s="188"/>
      <c r="K63" s="188"/>
      <c r="L63" s="188"/>
      <c r="M63" s="188"/>
      <c r="N63" s="188"/>
      <c r="O63" s="188"/>
      <c r="P63" s="188"/>
      <c r="Q63" s="188"/>
      <c r="R63" s="188"/>
      <c r="S63" s="188"/>
      <c r="T63" s="188"/>
      <c r="U63" s="185"/>
      <c r="V63" s="186"/>
      <c r="W63" s="186"/>
      <c r="X63" s="186"/>
      <c r="Y63" s="204"/>
      <c r="Z63" s="253">
        <f>Z64</f>
        <v>1300000</v>
      </c>
      <c r="AA63" s="253">
        <f>AA64</f>
        <v>0</v>
      </c>
      <c r="AB63" s="253">
        <f>AB64</f>
        <v>0</v>
      </c>
      <c r="AC63" s="190"/>
      <c r="AD63" s="503"/>
    </row>
    <row r="64" spans="1:30" ht="37.5" customHeight="1" x14ac:dyDescent="0.3">
      <c r="A64" s="407" t="s">
        <v>764</v>
      </c>
      <c r="B64" s="188" t="s">
        <v>15</v>
      </c>
      <c r="C64" s="188" t="s">
        <v>122</v>
      </c>
      <c r="D64" s="188" t="s">
        <v>130</v>
      </c>
      <c r="E64" s="276" t="s">
        <v>763</v>
      </c>
      <c r="F64" s="188"/>
      <c r="G64" s="188"/>
      <c r="H64" s="188"/>
      <c r="I64" s="188"/>
      <c r="J64" s="188"/>
      <c r="K64" s="188"/>
      <c r="L64" s="188"/>
      <c r="M64" s="188"/>
      <c r="N64" s="188"/>
      <c r="O64" s="188"/>
      <c r="P64" s="188"/>
      <c r="Q64" s="188"/>
      <c r="R64" s="188"/>
      <c r="S64" s="188"/>
      <c r="T64" s="188" t="s">
        <v>366</v>
      </c>
      <c r="U64" s="185"/>
      <c r="V64" s="186"/>
      <c r="W64" s="186"/>
      <c r="X64" s="186"/>
      <c r="Y64" s="204"/>
      <c r="Z64" s="253">
        <v>1300000</v>
      </c>
      <c r="AA64" s="253">
        <v>0</v>
      </c>
      <c r="AB64" s="253">
        <v>0</v>
      </c>
      <c r="AC64" s="190"/>
      <c r="AD64" s="503"/>
    </row>
    <row r="65" spans="1:30" ht="36" customHeight="1" x14ac:dyDescent="0.3">
      <c r="A65" s="415" t="s">
        <v>312</v>
      </c>
      <c r="B65" s="207" t="s">
        <v>15</v>
      </c>
      <c r="C65" s="207" t="s">
        <v>123</v>
      </c>
      <c r="D65" s="207" t="s">
        <v>133</v>
      </c>
      <c r="E65" s="207"/>
      <c r="F65" s="207"/>
      <c r="G65" s="207"/>
      <c r="H65" s="207"/>
      <c r="I65" s="207"/>
      <c r="J65" s="207"/>
      <c r="K65" s="207"/>
      <c r="L65" s="207"/>
      <c r="M65" s="207"/>
      <c r="N65" s="207"/>
      <c r="O65" s="207"/>
      <c r="P65" s="207"/>
      <c r="Q65" s="207"/>
      <c r="R65" s="207"/>
      <c r="S65" s="207"/>
      <c r="T65" s="207"/>
      <c r="U65" s="207"/>
      <c r="V65" s="254"/>
      <c r="W65" s="254"/>
      <c r="X65" s="254"/>
      <c r="Y65" s="206" t="s">
        <v>312</v>
      </c>
      <c r="Z65" s="255">
        <f>Z66+Z75</f>
        <v>6149434.4300000006</v>
      </c>
      <c r="AA65" s="255">
        <f>AA66+AA75</f>
        <v>1314402.1099999999</v>
      </c>
      <c r="AB65" s="255">
        <f>AB66+AB75</f>
        <v>1500000</v>
      </c>
      <c r="AC65" s="502" t="s">
        <v>312</v>
      </c>
      <c r="AD65" s="503"/>
    </row>
    <row r="66" spans="1:30" ht="33.75" customHeight="1" x14ac:dyDescent="0.3">
      <c r="A66" s="415" t="s">
        <v>252</v>
      </c>
      <c r="B66" s="207" t="s">
        <v>15</v>
      </c>
      <c r="C66" s="207" t="s">
        <v>123</v>
      </c>
      <c r="D66" s="207" t="s">
        <v>127</v>
      </c>
      <c r="E66" s="207"/>
      <c r="F66" s="207"/>
      <c r="G66" s="207"/>
      <c r="H66" s="207"/>
      <c r="I66" s="207"/>
      <c r="J66" s="207"/>
      <c r="K66" s="207"/>
      <c r="L66" s="207"/>
      <c r="M66" s="207"/>
      <c r="N66" s="207"/>
      <c r="O66" s="207"/>
      <c r="P66" s="207"/>
      <c r="Q66" s="207"/>
      <c r="R66" s="207"/>
      <c r="S66" s="207"/>
      <c r="T66" s="207"/>
      <c r="U66" s="207"/>
      <c r="V66" s="254"/>
      <c r="W66" s="254"/>
      <c r="X66" s="254"/>
      <c r="Y66" s="206" t="s">
        <v>252</v>
      </c>
      <c r="Z66" s="255">
        <f>Z67+Z71+Z73+Z69</f>
        <v>5935032.3200000003</v>
      </c>
      <c r="AA66" s="255">
        <f>AA67+AA71+AA73+AA69</f>
        <v>1100000</v>
      </c>
      <c r="AB66" s="255">
        <f>AB67+AB71+AB73+AB69</f>
        <v>1200000</v>
      </c>
      <c r="AC66" s="502" t="s">
        <v>252</v>
      </c>
      <c r="AD66" s="503"/>
    </row>
    <row r="67" spans="1:30" ht="145.5" customHeight="1" x14ac:dyDescent="0.3">
      <c r="A67" s="402" t="s">
        <v>963</v>
      </c>
      <c r="B67" s="208" t="s">
        <v>15</v>
      </c>
      <c r="C67" s="208" t="s">
        <v>123</v>
      </c>
      <c r="D67" s="208" t="s">
        <v>127</v>
      </c>
      <c r="E67" s="276" t="s">
        <v>577</v>
      </c>
      <c r="F67" s="208"/>
      <c r="G67" s="208"/>
      <c r="H67" s="208"/>
      <c r="I67" s="208"/>
      <c r="J67" s="208"/>
      <c r="K67" s="208"/>
      <c r="L67" s="208"/>
      <c r="M67" s="208"/>
      <c r="N67" s="208"/>
      <c r="O67" s="208"/>
      <c r="P67" s="208"/>
      <c r="Q67" s="208"/>
      <c r="R67" s="208"/>
      <c r="S67" s="208"/>
      <c r="T67" s="208"/>
      <c r="U67" s="208"/>
      <c r="V67" s="250"/>
      <c r="W67" s="250"/>
      <c r="X67" s="250"/>
      <c r="Y67" s="203" t="s">
        <v>313</v>
      </c>
      <c r="Z67" s="280">
        <f>Z68</f>
        <v>5138667.82</v>
      </c>
      <c r="AA67" s="280">
        <f>AA68</f>
        <v>200000</v>
      </c>
      <c r="AB67" s="280">
        <f>AB68</f>
        <v>300000</v>
      </c>
      <c r="AC67" s="350" t="s">
        <v>313</v>
      </c>
      <c r="AD67" s="503"/>
    </row>
    <row r="68" spans="1:30" ht="66.75" customHeight="1" x14ac:dyDescent="0.3">
      <c r="A68" s="400" t="s">
        <v>314</v>
      </c>
      <c r="B68" s="185" t="s">
        <v>15</v>
      </c>
      <c r="C68" s="185" t="s">
        <v>123</v>
      </c>
      <c r="D68" s="185" t="s">
        <v>127</v>
      </c>
      <c r="E68" s="276" t="s">
        <v>577</v>
      </c>
      <c r="F68" s="185"/>
      <c r="G68" s="185"/>
      <c r="H68" s="185"/>
      <c r="I68" s="185"/>
      <c r="J68" s="185"/>
      <c r="K68" s="185"/>
      <c r="L68" s="185"/>
      <c r="M68" s="185"/>
      <c r="N68" s="185"/>
      <c r="O68" s="185"/>
      <c r="P68" s="185"/>
      <c r="Q68" s="185"/>
      <c r="R68" s="185"/>
      <c r="S68" s="185"/>
      <c r="T68" s="185" t="s">
        <v>290</v>
      </c>
      <c r="U68" s="185"/>
      <c r="V68" s="186"/>
      <c r="W68" s="186"/>
      <c r="X68" s="186"/>
      <c r="Y68" s="184" t="s">
        <v>314</v>
      </c>
      <c r="Z68" s="253">
        <f>265000-162500+40000-3832.18+5000000</f>
        <v>5138667.82</v>
      </c>
      <c r="AA68" s="253">
        <v>200000</v>
      </c>
      <c r="AB68" s="253">
        <v>300000</v>
      </c>
      <c r="AC68" s="504" t="s">
        <v>314</v>
      </c>
      <c r="AD68" s="503"/>
    </row>
    <row r="69" spans="1:30" ht="130.5" customHeight="1" x14ac:dyDescent="0.3">
      <c r="A69" s="402" t="s">
        <v>968</v>
      </c>
      <c r="B69" s="185" t="s">
        <v>15</v>
      </c>
      <c r="C69" s="185" t="s">
        <v>123</v>
      </c>
      <c r="D69" s="185" t="s">
        <v>127</v>
      </c>
      <c r="E69" s="276" t="s">
        <v>943</v>
      </c>
      <c r="F69" s="185"/>
      <c r="G69" s="185"/>
      <c r="H69" s="185"/>
      <c r="I69" s="185"/>
      <c r="J69" s="185"/>
      <c r="K69" s="185"/>
      <c r="L69" s="185"/>
      <c r="M69" s="185"/>
      <c r="N69" s="185"/>
      <c r="O69" s="185"/>
      <c r="P69" s="185"/>
      <c r="Q69" s="185"/>
      <c r="R69" s="185"/>
      <c r="S69" s="185"/>
      <c r="T69" s="185"/>
      <c r="U69" s="185"/>
      <c r="V69" s="186"/>
      <c r="W69" s="186"/>
      <c r="X69" s="186"/>
      <c r="Y69" s="184"/>
      <c r="Z69" s="253">
        <f>Z70</f>
        <v>350000</v>
      </c>
      <c r="AA69" s="253">
        <f>AA70</f>
        <v>400000</v>
      </c>
      <c r="AB69" s="253">
        <f>AB70</f>
        <v>400000</v>
      </c>
      <c r="AC69" s="504"/>
      <c r="AD69" s="503"/>
    </row>
    <row r="70" spans="1:30" ht="66.75" customHeight="1" x14ac:dyDescent="0.3">
      <c r="A70" s="400" t="s">
        <v>942</v>
      </c>
      <c r="B70" s="185" t="s">
        <v>15</v>
      </c>
      <c r="C70" s="185" t="s">
        <v>123</v>
      </c>
      <c r="D70" s="185" t="s">
        <v>127</v>
      </c>
      <c r="E70" s="276" t="s">
        <v>943</v>
      </c>
      <c r="F70" s="185"/>
      <c r="G70" s="185"/>
      <c r="H70" s="185"/>
      <c r="I70" s="185"/>
      <c r="J70" s="185"/>
      <c r="K70" s="185"/>
      <c r="L70" s="185"/>
      <c r="M70" s="185"/>
      <c r="N70" s="185"/>
      <c r="O70" s="185"/>
      <c r="P70" s="185"/>
      <c r="Q70" s="185"/>
      <c r="R70" s="185"/>
      <c r="S70" s="185"/>
      <c r="T70" s="185" t="s">
        <v>290</v>
      </c>
      <c r="U70" s="185"/>
      <c r="V70" s="186"/>
      <c r="W70" s="186"/>
      <c r="X70" s="186"/>
      <c r="Y70" s="184"/>
      <c r="Z70" s="253">
        <v>350000</v>
      </c>
      <c r="AA70" s="253">
        <v>400000</v>
      </c>
      <c r="AB70" s="253">
        <v>400000</v>
      </c>
      <c r="AC70" s="504"/>
      <c r="AD70" s="503"/>
    </row>
    <row r="71" spans="1:30" ht="100.5" customHeight="1" x14ac:dyDescent="0.3">
      <c r="A71" s="402" t="s">
        <v>661</v>
      </c>
      <c r="B71" s="208" t="s">
        <v>15</v>
      </c>
      <c r="C71" s="208" t="s">
        <v>123</v>
      </c>
      <c r="D71" s="208" t="s">
        <v>127</v>
      </c>
      <c r="E71" s="276" t="s">
        <v>578</v>
      </c>
      <c r="F71" s="208"/>
      <c r="G71" s="208"/>
      <c r="H71" s="208"/>
      <c r="I71" s="208"/>
      <c r="J71" s="208"/>
      <c r="K71" s="208"/>
      <c r="L71" s="208"/>
      <c r="M71" s="208"/>
      <c r="N71" s="208"/>
      <c r="O71" s="208"/>
      <c r="P71" s="208"/>
      <c r="Q71" s="208"/>
      <c r="R71" s="208"/>
      <c r="S71" s="208"/>
      <c r="T71" s="208"/>
      <c r="U71" s="208"/>
      <c r="V71" s="250"/>
      <c r="W71" s="250"/>
      <c r="X71" s="250"/>
      <c r="Y71" s="203" t="s">
        <v>315</v>
      </c>
      <c r="Z71" s="280">
        <f>Z72</f>
        <v>446364.5</v>
      </c>
      <c r="AA71" s="280">
        <f>AA72</f>
        <v>500000</v>
      </c>
      <c r="AB71" s="280">
        <f>AB72</f>
        <v>500000</v>
      </c>
      <c r="AC71" s="350" t="s">
        <v>315</v>
      </c>
      <c r="AD71" s="503"/>
    </row>
    <row r="72" spans="1:30" ht="52.5" customHeight="1" x14ac:dyDescent="0.3">
      <c r="A72" s="400" t="s">
        <v>316</v>
      </c>
      <c r="B72" s="185" t="s">
        <v>15</v>
      </c>
      <c r="C72" s="185" t="s">
        <v>123</v>
      </c>
      <c r="D72" s="185" t="s">
        <v>127</v>
      </c>
      <c r="E72" s="276" t="s">
        <v>578</v>
      </c>
      <c r="F72" s="185"/>
      <c r="G72" s="185"/>
      <c r="H72" s="185"/>
      <c r="I72" s="185"/>
      <c r="J72" s="185"/>
      <c r="K72" s="185"/>
      <c r="L72" s="185"/>
      <c r="M72" s="185"/>
      <c r="N72" s="185"/>
      <c r="O72" s="185"/>
      <c r="P72" s="185"/>
      <c r="Q72" s="185"/>
      <c r="R72" s="185"/>
      <c r="S72" s="185"/>
      <c r="T72" s="185" t="s">
        <v>290</v>
      </c>
      <c r="U72" s="185"/>
      <c r="V72" s="186"/>
      <c r="W72" s="186"/>
      <c r="X72" s="186"/>
      <c r="Y72" s="184" t="s">
        <v>316</v>
      </c>
      <c r="Z72" s="253">
        <f>270531.04+191968.96-13428.17-80000+85000+44140-51847.33</f>
        <v>446364.5</v>
      </c>
      <c r="AA72" s="253">
        <v>500000</v>
      </c>
      <c r="AB72" s="253">
        <v>500000</v>
      </c>
      <c r="AC72" s="504" t="s">
        <v>316</v>
      </c>
      <c r="AD72" s="503"/>
    </row>
    <row r="73" spans="1:30" ht="213" hidden="1" customHeight="1" x14ac:dyDescent="0.3">
      <c r="A73" s="405" t="s">
        <v>242</v>
      </c>
      <c r="B73" s="208" t="s">
        <v>15</v>
      </c>
      <c r="C73" s="208" t="s">
        <v>123</v>
      </c>
      <c r="D73" s="208" t="s">
        <v>127</v>
      </c>
      <c r="E73" s="276" t="s">
        <v>579</v>
      </c>
      <c r="F73" s="208"/>
      <c r="G73" s="208"/>
      <c r="H73" s="208"/>
      <c r="I73" s="208"/>
      <c r="J73" s="208"/>
      <c r="K73" s="208"/>
      <c r="L73" s="208"/>
      <c r="M73" s="208"/>
      <c r="N73" s="208"/>
      <c r="O73" s="208"/>
      <c r="P73" s="208"/>
      <c r="Q73" s="208"/>
      <c r="R73" s="208"/>
      <c r="S73" s="208"/>
      <c r="T73" s="208"/>
      <c r="U73" s="208"/>
      <c r="V73" s="250"/>
      <c r="W73" s="250"/>
      <c r="X73" s="250"/>
      <c r="Y73" s="205" t="s">
        <v>242</v>
      </c>
      <c r="Z73" s="280">
        <f>Z74</f>
        <v>0</v>
      </c>
      <c r="AA73" s="280">
        <f>AA74</f>
        <v>0</v>
      </c>
      <c r="AB73" s="280">
        <f>AB74</f>
        <v>0</v>
      </c>
      <c r="AC73" s="509" t="s">
        <v>242</v>
      </c>
      <c r="AD73" s="503"/>
    </row>
    <row r="74" spans="1:30" ht="267" hidden="1" customHeight="1" x14ac:dyDescent="0.3">
      <c r="A74" s="403" t="s">
        <v>317</v>
      </c>
      <c r="B74" s="185" t="s">
        <v>15</v>
      </c>
      <c r="C74" s="185" t="s">
        <v>123</v>
      </c>
      <c r="D74" s="185" t="s">
        <v>127</v>
      </c>
      <c r="E74" s="276" t="s">
        <v>579</v>
      </c>
      <c r="F74" s="185"/>
      <c r="G74" s="185"/>
      <c r="H74" s="185"/>
      <c r="I74" s="185"/>
      <c r="J74" s="185"/>
      <c r="K74" s="185"/>
      <c r="L74" s="185"/>
      <c r="M74" s="185"/>
      <c r="N74" s="185"/>
      <c r="O74" s="185"/>
      <c r="P74" s="185"/>
      <c r="Q74" s="185"/>
      <c r="R74" s="185"/>
      <c r="S74" s="185"/>
      <c r="T74" s="185" t="s">
        <v>290</v>
      </c>
      <c r="U74" s="185"/>
      <c r="V74" s="186"/>
      <c r="W74" s="186"/>
      <c r="X74" s="186"/>
      <c r="Y74" s="204" t="s">
        <v>317</v>
      </c>
      <c r="Z74" s="253">
        <f>12000+238000+100000-350000</f>
        <v>0</v>
      </c>
      <c r="AA74" s="253">
        <f>400000-400000</f>
        <v>0</v>
      </c>
      <c r="AB74" s="253">
        <f>400000-400000</f>
        <v>0</v>
      </c>
      <c r="AC74" s="190" t="s">
        <v>317</v>
      </c>
      <c r="AD74" s="503"/>
    </row>
    <row r="75" spans="1:30" ht="19.5" customHeight="1" x14ac:dyDescent="0.3">
      <c r="A75" s="435" t="s">
        <v>144</v>
      </c>
      <c r="B75" s="187" t="s">
        <v>15</v>
      </c>
      <c r="C75" s="187" t="s">
        <v>123</v>
      </c>
      <c r="D75" s="187" t="s">
        <v>143</v>
      </c>
      <c r="E75" s="188"/>
      <c r="F75" s="188"/>
      <c r="G75" s="188"/>
      <c r="H75" s="188"/>
      <c r="I75" s="188"/>
      <c r="J75" s="188"/>
      <c r="K75" s="188"/>
      <c r="L75" s="188"/>
      <c r="M75" s="188"/>
      <c r="N75" s="188"/>
      <c r="O75" s="188"/>
      <c r="P75" s="188"/>
      <c r="Q75" s="188"/>
      <c r="R75" s="188"/>
      <c r="S75" s="188"/>
      <c r="T75" s="188"/>
      <c r="U75" s="188"/>
      <c r="V75" s="189"/>
      <c r="W75" s="189"/>
      <c r="X75" s="189"/>
      <c r="Y75" s="190"/>
      <c r="Z75" s="214">
        <f t="shared" ref="Z75:AB76" si="9">Z76</f>
        <v>214402.11</v>
      </c>
      <c r="AA75" s="215">
        <f t="shared" si="9"/>
        <v>214402.11</v>
      </c>
      <c r="AB75" s="255">
        <f t="shared" si="9"/>
        <v>300000</v>
      </c>
      <c r="AC75" s="190"/>
      <c r="AD75" s="503"/>
    </row>
    <row r="76" spans="1:30" ht="68.25" customHeight="1" x14ac:dyDescent="0.3">
      <c r="A76" s="405" t="s">
        <v>580</v>
      </c>
      <c r="B76" s="188" t="s">
        <v>15</v>
      </c>
      <c r="C76" s="188" t="s">
        <v>123</v>
      </c>
      <c r="D76" s="188" t="s">
        <v>143</v>
      </c>
      <c r="E76" s="276" t="s">
        <v>581</v>
      </c>
      <c r="F76" s="188"/>
      <c r="G76" s="188"/>
      <c r="H76" s="188"/>
      <c r="I76" s="188"/>
      <c r="J76" s="188"/>
      <c r="K76" s="188"/>
      <c r="L76" s="188"/>
      <c r="M76" s="188"/>
      <c r="N76" s="188"/>
      <c r="O76" s="188"/>
      <c r="P76" s="188"/>
      <c r="Q76" s="188"/>
      <c r="R76" s="188"/>
      <c r="S76" s="188"/>
      <c r="T76" s="188"/>
      <c r="U76" s="188"/>
      <c r="V76" s="189"/>
      <c r="W76" s="189"/>
      <c r="X76" s="189"/>
      <c r="Y76" s="190"/>
      <c r="Z76" s="191">
        <f t="shared" si="9"/>
        <v>214402.11</v>
      </c>
      <c r="AA76" s="192">
        <f t="shared" si="9"/>
        <v>214402.11</v>
      </c>
      <c r="AB76" s="253">
        <f t="shared" si="9"/>
        <v>300000</v>
      </c>
      <c r="AC76" s="190"/>
      <c r="AD76" s="503"/>
    </row>
    <row r="77" spans="1:30" ht="52.5" customHeight="1" x14ac:dyDescent="0.3">
      <c r="A77" s="403" t="s">
        <v>876</v>
      </c>
      <c r="B77" s="188" t="s">
        <v>15</v>
      </c>
      <c r="C77" s="188" t="s">
        <v>123</v>
      </c>
      <c r="D77" s="188" t="s">
        <v>143</v>
      </c>
      <c r="E77" s="276" t="s">
        <v>581</v>
      </c>
      <c r="F77" s="188"/>
      <c r="G77" s="188"/>
      <c r="H77" s="188"/>
      <c r="I77" s="188"/>
      <c r="J77" s="188"/>
      <c r="K77" s="188"/>
      <c r="L77" s="188"/>
      <c r="M77" s="188"/>
      <c r="N77" s="188"/>
      <c r="O77" s="188"/>
      <c r="P77" s="188"/>
      <c r="Q77" s="188"/>
      <c r="R77" s="188"/>
      <c r="S77" s="188"/>
      <c r="T77" s="188" t="s">
        <v>290</v>
      </c>
      <c r="U77" s="188"/>
      <c r="V77" s="189"/>
      <c r="W77" s="189"/>
      <c r="X77" s="189"/>
      <c r="Y77" s="190"/>
      <c r="Z77" s="191">
        <f>72200+2000+140202.11</f>
        <v>214402.11</v>
      </c>
      <c r="AA77" s="192">
        <f>72200+2000+140202.11</f>
        <v>214402.11</v>
      </c>
      <c r="AB77" s="253">
        <v>300000</v>
      </c>
      <c r="AC77" s="190"/>
      <c r="AD77" s="503"/>
    </row>
    <row r="78" spans="1:30" ht="18.600000000000001" customHeight="1" x14ac:dyDescent="0.3">
      <c r="A78" s="415" t="s">
        <v>318</v>
      </c>
      <c r="B78" s="207" t="s">
        <v>15</v>
      </c>
      <c r="C78" s="207" t="s">
        <v>136</v>
      </c>
      <c r="D78" s="207" t="s">
        <v>133</v>
      </c>
      <c r="E78" s="207"/>
      <c r="F78" s="207"/>
      <c r="G78" s="207"/>
      <c r="H78" s="207"/>
      <c r="I78" s="207"/>
      <c r="J78" s="207"/>
      <c r="K78" s="207"/>
      <c r="L78" s="207"/>
      <c r="M78" s="207"/>
      <c r="N78" s="207"/>
      <c r="O78" s="207"/>
      <c r="P78" s="207"/>
      <c r="Q78" s="207"/>
      <c r="R78" s="207"/>
      <c r="S78" s="207"/>
      <c r="T78" s="207"/>
      <c r="U78" s="207"/>
      <c r="V78" s="254"/>
      <c r="W78" s="254"/>
      <c r="X78" s="254"/>
      <c r="Y78" s="206" t="s">
        <v>318</v>
      </c>
      <c r="Z78" s="255">
        <f>Z79+Z104+Z111+Z134+Z141</f>
        <v>35225659.640000001</v>
      </c>
      <c r="AA78" s="255">
        <f>AA79+AA104+AA111+AA134+AA141</f>
        <v>33890822.379999995</v>
      </c>
      <c r="AB78" s="255">
        <f>AB79+AB104+AB111+AB134+AB141</f>
        <v>34662463.450000003</v>
      </c>
      <c r="AC78" s="502" t="s">
        <v>318</v>
      </c>
      <c r="AD78" s="503"/>
    </row>
    <row r="79" spans="1:30" ht="19.5" customHeight="1" x14ac:dyDescent="0.3">
      <c r="A79" s="415" t="s">
        <v>147</v>
      </c>
      <c r="B79" s="207" t="s">
        <v>15</v>
      </c>
      <c r="C79" s="207" t="s">
        <v>136</v>
      </c>
      <c r="D79" s="207" t="s">
        <v>124</v>
      </c>
      <c r="E79" s="207"/>
      <c r="F79" s="207"/>
      <c r="G79" s="207"/>
      <c r="H79" s="207"/>
      <c r="I79" s="207"/>
      <c r="J79" s="207"/>
      <c r="K79" s="207"/>
      <c r="L79" s="207"/>
      <c r="M79" s="207"/>
      <c r="N79" s="207"/>
      <c r="O79" s="207"/>
      <c r="P79" s="207"/>
      <c r="Q79" s="207"/>
      <c r="R79" s="207"/>
      <c r="S79" s="207"/>
      <c r="T79" s="207"/>
      <c r="U79" s="207"/>
      <c r="V79" s="254"/>
      <c r="W79" s="254"/>
      <c r="X79" s="254"/>
      <c r="Y79" s="206" t="s">
        <v>147</v>
      </c>
      <c r="Z79" s="255">
        <f>Z80+Z82+Z84+Z86+Z92+Z94+Z98+Z100+Z102+Z90+Z88+Z96</f>
        <v>222462.97</v>
      </c>
      <c r="AA79" s="255">
        <f t="shared" ref="AA79:AB79" si="10">AA80+AA82+AA84+AA86+AA92+AA94+AA98+AA100+AA102+AA90+AA88+AA96</f>
        <v>671900</v>
      </c>
      <c r="AB79" s="255">
        <f t="shared" si="10"/>
        <v>671900</v>
      </c>
      <c r="AC79" s="502" t="s">
        <v>147</v>
      </c>
      <c r="AD79" s="503"/>
    </row>
    <row r="80" spans="1:30" ht="84" customHeight="1" x14ac:dyDescent="0.3">
      <c r="A80" s="402" t="s">
        <v>662</v>
      </c>
      <c r="B80" s="208" t="s">
        <v>15</v>
      </c>
      <c r="C80" s="208" t="s">
        <v>136</v>
      </c>
      <c r="D80" s="208" t="s">
        <v>124</v>
      </c>
      <c r="E80" s="276" t="s">
        <v>582</v>
      </c>
      <c r="F80" s="208"/>
      <c r="G80" s="208"/>
      <c r="H80" s="208"/>
      <c r="I80" s="208"/>
      <c r="J80" s="208"/>
      <c r="K80" s="208"/>
      <c r="L80" s="208"/>
      <c r="M80" s="208"/>
      <c r="N80" s="208"/>
      <c r="O80" s="208"/>
      <c r="P80" s="208"/>
      <c r="Q80" s="208"/>
      <c r="R80" s="208"/>
      <c r="S80" s="208"/>
      <c r="T80" s="208"/>
      <c r="U80" s="208"/>
      <c r="V80" s="250"/>
      <c r="W80" s="250"/>
      <c r="X80" s="250"/>
      <c r="Y80" s="203" t="s">
        <v>319</v>
      </c>
      <c r="Z80" s="280">
        <f>Z81</f>
        <v>0</v>
      </c>
      <c r="AA80" s="280">
        <f>AA81</f>
        <v>100000</v>
      </c>
      <c r="AB80" s="280">
        <f>AB81</f>
        <v>100000</v>
      </c>
      <c r="AC80" s="350" t="s">
        <v>319</v>
      </c>
      <c r="AD80" s="503"/>
    </row>
    <row r="81" spans="1:30" ht="66" customHeight="1" x14ac:dyDescent="0.3">
      <c r="A81" s="400" t="s">
        <v>320</v>
      </c>
      <c r="B81" s="185" t="s">
        <v>15</v>
      </c>
      <c r="C81" s="185" t="s">
        <v>136</v>
      </c>
      <c r="D81" s="185" t="s">
        <v>124</v>
      </c>
      <c r="E81" s="276" t="s">
        <v>582</v>
      </c>
      <c r="F81" s="185"/>
      <c r="G81" s="185"/>
      <c r="H81" s="185"/>
      <c r="I81" s="185"/>
      <c r="J81" s="185"/>
      <c r="K81" s="185"/>
      <c r="L81" s="185"/>
      <c r="M81" s="185"/>
      <c r="N81" s="185"/>
      <c r="O81" s="185"/>
      <c r="P81" s="185"/>
      <c r="Q81" s="185"/>
      <c r="R81" s="185"/>
      <c r="S81" s="185"/>
      <c r="T81" s="185" t="s">
        <v>290</v>
      </c>
      <c r="U81" s="185"/>
      <c r="V81" s="186"/>
      <c r="W81" s="186"/>
      <c r="X81" s="186"/>
      <c r="Y81" s="184" t="s">
        <v>320</v>
      </c>
      <c r="Z81" s="253">
        <f>73140-73140</f>
        <v>0</v>
      </c>
      <c r="AA81" s="253">
        <v>100000</v>
      </c>
      <c r="AB81" s="253">
        <v>100000</v>
      </c>
      <c r="AC81" s="504" t="s">
        <v>320</v>
      </c>
      <c r="AD81" s="503"/>
    </row>
    <row r="82" spans="1:30" ht="81" customHeight="1" x14ac:dyDescent="0.3">
      <c r="A82" s="402" t="s">
        <v>663</v>
      </c>
      <c r="B82" s="208" t="s">
        <v>15</v>
      </c>
      <c r="C82" s="208" t="s">
        <v>136</v>
      </c>
      <c r="D82" s="208" t="s">
        <v>124</v>
      </c>
      <c r="E82" s="276" t="s">
        <v>583</v>
      </c>
      <c r="F82" s="208"/>
      <c r="G82" s="208"/>
      <c r="H82" s="208"/>
      <c r="I82" s="208"/>
      <c r="J82" s="208"/>
      <c r="K82" s="208"/>
      <c r="L82" s="208"/>
      <c r="M82" s="208"/>
      <c r="N82" s="208"/>
      <c r="O82" s="208"/>
      <c r="P82" s="208"/>
      <c r="Q82" s="208"/>
      <c r="R82" s="208"/>
      <c r="S82" s="208"/>
      <c r="T82" s="208"/>
      <c r="U82" s="208"/>
      <c r="V82" s="250"/>
      <c r="W82" s="250"/>
      <c r="X82" s="250"/>
      <c r="Y82" s="203" t="s">
        <v>321</v>
      </c>
      <c r="Z82" s="280">
        <f>Z83</f>
        <v>50000</v>
      </c>
      <c r="AA82" s="280">
        <f>AA83</f>
        <v>100000</v>
      </c>
      <c r="AB82" s="280">
        <f>AB83</f>
        <v>100000</v>
      </c>
      <c r="AC82" s="350" t="s">
        <v>321</v>
      </c>
      <c r="AD82" s="503"/>
    </row>
    <row r="83" spans="1:30" ht="34.5" customHeight="1" x14ac:dyDescent="0.3">
      <c r="A83" s="400" t="s">
        <v>862</v>
      </c>
      <c r="B83" s="185" t="s">
        <v>15</v>
      </c>
      <c r="C83" s="185" t="s">
        <v>136</v>
      </c>
      <c r="D83" s="185" t="s">
        <v>124</v>
      </c>
      <c r="E83" s="276" t="s">
        <v>583</v>
      </c>
      <c r="F83" s="185"/>
      <c r="G83" s="185"/>
      <c r="H83" s="185"/>
      <c r="I83" s="185"/>
      <c r="J83" s="185"/>
      <c r="K83" s="185"/>
      <c r="L83" s="185"/>
      <c r="M83" s="185"/>
      <c r="N83" s="185"/>
      <c r="O83" s="185"/>
      <c r="P83" s="185"/>
      <c r="Q83" s="185"/>
      <c r="R83" s="185"/>
      <c r="S83" s="185"/>
      <c r="T83" s="185" t="s">
        <v>244</v>
      </c>
      <c r="U83" s="185"/>
      <c r="V83" s="186"/>
      <c r="W83" s="186"/>
      <c r="X83" s="186"/>
      <c r="Y83" s="184" t="s">
        <v>322</v>
      </c>
      <c r="Z83" s="253">
        <f>106000+194000-120000-130000</f>
        <v>50000</v>
      </c>
      <c r="AA83" s="253">
        <v>100000</v>
      </c>
      <c r="AB83" s="253">
        <v>100000</v>
      </c>
      <c r="AC83" s="504" t="s">
        <v>322</v>
      </c>
      <c r="AD83" s="503"/>
    </row>
    <row r="84" spans="1:30" ht="84" customHeight="1" x14ac:dyDescent="0.3">
      <c r="A84" s="402" t="s">
        <v>664</v>
      </c>
      <c r="B84" s="208" t="s">
        <v>15</v>
      </c>
      <c r="C84" s="208" t="s">
        <v>136</v>
      </c>
      <c r="D84" s="208" t="s">
        <v>124</v>
      </c>
      <c r="E84" s="276" t="s">
        <v>584</v>
      </c>
      <c r="F84" s="208"/>
      <c r="G84" s="208"/>
      <c r="H84" s="208"/>
      <c r="I84" s="208"/>
      <c r="J84" s="208"/>
      <c r="K84" s="208"/>
      <c r="L84" s="208"/>
      <c r="M84" s="208"/>
      <c r="N84" s="208"/>
      <c r="O84" s="208"/>
      <c r="P84" s="208"/>
      <c r="Q84" s="208"/>
      <c r="R84" s="208"/>
      <c r="S84" s="208"/>
      <c r="T84" s="208"/>
      <c r="U84" s="208"/>
      <c r="V84" s="250"/>
      <c r="W84" s="250"/>
      <c r="X84" s="250"/>
      <c r="Y84" s="203" t="s">
        <v>323</v>
      </c>
      <c r="Z84" s="280">
        <f>Z85</f>
        <v>0</v>
      </c>
      <c r="AA84" s="280">
        <f>AA85</f>
        <v>100000</v>
      </c>
      <c r="AB84" s="280">
        <f>AB85</f>
        <v>100000</v>
      </c>
      <c r="AC84" s="350" t="s">
        <v>323</v>
      </c>
      <c r="AD84" s="503"/>
    </row>
    <row r="85" spans="1:30" ht="65.25" customHeight="1" x14ac:dyDescent="0.3">
      <c r="A85" s="400" t="s">
        <v>324</v>
      </c>
      <c r="B85" s="185" t="s">
        <v>15</v>
      </c>
      <c r="C85" s="185" t="s">
        <v>136</v>
      </c>
      <c r="D85" s="185" t="s">
        <v>124</v>
      </c>
      <c r="E85" s="276" t="s">
        <v>584</v>
      </c>
      <c r="F85" s="185"/>
      <c r="G85" s="185"/>
      <c r="H85" s="185"/>
      <c r="I85" s="185"/>
      <c r="J85" s="185"/>
      <c r="K85" s="185"/>
      <c r="L85" s="185"/>
      <c r="M85" s="185"/>
      <c r="N85" s="185"/>
      <c r="O85" s="185"/>
      <c r="P85" s="185"/>
      <c r="Q85" s="185"/>
      <c r="R85" s="185"/>
      <c r="S85" s="185"/>
      <c r="T85" s="185" t="s">
        <v>290</v>
      </c>
      <c r="U85" s="185"/>
      <c r="V85" s="186"/>
      <c r="W85" s="186"/>
      <c r="X85" s="186"/>
      <c r="Y85" s="184" t="s">
        <v>324</v>
      </c>
      <c r="Z85" s="253">
        <f>181000-181000</f>
        <v>0</v>
      </c>
      <c r="AA85" s="253">
        <v>100000</v>
      </c>
      <c r="AB85" s="253">
        <v>100000</v>
      </c>
      <c r="AC85" s="504" t="s">
        <v>324</v>
      </c>
      <c r="AD85" s="503"/>
    </row>
    <row r="86" spans="1:30" ht="82.5" customHeight="1" x14ac:dyDescent="0.3">
      <c r="A86" s="402" t="s">
        <v>665</v>
      </c>
      <c r="B86" s="208" t="s">
        <v>15</v>
      </c>
      <c r="C86" s="208" t="s">
        <v>136</v>
      </c>
      <c r="D86" s="208" t="s">
        <v>124</v>
      </c>
      <c r="E86" s="276" t="s">
        <v>585</v>
      </c>
      <c r="F86" s="208"/>
      <c r="G86" s="208"/>
      <c r="H86" s="208"/>
      <c r="I86" s="208"/>
      <c r="J86" s="208"/>
      <c r="K86" s="208"/>
      <c r="L86" s="208"/>
      <c r="M86" s="208"/>
      <c r="N86" s="208"/>
      <c r="O86" s="208"/>
      <c r="P86" s="208"/>
      <c r="Q86" s="208"/>
      <c r="R86" s="208"/>
      <c r="S86" s="208"/>
      <c r="T86" s="208"/>
      <c r="U86" s="208"/>
      <c r="V86" s="250"/>
      <c r="W86" s="250"/>
      <c r="X86" s="250"/>
      <c r="Y86" s="203" t="s">
        <v>325</v>
      </c>
      <c r="Z86" s="280">
        <f>Z87</f>
        <v>11765.47</v>
      </c>
      <c r="AA86" s="280">
        <f>AA87</f>
        <v>100000</v>
      </c>
      <c r="AB86" s="280">
        <f>AB87</f>
        <v>100000</v>
      </c>
      <c r="AC86" s="350" t="s">
        <v>325</v>
      </c>
      <c r="AD86" s="503"/>
    </row>
    <row r="87" spans="1:30" ht="53.25" customHeight="1" x14ac:dyDescent="0.3">
      <c r="A87" s="523" t="s">
        <v>326</v>
      </c>
      <c r="B87" s="262" t="s">
        <v>15</v>
      </c>
      <c r="C87" s="262" t="s">
        <v>136</v>
      </c>
      <c r="D87" s="262" t="s">
        <v>124</v>
      </c>
      <c r="E87" s="538" t="s">
        <v>585</v>
      </c>
      <c r="F87" s="262"/>
      <c r="G87" s="262"/>
      <c r="H87" s="262"/>
      <c r="I87" s="262"/>
      <c r="J87" s="262"/>
      <c r="K87" s="262"/>
      <c r="L87" s="262"/>
      <c r="M87" s="262"/>
      <c r="N87" s="262"/>
      <c r="O87" s="262"/>
      <c r="P87" s="262"/>
      <c r="Q87" s="262"/>
      <c r="R87" s="262"/>
      <c r="S87" s="262"/>
      <c r="T87" s="262" t="s">
        <v>290</v>
      </c>
      <c r="U87" s="262"/>
      <c r="V87" s="263"/>
      <c r="W87" s="263"/>
      <c r="X87" s="263"/>
      <c r="Y87" s="522" t="s">
        <v>326</v>
      </c>
      <c r="Z87" s="264">
        <f>25000-13234.53</f>
        <v>11765.47</v>
      </c>
      <c r="AA87" s="253">
        <v>100000</v>
      </c>
      <c r="AB87" s="253">
        <v>100000</v>
      </c>
      <c r="AC87" s="504" t="s">
        <v>326</v>
      </c>
      <c r="AD87" s="503"/>
    </row>
    <row r="88" spans="1:30" ht="81.75" customHeight="1" x14ac:dyDescent="0.3">
      <c r="A88" s="402" t="s">
        <v>665</v>
      </c>
      <c r="B88" s="185" t="s">
        <v>15</v>
      </c>
      <c r="C88" s="185" t="s">
        <v>136</v>
      </c>
      <c r="D88" s="185" t="s">
        <v>124</v>
      </c>
      <c r="E88" s="276" t="s">
        <v>1085</v>
      </c>
      <c r="F88" s="185"/>
      <c r="G88" s="185"/>
      <c r="H88" s="185"/>
      <c r="I88" s="185"/>
      <c r="J88" s="185"/>
      <c r="K88" s="185"/>
      <c r="L88" s="185"/>
      <c r="M88" s="185"/>
      <c r="N88" s="185"/>
      <c r="O88" s="185"/>
      <c r="P88" s="185"/>
      <c r="Q88" s="185"/>
      <c r="R88" s="185"/>
      <c r="S88" s="185"/>
      <c r="T88" s="185"/>
      <c r="U88" s="185"/>
      <c r="V88" s="186"/>
      <c r="W88" s="186"/>
      <c r="X88" s="186"/>
      <c r="Y88" s="184"/>
      <c r="Z88" s="253">
        <f>Z89</f>
        <v>0</v>
      </c>
      <c r="AA88" s="253">
        <f t="shared" ref="AA88:AC88" si="11">AA89</f>
        <v>0</v>
      </c>
      <c r="AB88" s="253">
        <f t="shared" si="11"/>
        <v>0</v>
      </c>
      <c r="AC88" s="253">
        <f t="shared" si="11"/>
        <v>0</v>
      </c>
      <c r="AD88" s="503"/>
    </row>
    <row r="89" spans="1:30" ht="66" customHeight="1" x14ac:dyDescent="0.3">
      <c r="A89" s="400" t="s">
        <v>1047</v>
      </c>
      <c r="B89" s="185" t="s">
        <v>15</v>
      </c>
      <c r="C89" s="185" t="s">
        <v>136</v>
      </c>
      <c r="D89" s="185" t="s">
        <v>124</v>
      </c>
      <c r="E89" s="276" t="s">
        <v>1085</v>
      </c>
      <c r="F89" s="185"/>
      <c r="G89" s="185"/>
      <c r="H89" s="185"/>
      <c r="I89" s="185"/>
      <c r="J89" s="185"/>
      <c r="K89" s="185"/>
      <c r="L89" s="185"/>
      <c r="M89" s="185"/>
      <c r="N89" s="185"/>
      <c r="O89" s="185"/>
      <c r="P89" s="185"/>
      <c r="Q89" s="185"/>
      <c r="R89" s="185"/>
      <c r="S89" s="185"/>
      <c r="T89" s="185" t="s">
        <v>290</v>
      </c>
      <c r="U89" s="185"/>
      <c r="V89" s="186"/>
      <c r="W89" s="186"/>
      <c r="X89" s="186"/>
      <c r="Y89" s="184"/>
      <c r="Z89" s="253">
        <f>300000-80000-138767.68-81232.32</f>
        <v>0</v>
      </c>
      <c r="AA89" s="253">
        <v>0</v>
      </c>
      <c r="AB89" s="253">
        <v>0</v>
      </c>
      <c r="AC89" s="504"/>
      <c r="AD89" s="503"/>
    </row>
    <row r="90" spans="1:30" ht="80.25" customHeight="1" x14ac:dyDescent="0.3">
      <c r="A90" s="402" t="s">
        <v>665</v>
      </c>
      <c r="B90" s="185" t="s">
        <v>15</v>
      </c>
      <c r="C90" s="185" t="s">
        <v>136</v>
      </c>
      <c r="D90" s="185" t="s">
        <v>124</v>
      </c>
      <c r="E90" s="276" t="s">
        <v>1084</v>
      </c>
      <c r="F90" s="185"/>
      <c r="G90" s="185"/>
      <c r="H90" s="185"/>
      <c r="I90" s="185"/>
      <c r="J90" s="185"/>
      <c r="K90" s="185"/>
      <c r="L90" s="185"/>
      <c r="M90" s="185"/>
      <c r="N90" s="185"/>
      <c r="O90" s="185"/>
      <c r="P90" s="185"/>
      <c r="Q90" s="185"/>
      <c r="R90" s="185"/>
      <c r="S90" s="185"/>
      <c r="T90" s="185"/>
      <c r="U90" s="185"/>
      <c r="V90" s="186"/>
      <c r="W90" s="186"/>
      <c r="X90" s="186"/>
      <c r="Y90" s="184"/>
      <c r="Z90" s="253">
        <f>Z91</f>
        <v>0</v>
      </c>
      <c r="AA90" s="253">
        <f t="shared" ref="AA90:AB90" si="12">AA91</f>
        <v>0</v>
      </c>
      <c r="AB90" s="253">
        <f t="shared" si="12"/>
        <v>0</v>
      </c>
      <c r="AC90" s="504"/>
      <c r="AD90" s="503"/>
    </row>
    <row r="91" spans="1:30" ht="69" customHeight="1" x14ac:dyDescent="0.3">
      <c r="A91" s="400" t="s">
        <v>1049</v>
      </c>
      <c r="B91" s="185" t="s">
        <v>15</v>
      </c>
      <c r="C91" s="185" t="s">
        <v>136</v>
      </c>
      <c r="D91" s="185" t="s">
        <v>124</v>
      </c>
      <c r="E91" s="276" t="s">
        <v>1084</v>
      </c>
      <c r="F91" s="185"/>
      <c r="G91" s="185"/>
      <c r="H91" s="185"/>
      <c r="I91" s="185"/>
      <c r="J91" s="185"/>
      <c r="K91" s="185"/>
      <c r="L91" s="185"/>
      <c r="M91" s="185"/>
      <c r="N91" s="185"/>
      <c r="O91" s="185"/>
      <c r="P91" s="185"/>
      <c r="Q91" s="185"/>
      <c r="R91" s="185"/>
      <c r="S91" s="185"/>
      <c r="T91" s="185" t="s">
        <v>290</v>
      </c>
      <c r="U91" s="185"/>
      <c r="V91" s="186"/>
      <c r="W91" s="186"/>
      <c r="X91" s="186"/>
      <c r="Y91" s="184"/>
      <c r="Z91" s="253">
        <f>74140-30000-44140</f>
        <v>0</v>
      </c>
      <c r="AA91" s="253">
        <v>0</v>
      </c>
      <c r="AB91" s="253">
        <v>0</v>
      </c>
      <c r="AC91" s="504"/>
      <c r="AD91" s="503"/>
    </row>
    <row r="92" spans="1:30" ht="65.25" customHeight="1" x14ac:dyDescent="0.3">
      <c r="A92" s="402" t="s">
        <v>666</v>
      </c>
      <c r="B92" s="208" t="s">
        <v>15</v>
      </c>
      <c r="C92" s="208" t="s">
        <v>136</v>
      </c>
      <c r="D92" s="208" t="s">
        <v>124</v>
      </c>
      <c r="E92" s="276" t="s">
        <v>586</v>
      </c>
      <c r="F92" s="208"/>
      <c r="G92" s="208"/>
      <c r="H92" s="208"/>
      <c r="I92" s="208"/>
      <c r="J92" s="208"/>
      <c r="K92" s="208"/>
      <c r="L92" s="208"/>
      <c r="M92" s="208"/>
      <c r="N92" s="208"/>
      <c r="O92" s="208"/>
      <c r="P92" s="208"/>
      <c r="Q92" s="208"/>
      <c r="R92" s="208"/>
      <c r="S92" s="208"/>
      <c r="T92" s="208"/>
      <c r="U92" s="208"/>
      <c r="V92" s="250"/>
      <c r="W92" s="250"/>
      <c r="X92" s="250"/>
      <c r="Y92" s="203" t="s">
        <v>327</v>
      </c>
      <c r="Z92" s="280">
        <f>Z93</f>
        <v>0</v>
      </c>
      <c r="AA92" s="280">
        <f>AA93</f>
        <v>100000</v>
      </c>
      <c r="AB92" s="280">
        <f>AB93</f>
        <v>100000</v>
      </c>
      <c r="AC92" s="350" t="s">
        <v>327</v>
      </c>
      <c r="AD92" s="503"/>
    </row>
    <row r="93" spans="1:30" ht="51.75" customHeight="1" x14ac:dyDescent="0.3">
      <c r="A93" s="400" t="s">
        <v>328</v>
      </c>
      <c r="B93" s="185" t="s">
        <v>15</v>
      </c>
      <c r="C93" s="185" t="s">
        <v>136</v>
      </c>
      <c r="D93" s="185" t="s">
        <v>124</v>
      </c>
      <c r="E93" s="276" t="s">
        <v>586</v>
      </c>
      <c r="F93" s="185"/>
      <c r="G93" s="185"/>
      <c r="H93" s="185"/>
      <c r="I93" s="185"/>
      <c r="J93" s="185"/>
      <c r="K93" s="185"/>
      <c r="L93" s="185"/>
      <c r="M93" s="185"/>
      <c r="N93" s="185"/>
      <c r="O93" s="185"/>
      <c r="P93" s="185"/>
      <c r="Q93" s="185"/>
      <c r="R93" s="185"/>
      <c r="S93" s="185"/>
      <c r="T93" s="185" t="s">
        <v>290</v>
      </c>
      <c r="U93" s="185"/>
      <c r="V93" s="186"/>
      <c r="W93" s="186"/>
      <c r="X93" s="186"/>
      <c r="Y93" s="184" t="s">
        <v>328</v>
      </c>
      <c r="Z93" s="253">
        <f>30000-30000</f>
        <v>0</v>
      </c>
      <c r="AA93" s="253">
        <v>100000</v>
      </c>
      <c r="AB93" s="253">
        <v>100000</v>
      </c>
      <c r="AC93" s="504" t="s">
        <v>328</v>
      </c>
      <c r="AD93" s="503"/>
    </row>
    <row r="94" spans="1:30" ht="80.25" customHeight="1" x14ac:dyDescent="0.3">
      <c r="A94" s="402" t="s">
        <v>667</v>
      </c>
      <c r="B94" s="208" t="s">
        <v>15</v>
      </c>
      <c r="C94" s="208" t="s">
        <v>136</v>
      </c>
      <c r="D94" s="208" t="s">
        <v>124</v>
      </c>
      <c r="E94" s="276" t="s">
        <v>587</v>
      </c>
      <c r="F94" s="208"/>
      <c r="G94" s="208"/>
      <c r="H94" s="208"/>
      <c r="I94" s="208"/>
      <c r="J94" s="208"/>
      <c r="K94" s="208"/>
      <c r="L94" s="208"/>
      <c r="M94" s="208"/>
      <c r="N94" s="208"/>
      <c r="O94" s="208"/>
      <c r="P94" s="208"/>
      <c r="Q94" s="208"/>
      <c r="R94" s="208"/>
      <c r="S94" s="208"/>
      <c r="T94" s="208"/>
      <c r="U94" s="208"/>
      <c r="V94" s="250"/>
      <c r="W94" s="250"/>
      <c r="X94" s="250"/>
      <c r="Y94" s="203" t="s">
        <v>329</v>
      </c>
      <c r="Z94" s="280">
        <f>Z95</f>
        <v>0</v>
      </c>
      <c r="AA94" s="280">
        <f>AA95</f>
        <v>100000</v>
      </c>
      <c r="AB94" s="280">
        <f>AB95</f>
        <v>100000</v>
      </c>
      <c r="AC94" s="350" t="s">
        <v>329</v>
      </c>
      <c r="AD94" s="503"/>
    </row>
    <row r="95" spans="1:30" ht="69.75" customHeight="1" x14ac:dyDescent="0.3">
      <c r="A95" s="400" t="s">
        <v>330</v>
      </c>
      <c r="B95" s="185" t="s">
        <v>15</v>
      </c>
      <c r="C95" s="185" t="s">
        <v>136</v>
      </c>
      <c r="D95" s="185" t="s">
        <v>124</v>
      </c>
      <c r="E95" s="276" t="s">
        <v>587</v>
      </c>
      <c r="F95" s="185"/>
      <c r="G95" s="185"/>
      <c r="H95" s="185"/>
      <c r="I95" s="185"/>
      <c r="J95" s="185"/>
      <c r="K95" s="185"/>
      <c r="L95" s="185"/>
      <c r="M95" s="185"/>
      <c r="N95" s="185"/>
      <c r="O95" s="185"/>
      <c r="P95" s="185"/>
      <c r="Q95" s="185"/>
      <c r="R95" s="185"/>
      <c r="S95" s="185"/>
      <c r="T95" s="185" t="s">
        <v>290</v>
      </c>
      <c r="U95" s="185"/>
      <c r="V95" s="186"/>
      <c r="W95" s="186"/>
      <c r="X95" s="186"/>
      <c r="Y95" s="184" t="s">
        <v>330</v>
      </c>
      <c r="Z95" s="253">
        <f>30000-30000</f>
        <v>0</v>
      </c>
      <c r="AA95" s="253">
        <v>100000</v>
      </c>
      <c r="AB95" s="253">
        <v>100000</v>
      </c>
      <c r="AC95" s="504" t="s">
        <v>330</v>
      </c>
      <c r="AD95" s="503"/>
    </row>
    <row r="96" spans="1:30" ht="81.75" customHeight="1" x14ac:dyDescent="0.3">
      <c r="A96" s="400" t="s">
        <v>1221</v>
      </c>
      <c r="B96" s="185" t="s">
        <v>15</v>
      </c>
      <c r="C96" s="185" t="s">
        <v>136</v>
      </c>
      <c r="D96" s="185" t="s">
        <v>124</v>
      </c>
      <c r="E96" s="276" t="s">
        <v>1220</v>
      </c>
      <c r="F96" s="185"/>
      <c r="G96" s="185"/>
      <c r="H96" s="185"/>
      <c r="I96" s="185"/>
      <c r="J96" s="185"/>
      <c r="K96" s="185"/>
      <c r="L96" s="185"/>
      <c r="M96" s="185"/>
      <c r="N96" s="185"/>
      <c r="O96" s="185"/>
      <c r="P96" s="185"/>
      <c r="Q96" s="185"/>
      <c r="R96" s="185"/>
      <c r="S96" s="185"/>
      <c r="T96" s="185"/>
      <c r="U96" s="185"/>
      <c r="V96" s="186"/>
      <c r="W96" s="186"/>
      <c r="X96" s="186"/>
      <c r="Y96" s="184"/>
      <c r="Z96" s="253">
        <f>Z97</f>
        <v>138767.67999999999</v>
      </c>
      <c r="AA96" s="253">
        <f t="shared" ref="AA96:AB96" si="13">AA97</f>
        <v>0</v>
      </c>
      <c r="AB96" s="253">
        <f t="shared" si="13"/>
        <v>0</v>
      </c>
      <c r="AC96" s="504"/>
      <c r="AD96" s="503"/>
    </row>
    <row r="97" spans="1:30" ht="33" customHeight="1" x14ac:dyDescent="0.3">
      <c r="A97" s="400" t="s">
        <v>611</v>
      </c>
      <c r="B97" s="185" t="s">
        <v>15</v>
      </c>
      <c r="C97" s="185" t="s">
        <v>136</v>
      </c>
      <c r="D97" s="185" t="s">
        <v>124</v>
      </c>
      <c r="E97" s="276" t="s">
        <v>1220</v>
      </c>
      <c r="F97" s="185"/>
      <c r="G97" s="185"/>
      <c r="H97" s="185"/>
      <c r="I97" s="185"/>
      <c r="J97" s="185"/>
      <c r="K97" s="185"/>
      <c r="L97" s="185"/>
      <c r="M97" s="185"/>
      <c r="N97" s="185"/>
      <c r="O97" s="185"/>
      <c r="P97" s="185"/>
      <c r="Q97" s="185"/>
      <c r="R97" s="185"/>
      <c r="S97" s="185"/>
      <c r="T97" s="185" t="s">
        <v>290</v>
      </c>
      <c r="U97" s="185"/>
      <c r="V97" s="186"/>
      <c r="W97" s="186"/>
      <c r="X97" s="186"/>
      <c r="Y97" s="184"/>
      <c r="Z97" s="253">
        <v>138767.67999999999</v>
      </c>
      <c r="AA97" s="253">
        <v>0</v>
      </c>
      <c r="AB97" s="253">
        <v>0</v>
      </c>
      <c r="AC97" s="504"/>
      <c r="AD97" s="503"/>
    </row>
    <row r="98" spans="1:30" ht="129" customHeight="1" x14ac:dyDescent="0.3">
      <c r="A98" s="402" t="s">
        <v>847</v>
      </c>
      <c r="B98" s="208" t="s">
        <v>15</v>
      </c>
      <c r="C98" s="208" t="s">
        <v>136</v>
      </c>
      <c r="D98" s="208" t="s">
        <v>124</v>
      </c>
      <c r="E98" s="185" t="s">
        <v>761</v>
      </c>
      <c r="F98" s="208"/>
      <c r="G98" s="208"/>
      <c r="H98" s="208"/>
      <c r="I98" s="208"/>
      <c r="J98" s="208"/>
      <c r="K98" s="208"/>
      <c r="L98" s="208"/>
      <c r="M98" s="208"/>
      <c r="N98" s="208"/>
      <c r="O98" s="208"/>
      <c r="P98" s="208"/>
      <c r="Q98" s="208"/>
      <c r="R98" s="208"/>
      <c r="S98" s="208"/>
      <c r="T98" s="208"/>
      <c r="U98" s="208"/>
      <c r="V98" s="250"/>
      <c r="W98" s="250"/>
      <c r="X98" s="250"/>
      <c r="Y98" s="203" t="s">
        <v>331</v>
      </c>
      <c r="Z98" s="280">
        <f>Z99</f>
        <v>21929.82</v>
      </c>
      <c r="AA98" s="280">
        <f>AA99</f>
        <v>21900</v>
      </c>
      <c r="AB98" s="280">
        <f>AB99</f>
        <v>21900</v>
      </c>
      <c r="AC98" s="350" t="s">
        <v>331</v>
      </c>
      <c r="AD98" s="503"/>
    </row>
    <row r="99" spans="1:30" ht="81" customHeight="1" x14ac:dyDescent="0.3">
      <c r="A99" s="400" t="s">
        <v>760</v>
      </c>
      <c r="B99" s="185" t="s">
        <v>15</v>
      </c>
      <c r="C99" s="185" t="s">
        <v>136</v>
      </c>
      <c r="D99" s="185" t="s">
        <v>124</v>
      </c>
      <c r="E99" s="185" t="s">
        <v>761</v>
      </c>
      <c r="F99" s="185"/>
      <c r="G99" s="185"/>
      <c r="H99" s="185"/>
      <c r="I99" s="185"/>
      <c r="J99" s="185"/>
      <c r="K99" s="185"/>
      <c r="L99" s="185"/>
      <c r="M99" s="185"/>
      <c r="N99" s="185"/>
      <c r="O99" s="185"/>
      <c r="P99" s="185"/>
      <c r="Q99" s="185"/>
      <c r="R99" s="185"/>
      <c r="S99" s="185"/>
      <c r="T99" s="185" t="s">
        <v>290</v>
      </c>
      <c r="U99" s="185"/>
      <c r="V99" s="186"/>
      <c r="W99" s="186"/>
      <c r="X99" s="186"/>
      <c r="Y99" s="184" t="s">
        <v>332</v>
      </c>
      <c r="Z99" s="253">
        <f>21900+29.82</f>
        <v>21929.82</v>
      </c>
      <c r="AA99" s="253">
        <v>21900</v>
      </c>
      <c r="AB99" s="253">
        <v>21900</v>
      </c>
      <c r="AC99" s="504" t="s">
        <v>332</v>
      </c>
      <c r="AD99" s="503"/>
    </row>
    <row r="100" spans="1:30" ht="96.75" customHeight="1" x14ac:dyDescent="0.3">
      <c r="A100" s="436" t="s">
        <v>588</v>
      </c>
      <c r="B100" s="193" t="s">
        <v>15</v>
      </c>
      <c r="C100" s="194" t="s">
        <v>136</v>
      </c>
      <c r="D100" s="194" t="s">
        <v>124</v>
      </c>
      <c r="E100" s="330" t="s">
        <v>589</v>
      </c>
      <c r="F100" s="194"/>
      <c r="G100" s="194"/>
      <c r="H100" s="194"/>
      <c r="I100" s="194"/>
      <c r="J100" s="194"/>
      <c r="K100" s="194"/>
      <c r="L100" s="194"/>
      <c r="M100" s="194"/>
      <c r="N100" s="194"/>
      <c r="O100" s="194"/>
      <c r="P100" s="194"/>
      <c r="Q100" s="194"/>
      <c r="R100" s="194"/>
      <c r="S100" s="194"/>
      <c r="T100" s="194"/>
      <c r="U100" s="185"/>
      <c r="V100" s="186"/>
      <c r="W100" s="186"/>
      <c r="X100" s="186"/>
      <c r="Y100" s="184"/>
      <c r="Z100" s="253">
        <f>Z101</f>
        <v>0</v>
      </c>
      <c r="AA100" s="253">
        <f>AA101</f>
        <v>50000</v>
      </c>
      <c r="AB100" s="253">
        <f>AB101</f>
        <v>50000</v>
      </c>
      <c r="AC100" s="504"/>
      <c r="AD100" s="503"/>
    </row>
    <row r="101" spans="1:30" ht="51" customHeight="1" x14ac:dyDescent="0.3">
      <c r="A101" s="533" t="s">
        <v>863</v>
      </c>
      <c r="B101" s="194" t="s">
        <v>15</v>
      </c>
      <c r="C101" s="194" t="s">
        <v>136</v>
      </c>
      <c r="D101" s="194" t="s">
        <v>124</v>
      </c>
      <c r="E101" s="330" t="s">
        <v>589</v>
      </c>
      <c r="F101" s="194"/>
      <c r="G101" s="194"/>
      <c r="H101" s="194"/>
      <c r="I101" s="194"/>
      <c r="J101" s="194"/>
      <c r="K101" s="194"/>
      <c r="L101" s="194"/>
      <c r="M101" s="194"/>
      <c r="N101" s="194"/>
      <c r="O101" s="194"/>
      <c r="P101" s="194"/>
      <c r="Q101" s="194"/>
      <c r="R101" s="194"/>
      <c r="S101" s="194"/>
      <c r="T101" s="194" t="s">
        <v>244</v>
      </c>
      <c r="U101" s="185"/>
      <c r="V101" s="186"/>
      <c r="W101" s="186"/>
      <c r="X101" s="186"/>
      <c r="Y101" s="184"/>
      <c r="Z101" s="253">
        <f>31800+30000-61800</f>
        <v>0</v>
      </c>
      <c r="AA101" s="253">
        <v>50000</v>
      </c>
      <c r="AB101" s="253">
        <v>50000</v>
      </c>
      <c r="AC101" s="504"/>
      <c r="AD101" s="503"/>
    </row>
    <row r="102" spans="1:30" ht="232.5" hidden="1" customHeight="1" x14ac:dyDescent="0.3">
      <c r="A102" s="411" t="s">
        <v>590</v>
      </c>
      <c r="B102" s="194" t="s">
        <v>15</v>
      </c>
      <c r="C102" s="194" t="s">
        <v>136</v>
      </c>
      <c r="D102" s="194" t="s">
        <v>124</v>
      </c>
      <c r="E102" s="330" t="s">
        <v>591</v>
      </c>
      <c r="F102" s="194"/>
      <c r="G102" s="194"/>
      <c r="H102" s="194"/>
      <c r="I102" s="194"/>
      <c r="J102" s="194"/>
      <c r="K102" s="194"/>
      <c r="L102" s="194"/>
      <c r="M102" s="194"/>
      <c r="N102" s="194"/>
      <c r="O102" s="194"/>
      <c r="P102" s="194"/>
      <c r="Q102" s="194"/>
      <c r="R102" s="194"/>
      <c r="S102" s="194"/>
      <c r="T102" s="194"/>
      <c r="U102" s="185"/>
      <c r="V102" s="186"/>
      <c r="W102" s="186"/>
      <c r="X102" s="186"/>
      <c r="Y102" s="184"/>
      <c r="Z102" s="253">
        <f>Z103</f>
        <v>0</v>
      </c>
      <c r="AA102" s="253">
        <f>AA103</f>
        <v>0</v>
      </c>
      <c r="AB102" s="253">
        <f>AB103</f>
        <v>0</v>
      </c>
      <c r="AC102" s="504"/>
      <c r="AD102" s="503"/>
    </row>
    <row r="103" spans="1:30" ht="234.75" hidden="1" customHeight="1" x14ac:dyDescent="0.3">
      <c r="A103" s="412" t="s">
        <v>668</v>
      </c>
      <c r="B103" s="194" t="s">
        <v>15</v>
      </c>
      <c r="C103" s="194" t="s">
        <v>136</v>
      </c>
      <c r="D103" s="194" t="s">
        <v>124</v>
      </c>
      <c r="E103" s="330" t="s">
        <v>591</v>
      </c>
      <c r="F103" s="194"/>
      <c r="G103" s="194"/>
      <c r="H103" s="194"/>
      <c r="I103" s="194"/>
      <c r="J103" s="194"/>
      <c r="K103" s="194"/>
      <c r="L103" s="194"/>
      <c r="M103" s="194"/>
      <c r="N103" s="194"/>
      <c r="O103" s="194"/>
      <c r="P103" s="194"/>
      <c r="Q103" s="194"/>
      <c r="R103" s="194"/>
      <c r="S103" s="194"/>
      <c r="T103" s="194" t="s">
        <v>244</v>
      </c>
      <c r="U103" s="185"/>
      <c r="V103" s="186"/>
      <c r="W103" s="186"/>
      <c r="X103" s="186"/>
      <c r="Y103" s="184"/>
      <c r="Z103" s="253">
        <v>0</v>
      </c>
      <c r="AA103" s="253">
        <v>0</v>
      </c>
      <c r="AB103" s="253">
        <v>0</v>
      </c>
      <c r="AC103" s="504"/>
      <c r="AD103" s="503"/>
    </row>
    <row r="104" spans="1:30" ht="18" customHeight="1" x14ac:dyDescent="0.3">
      <c r="A104" s="415" t="s">
        <v>253</v>
      </c>
      <c r="B104" s="207" t="s">
        <v>15</v>
      </c>
      <c r="C104" s="207" t="s">
        <v>136</v>
      </c>
      <c r="D104" s="207" t="s">
        <v>125</v>
      </c>
      <c r="E104" s="207"/>
      <c r="F104" s="207"/>
      <c r="G104" s="207"/>
      <c r="H104" s="207"/>
      <c r="I104" s="207"/>
      <c r="J104" s="207"/>
      <c r="K104" s="207"/>
      <c r="L104" s="207"/>
      <c r="M104" s="207"/>
      <c r="N104" s="207"/>
      <c r="O104" s="207"/>
      <c r="P104" s="207"/>
      <c r="Q104" s="207"/>
      <c r="R104" s="207"/>
      <c r="S104" s="207"/>
      <c r="T104" s="207"/>
      <c r="U104" s="207"/>
      <c r="V104" s="254"/>
      <c r="W104" s="254"/>
      <c r="X104" s="254"/>
      <c r="Y104" s="206" t="s">
        <v>253</v>
      </c>
      <c r="Z104" s="255">
        <f>Z105+Z107+Z109</f>
        <v>50000</v>
      </c>
      <c r="AA104" s="255">
        <f>AA105+AA107</f>
        <v>0</v>
      </c>
      <c r="AB104" s="255">
        <f>AB105+AB107</f>
        <v>0</v>
      </c>
      <c r="AC104" s="502" t="s">
        <v>253</v>
      </c>
      <c r="AD104" s="503"/>
    </row>
    <row r="105" spans="1:30" ht="66" customHeight="1" x14ac:dyDescent="0.3">
      <c r="A105" s="402" t="s">
        <v>1051</v>
      </c>
      <c r="B105" s="208" t="s">
        <v>15</v>
      </c>
      <c r="C105" s="208" t="s">
        <v>136</v>
      </c>
      <c r="D105" s="208" t="s">
        <v>125</v>
      </c>
      <c r="E105" s="276" t="s">
        <v>1050</v>
      </c>
      <c r="F105" s="208"/>
      <c r="G105" s="208"/>
      <c r="H105" s="208"/>
      <c r="I105" s="208"/>
      <c r="J105" s="208"/>
      <c r="K105" s="208"/>
      <c r="L105" s="208"/>
      <c r="M105" s="208"/>
      <c r="N105" s="208"/>
      <c r="O105" s="208"/>
      <c r="P105" s="208"/>
      <c r="Q105" s="208"/>
      <c r="R105" s="208"/>
      <c r="S105" s="208"/>
      <c r="T105" s="208"/>
      <c r="U105" s="208"/>
      <c r="V105" s="250"/>
      <c r="W105" s="250"/>
      <c r="X105" s="250"/>
      <c r="Y105" s="203" t="s">
        <v>333</v>
      </c>
      <c r="Z105" s="280">
        <f>Z106</f>
        <v>8000</v>
      </c>
      <c r="AA105" s="280">
        <f>AA106</f>
        <v>0</v>
      </c>
      <c r="AB105" s="280">
        <f>AB106</f>
        <v>0</v>
      </c>
      <c r="AC105" s="350" t="s">
        <v>333</v>
      </c>
      <c r="AD105" s="503"/>
    </row>
    <row r="106" spans="1:30" ht="36.75" customHeight="1" x14ac:dyDescent="0.3">
      <c r="A106" s="523" t="s">
        <v>611</v>
      </c>
      <c r="B106" s="262" t="s">
        <v>15</v>
      </c>
      <c r="C106" s="262" t="s">
        <v>136</v>
      </c>
      <c r="D106" s="262" t="s">
        <v>125</v>
      </c>
      <c r="E106" s="538" t="s">
        <v>1050</v>
      </c>
      <c r="F106" s="262"/>
      <c r="G106" s="262"/>
      <c r="H106" s="262"/>
      <c r="I106" s="262"/>
      <c r="J106" s="262"/>
      <c r="K106" s="262"/>
      <c r="L106" s="262"/>
      <c r="M106" s="262"/>
      <c r="N106" s="262"/>
      <c r="O106" s="262"/>
      <c r="P106" s="262"/>
      <c r="Q106" s="262"/>
      <c r="R106" s="262"/>
      <c r="S106" s="262"/>
      <c r="T106" s="262" t="s">
        <v>290</v>
      </c>
      <c r="U106" s="262"/>
      <c r="V106" s="263"/>
      <c r="W106" s="263"/>
      <c r="X106" s="263"/>
      <c r="Y106" s="522" t="s">
        <v>334</v>
      </c>
      <c r="Z106" s="264">
        <f>50000-10000-32000</f>
        <v>8000</v>
      </c>
      <c r="AA106" s="253">
        <v>0</v>
      </c>
      <c r="AB106" s="253">
        <v>0</v>
      </c>
      <c r="AC106" s="504" t="s">
        <v>334</v>
      </c>
      <c r="AD106" s="503"/>
    </row>
    <row r="107" spans="1:30" ht="82.5" customHeight="1" x14ac:dyDescent="0.3">
      <c r="A107" s="402" t="s">
        <v>1243</v>
      </c>
      <c r="B107" s="208" t="s">
        <v>15</v>
      </c>
      <c r="C107" s="208" t="s">
        <v>136</v>
      </c>
      <c r="D107" s="208" t="s">
        <v>125</v>
      </c>
      <c r="E107" s="276" t="s">
        <v>1089</v>
      </c>
      <c r="F107" s="208"/>
      <c r="G107" s="208"/>
      <c r="H107" s="208"/>
      <c r="I107" s="208"/>
      <c r="J107" s="208"/>
      <c r="K107" s="208"/>
      <c r="L107" s="208"/>
      <c r="M107" s="208"/>
      <c r="N107" s="208"/>
      <c r="O107" s="208"/>
      <c r="P107" s="208"/>
      <c r="Q107" s="208"/>
      <c r="R107" s="208"/>
      <c r="S107" s="208"/>
      <c r="T107" s="208"/>
      <c r="U107" s="208"/>
      <c r="V107" s="250"/>
      <c r="W107" s="250"/>
      <c r="X107" s="250"/>
      <c r="Y107" s="203" t="s">
        <v>335</v>
      </c>
      <c r="Z107" s="280">
        <f>Z108</f>
        <v>10000</v>
      </c>
      <c r="AA107" s="280">
        <f>AA108</f>
        <v>0</v>
      </c>
      <c r="AB107" s="280">
        <f>AB108</f>
        <v>0</v>
      </c>
      <c r="AC107" s="350" t="s">
        <v>335</v>
      </c>
      <c r="AD107" s="503"/>
    </row>
    <row r="108" spans="1:30" ht="36.75" customHeight="1" x14ac:dyDescent="0.3">
      <c r="A108" s="400" t="s">
        <v>611</v>
      </c>
      <c r="B108" s="185" t="s">
        <v>15</v>
      </c>
      <c r="C108" s="185" t="s">
        <v>136</v>
      </c>
      <c r="D108" s="185" t="s">
        <v>125</v>
      </c>
      <c r="E108" s="276" t="s">
        <v>1089</v>
      </c>
      <c r="F108" s="185"/>
      <c r="G108" s="185"/>
      <c r="H108" s="185"/>
      <c r="I108" s="185"/>
      <c r="J108" s="185"/>
      <c r="K108" s="185"/>
      <c r="L108" s="185"/>
      <c r="M108" s="185"/>
      <c r="N108" s="185"/>
      <c r="O108" s="185"/>
      <c r="P108" s="185"/>
      <c r="Q108" s="185"/>
      <c r="R108" s="185"/>
      <c r="S108" s="185"/>
      <c r="T108" s="185" t="s">
        <v>290</v>
      </c>
      <c r="U108" s="185"/>
      <c r="V108" s="186"/>
      <c r="W108" s="186"/>
      <c r="X108" s="186"/>
      <c r="Y108" s="184" t="s">
        <v>336</v>
      </c>
      <c r="Z108" s="253">
        <f>200000-200000+10000</f>
        <v>10000</v>
      </c>
      <c r="AA108" s="253">
        <v>0</v>
      </c>
      <c r="AB108" s="253">
        <v>0</v>
      </c>
      <c r="AC108" s="504" t="s">
        <v>336</v>
      </c>
      <c r="AD108" s="503"/>
    </row>
    <row r="109" spans="1:30" ht="74.25" customHeight="1" x14ac:dyDescent="0.3">
      <c r="A109" s="402" t="s">
        <v>1246</v>
      </c>
      <c r="B109" s="185" t="s">
        <v>15</v>
      </c>
      <c r="C109" s="185" t="s">
        <v>136</v>
      </c>
      <c r="D109" s="185" t="s">
        <v>125</v>
      </c>
      <c r="E109" s="276" t="s">
        <v>1247</v>
      </c>
      <c r="F109" s="185"/>
      <c r="G109" s="185"/>
      <c r="H109" s="185"/>
      <c r="I109" s="185"/>
      <c r="J109" s="185"/>
      <c r="K109" s="185"/>
      <c r="L109" s="185"/>
      <c r="M109" s="185"/>
      <c r="N109" s="185"/>
      <c r="O109" s="185"/>
      <c r="P109" s="185"/>
      <c r="Q109" s="185"/>
      <c r="R109" s="185"/>
      <c r="S109" s="185"/>
      <c r="T109" s="185"/>
      <c r="U109" s="185"/>
      <c r="V109" s="186"/>
      <c r="W109" s="186"/>
      <c r="X109" s="186"/>
      <c r="Y109" s="184"/>
      <c r="Z109" s="253">
        <f>Z110</f>
        <v>32000</v>
      </c>
      <c r="AA109" s="253">
        <v>0</v>
      </c>
      <c r="AB109" s="253">
        <v>0</v>
      </c>
      <c r="AC109" s="504"/>
      <c r="AD109" s="503"/>
    </row>
    <row r="110" spans="1:30" ht="36.75" customHeight="1" x14ac:dyDescent="0.3">
      <c r="A110" s="523" t="s">
        <v>611</v>
      </c>
      <c r="B110" s="262" t="s">
        <v>15</v>
      </c>
      <c r="C110" s="262" t="s">
        <v>136</v>
      </c>
      <c r="D110" s="262" t="s">
        <v>125</v>
      </c>
      <c r="E110" s="538" t="s">
        <v>1247</v>
      </c>
      <c r="F110" s="262"/>
      <c r="G110" s="262"/>
      <c r="H110" s="262"/>
      <c r="I110" s="262"/>
      <c r="J110" s="262"/>
      <c r="K110" s="262"/>
      <c r="L110" s="262"/>
      <c r="M110" s="262"/>
      <c r="N110" s="262"/>
      <c r="O110" s="262"/>
      <c r="P110" s="262"/>
      <c r="Q110" s="262"/>
      <c r="R110" s="262"/>
      <c r="S110" s="262"/>
      <c r="T110" s="262" t="s">
        <v>290</v>
      </c>
      <c r="U110" s="262"/>
      <c r="V110" s="263"/>
      <c r="W110" s="263"/>
      <c r="X110" s="263"/>
      <c r="Y110" s="522"/>
      <c r="Z110" s="264">
        <v>32000</v>
      </c>
      <c r="AA110" s="253">
        <v>0</v>
      </c>
      <c r="AB110" s="253">
        <v>0</v>
      </c>
      <c r="AC110" s="504"/>
      <c r="AD110" s="503"/>
    </row>
    <row r="111" spans="1:30" ht="18.600000000000001" customHeight="1" x14ac:dyDescent="0.3">
      <c r="A111" s="415" t="s">
        <v>148</v>
      </c>
      <c r="B111" s="207" t="s">
        <v>15</v>
      </c>
      <c r="C111" s="207" t="s">
        <v>136</v>
      </c>
      <c r="D111" s="207" t="s">
        <v>126</v>
      </c>
      <c r="E111" s="207"/>
      <c r="F111" s="207"/>
      <c r="G111" s="207"/>
      <c r="H111" s="207"/>
      <c r="I111" s="207"/>
      <c r="J111" s="207"/>
      <c r="K111" s="207"/>
      <c r="L111" s="207"/>
      <c r="M111" s="207"/>
      <c r="N111" s="207"/>
      <c r="O111" s="207"/>
      <c r="P111" s="207"/>
      <c r="Q111" s="207"/>
      <c r="R111" s="207"/>
      <c r="S111" s="207"/>
      <c r="T111" s="207"/>
      <c r="U111" s="207"/>
      <c r="V111" s="254"/>
      <c r="W111" s="254"/>
      <c r="X111" s="254"/>
      <c r="Y111" s="206" t="s">
        <v>148</v>
      </c>
      <c r="Z111" s="255">
        <f>Z112+Z114+Z118+Z120+Z122+Z124+Z128+Z130+Z132+Z116+Z126</f>
        <v>5416469.3599999994</v>
      </c>
      <c r="AA111" s="255">
        <f>AA112+AA114+AA118+AA120+AA122+AA124+AA128+AA130</f>
        <v>2350000</v>
      </c>
      <c r="AB111" s="255">
        <f>AB112+AB114+AB118+AB120+AB122+AB124+AB128+AB130</f>
        <v>2350000</v>
      </c>
      <c r="AC111" s="502" t="s">
        <v>148</v>
      </c>
      <c r="AD111" s="503"/>
    </row>
    <row r="112" spans="1:30" ht="66.75" customHeight="1" x14ac:dyDescent="0.3">
      <c r="A112" s="433" t="s">
        <v>592</v>
      </c>
      <c r="B112" s="370" t="s">
        <v>15</v>
      </c>
      <c r="C112" s="276" t="s">
        <v>136</v>
      </c>
      <c r="D112" s="276" t="s">
        <v>126</v>
      </c>
      <c r="E112" s="276" t="s">
        <v>593</v>
      </c>
      <c r="F112" s="187"/>
      <c r="G112" s="187"/>
      <c r="H112" s="187"/>
      <c r="I112" s="187"/>
      <c r="J112" s="187"/>
      <c r="K112" s="187"/>
      <c r="L112" s="187"/>
      <c r="M112" s="187"/>
      <c r="N112" s="187"/>
      <c r="O112" s="187"/>
      <c r="P112" s="187"/>
      <c r="Q112" s="187"/>
      <c r="R112" s="187"/>
      <c r="S112" s="187"/>
      <c r="T112" s="187"/>
      <c r="U112" s="207"/>
      <c r="V112" s="254"/>
      <c r="W112" s="254"/>
      <c r="X112" s="254"/>
      <c r="Y112" s="206"/>
      <c r="Z112" s="280">
        <f>Z113</f>
        <v>4085799.91</v>
      </c>
      <c r="AA112" s="280">
        <f>AA113</f>
        <v>1800000</v>
      </c>
      <c r="AB112" s="280">
        <f>AB113</f>
        <v>1800000</v>
      </c>
      <c r="AC112" s="502"/>
      <c r="AD112" s="503"/>
    </row>
    <row r="113" spans="1:31" ht="53.25" customHeight="1" x14ac:dyDescent="0.3">
      <c r="A113" s="417" t="s">
        <v>669</v>
      </c>
      <c r="B113" s="370" t="s">
        <v>15</v>
      </c>
      <c r="C113" s="276" t="s">
        <v>136</v>
      </c>
      <c r="D113" s="276" t="s">
        <v>126</v>
      </c>
      <c r="E113" s="276" t="s">
        <v>593</v>
      </c>
      <c r="F113" s="187"/>
      <c r="G113" s="187"/>
      <c r="H113" s="187"/>
      <c r="I113" s="187"/>
      <c r="J113" s="187"/>
      <c r="K113" s="187"/>
      <c r="L113" s="187"/>
      <c r="M113" s="187"/>
      <c r="N113" s="187"/>
      <c r="O113" s="187"/>
      <c r="P113" s="187"/>
      <c r="Q113" s="187"/>
      <c r="R113" s="187"/>
      <c r="S113" s="187"/>
      <c r="T113" s="276" t="s">
        <v>290</v>
      </c>
      <c r="U113" s="207"/>
      <c r="V113" s="254"/>
      <c r="W113" s="254"/>
      <c r="X113" s="254"/>
      <c r="Y113" s="206"/>
      <c r="Z113" s="280">
        <f>500000+1300000+1800000+400000-40000+125799.91</f>
        <v>4085799.91</v>
      </c>
      <c r="AA113" s="280">
        <v>1800000</v>
      </c>
      <c r="AB113" s="280">
        <v>1800000</v>
      </c>
      <c r="AC113" s="502"/>
      <c r="AD113" s="503"/>
      <c r="AE113" s="510"/>
    </row>
    <row r="114" spans="1:31" ht="65.25" customHeight="1" x14ac:dyDescent="0.3">
      <c r="A114" s="414" t="s">
        <v>670</v>
      </c>
      <c r="B114" s="208" t="s">
        <v>15</v>
      </c>
      <c r="C114" s="208" t="s">
        <v>136</v>
      </c>
      <c r="D114" s="208" t="s">
        <v>126</v>
      </c>
      <c r="E114" s="276" t="s">
        <v>594</v>
      </c>
      <c r="F114" s="208"/>
      <c r="G114" s="208"/>
      <c r="H114" s="208"/>
      <c r="I114" s="208"/>
      <c r="J114" s="208"/>
      <c r="K114" s="208"/>
      <c r="L114" s="208"/>
      <c r="M114" s="208"/>
      <c r="N114" s="208"/>
      <c r="O114" s="208"/>
      <c r="P114" s="208"/>
      <c r="Q114" s="208"/>
      <c r="R114" s="208"/>
      <c r="S114" s="208"/>
      <c r="T114" s="208"/>
      <c r="U114" s="208"/>
      <c r="V114" s="250"/>
      <c r="W114" s="250"/>
      <c r="X114" s="250"/>
      <c r="Y114" s="203" t="s">
        <v>337</v>
      </c>
      <c r="Z114" s="280">
        <f>Z115</f>
        <v>366972.79</v>
      </c>
      <c r="AA114" s="280">
        <f>AA115</f>
        <v>0</v>
      </c>
      <c r="AB114" s="280">
        <f>AB115</f>
        <v>0</v>
      </c>
      <c r="AC114" s="350" t="s">
        <v>337</v>
      </c>
      <c r="AD114" s="503"/>
    </row>
    <row r="115" spans="1:31" ht="51" customHeight="1" x14ac:dyDescent="0.3">
      <c r="A115" s="400" t="s">
        <v>338</v>
      </c>
      <c r="B115" s="185" t="s">
        <v>15</v>
      </c>
      <c r="C115" s="185" t="s">
        <v>136</v>
      </c>
      <c r="D115" s="185" t="s">
        <v>126</v>
      </c>
      <c r="E115" s="276" t="s">
        <v>594</v>
      </c>
      <c r="F115" s="185"/>
      <c r="G115" s="185"/>
      <c r="H115" s="185"/>
      <c r="I115" s="185"/>
      <c r="J115" s="185"/>
      <c r="K115" s="185"/>
      <c r="L115" s="185"/>
      <c r="M115" s="185"/>
      <c r="N115" s="185"/>
      <c r="O115" s="185"/>
      <c r="P115" s="185"/>
      <c r="Q115" s="185"/>
      <c r="R115" s="185"/>
      <c r="S115" s="185"/>
      <c r="T115" s="185" t="s">
        <v>290</v>
      </c>
      <c r="U115" s="185"/>
      <c r="V115" s="186"/>
      <c r="W115" s="186"/>
      <c r="X115" s="186"/>
      <c r="Y115" s="184" t="s">
        <v>338</v>
      </c>
      <c r="Z115" s="253">
        <f>400000-33027.21</f>
        <v>366972.79</v>
      </c>
      <c r="AA115" s="253">
        <v>0</v>
      </c>
      <c r="AB115" s="253">
        <v>0</v>
      </c>
      <c r="AC115" s="504" t="s">
        <v>338</v>
      </c>
      <c r="AD115" s="503"/>
    </row>
    <row r="116" spans="1:31" ht="84.75" customHeight="1" x14ac:dyDescent="0.3">
      <c r="A116" s="402" t="s">
        <v>1057</v>
      </c>
      <c r="B116" s="185" t="s">
        <v>15</v>
      </c>
      <c r="C116" s="185" t="s">
        <v>136</v>
      </c>
      <c r="D116" s="185" t="s">
        <v>126</v>
      </c>
      <c r="E116" s="276" t="s">
        <v>1056</v>
      </c>
      <c r="F116" s="185"/>
      <c r="G116" s="185"/>
      <c r="H116" s="185"/>
      <c r="I116" s="185"/>
      <c r="J116" s="185"/>
      <c r="K116" s="185"/>
      <c r="L116" s="185"/>
      <c r="M116" s="185"/>
      <c r="N116" s="185"/>
      <c r="O116" s="185"/>
      <c r="P116" s="185"/>
      <c r="Q116" s="185"/>
      <c r="R116" s="185"/>
      <c r="S116" s="185"/>
      <c r="T116" s="185"/>
      <c r="U116" s="185"/>
      <c r="V116" s="186"/>
      <c r="W116" s="186"/>
      <c r="X116" s="186"/>
      <c r="Y116" s="184"/>
      <c r="Z116" s="253">
        <f>Z117</f>
        <v>248277.02000000002</v>
      </c>
      <c r="AA116" s="253">
        <v>0</v>
      </c>
      <c r="AB116" s="253">
        <v>0</v>
      </c>
      <c r="AC116" s="504"/>
      <c r="AD116" s="503"/>
    </row>
    <row r="117" spans="1:31" ht="66.75" customHeight="1" x14ac:dyDescent="0.3">
      <c r="A117" s="400" t="s">
        <v>1058</v>
      </c>
      <c r="B117" s="185" t="s">
        <v>15</v>
      </c>
      <c r="C117" s="185" t="s">
        <v>136</v>
      </c>
      <c r="D117" s="185" t="s">
        <v>126</v>
      </c>
      <c r="E117" s="276" t="s">
        <v>1056</v>
      </c>
      <c r="F117" s="185"/>
      <c r="G117" s="185"/>
      <c r="H117" s="185"/>
      <c r="I117" s="185"/>
      <c r="J117" s="185"/>
      <c r="K117" s="185"/>
      <c r="L117" s="185"/>
      <c r="M117" s="185"/>
      <c r="N117" s="185"/>
      <c r="O117" s="185"/>
      <c r="P117" s="185"/>
      <c r="Q117" s="185"/>
      <c r="R117" s="185"/>
      <c r="S117" s="185"/>
      <c r="T117" s="185" t="s">
        <v>290</v>
      </c>
      <c r="U117" s="185"/>
      <c r="V117" s="186"/>
      <c r="W117" s="186"/>
      <c r="X117" s="186"/>
      <c r="Y117" s="184"/>
      <c r="Z117" s="253">
        <f>128277.02+120000</f>
        <v>248277.02000000002</v>
      </c>
      <c r="AA117" s="253">
        <v>0</v>
      </c>
      <c r="AB117" s="253">
        <v>0</v>
      </c>
      <c r="AC117" s="504"/>
      <c r="AD117" s="503"/>
    </row>
    <row r="118" spans="1:31" ht="67.5" customHeight="1" x14ac:dyDescent="0.3">
      <c r="A118" s="402" t="s">
        <v>671</v>
      </c>
      <c r="B118" s="208" t="s">
        <v>15</v>
      </c>
      <c r="C118" s="208" t="s">
        <v>136</v>
      </c>
      <c r="D118" s="208" t="s">
        <v>126</v>
      </c>
      <c r="E118" s="276" t="s">
        <v>595</v>
      </c>
      <c r="F118" s="208"/>
      <c r="G118" s="208"/>
      <c r="H118" s="208"/>
      <c r="I118" s="208"/>
      <c r="J118" s="208"/>
      <c r="K118" s="208"/>
      <c r="L118" s="208"/>
      <c r="M118" s="208"/>
      <c r="N118" s="208"/>
      <c r="O118" s="208"/>
      <c r="P118" s="208"/>
      <c r="Q118" s="208"/>
      <c r="R118" s="208"/>
      <c r="S118" s="208"/>
      <c r="T118" s="208"/>
      <c r="U118" s="208"/>
      <c r="V118" s="250"/>
      <c r="W118" s="250"/>
      <c r="X118" s="250"/>
      <c r="Y118" s="203" t="s">
        <v>339</v>
      </c>
      <c r="Z118" s="280">
        <f>Z119</f>
        <v>0</v>
      </c>
      <c r="AA118" s="280">
        <f>AA119</f>
        <v>100000</v>
      </c>
      <c r="AB118" s="280">
        <f>AB119</f>
        <v>100000</v>
      </c>
      <c r="AC118" s="350" t="s">
        <v>339</v>
      </c>
      <c r="AD118" s="503"/>
    </row>
    <row r="119" spans="1:31" ht="51.75" customHeight="1" x14ac:dyDescent="0.3">
      <c r="A119" s="400" t="s">
        <v>340</v>
      </c>
      <c r="B119" s="185" t="s">
        <v>15</v>
      </c>
      <c r="C119" s="185" t="s">
        <v>136</v>
      </c>
      <c r="D119" s="185" t="s">
        <v>126</v>
      </c>
      <c r="E119" s="276" t="s">
        <v>595</v>
      </c>
      <c r="F119" s="185"/>
      <c r="G119" s="185"/>
      <c r="H119" s="185"/>
      <c r="I119" s="185"/>
      <c r="J119" s="185"/>
      <c r="K119" s="185"/>
      <c r="L119" s="185"/>
      <c r="M119" s="185"/>
      <c r="N119" s="185"/>
      <c r="O119" s="185"/>
      <c r="P119" s="185"/>
      <c r="Q119" s="185"/>
      <c r="R119" s="185"/>
      <c r="S119" s="185"/>
      <c r="T119" s="185" t="s">
        <v>290</v>
      </c>
      <c r="U119" s="185"/>
      <c r="V119" s="186"/>
      <c r="W119" s="186"/>
      <c r="X119" s="186"/>
      <c r="Y119" s="184" t="s">
        <v>340</v>
      </c>
      <c r="Z119" s="253">
        <f>56000-56000</f>
        <v>0</v>
      </c>
      <c r="AA119" s="253">
        <v>100000</v>
      </c>
      <c r="AB119" s="253">
        <v>100000</v>
      </c>
      <c r="AC119" s="504" t="s">
        <v>340</v>
      </c>
      <c r="AD119" s="503"/>
    </row>
    <row r="120" spans="1:31" ht="112.5" hidden="1" customHeight="1" x14ac:dyDescent="0.3">
      <c r="A120" s="402" t="s">
        <v>672</v>
      </c>
      <c r="B120" s="208" t="s">
        <v>15</v>
      </c>
      <c r="C120" s="208" t="s">
        <v>136</v>
      </c>
      <c r="D120" s="208" t="s">
        <v>126</v>
      </c>
      <c r="E120" s="276" t="s">
        <v>596</v>
      </c>
      <c r="F120" s="208"/>
      <c r="G120" s="208"/>
      <c r="H120" s="208"/>
      <c r="I120" s="208"/>
      <c r="J120" s="208"/>
      <c r="K120" s="208"/>
      <c r="L120" s="208"/>
      <c r="M120" s="208"/>
      <c r="N120" s="208"/>
      <c r="O120" s="208"/>
      <c r="P120" s="208"/>
      <c r="Q120" s="208"/>
      <c r="R120" s="208"/>
      <c r="S120" s="208"/>
      <c r="T120" s="208"/>
      <c r="U120" s="208"/>
      <c r="V120" s="250"/>
      <c r="W120" s="250"/>
      <c r="X120" s="250"/>
      <c r="Y120" s="203" t="s">
        <v>341</v>
      </c>
      <c r="Z120" s="280">
        <f>Z121</f>
        <v>0</v>
      </c>
      <c r="AA120" s="280">
        <f>AA121</f>
        <v>0</v>
      </c>
      <c r="AB120" s="280">
        <f>AB121</f>
        <v>0</v>
      </c>
      <c r="AC120" s="350" t="s">
        <v>341</v>
      </c>
      <c r="AD120" s="503"/>
    </row>
    <row r="121" spans="1:31" ht="111.75" hidden="1" customHeight="1" x14ac:dyDescent="0.3">
      <c r="A121" s="400" t="s">
        <v>342</v>
      </c>
      <c r="B121" s="185" t="s">
        <v>15</v>
      </c>
      <c r="C121" s="185" t="s">
        <v>136</v>
      </c>
      <c r="D121" s="185" t="s">
        <v>126</v>
      </c>
      <c r="E121" s="276" t="s">
        <v>596</v>
      </c>
      <c r="F121" s="185"/>
      <c r="G121" s="185"/>
      <c r="H121" s="185"/>
      <c r="I121" s="185"/>
      <c r="J121" s="185"/>
      <c r="K121" s="185"/>
      <c r="L121" s="185"/>
      <c r="M121" s="185"/>
      <c r="N121" s="185"/>
      <c r="O121" s="185"/>
      <c r="P121" s="185"/>
      <c r="Q121" s="185"/>
      <c r="R121" s="185"/>
      <c r="S121" s="185"/>
      <c r="T121" s="185" t="s">
        <v>290</v>
      </c>
      <c r="U121" s="185"/>
      <c r="V121" s="186"/>
      <c r="W121" s="186"/>
      <c r="X121" s="186"/>
      <c r="Y121" s="184" t="s">
        <v>342</v>
      </c>
      <c r="Z121" s="253">
        <f>49950-49950</f>
        <v>0</v>
      </c>
      <c r="AA121" s="253">
        <v>0</v>
      </c>
      <c r="AB121" s="253">
        <v>0</v>
      </c>
      <c r="AC121" s="504" t="s">
        <v>342</v>
      </c>
      <c r="AD121" s="503"/>
    </row>
    <row r="122" spans="1:31" ht="65.25" customHeight="1" x14ac:dyDescent="0.3">
      <c r="A122" s="402" t="s">
        <v>969</v>
      </c>
      <c r="B122" s="208" t="s">
        <v>15</v>
      </c>
      <c r="C122" s="208" t="s">
        <v>136</v>
      </c>
      <c r="D122" s="208" t="s">
        <v>126</v>
      </c>
      <c r="E122" s="276" t="s">
        <v>597</v>
      </c>
      <c r="F122" s="208"/>
      <c r="G122" s="208"/>
      <c r="H122" s="208"/>
      <c r="I122" s="208"/>
      <c r="J122" s="208"/>
      <c r="K122" s="208"/>
      <c r="L122" s="208"/>
      <c r="M122" s="208"/>
      <c r="N122" s="208"/>
      <c r="O122" s="208"/>
      <c r="P122" s="208"/>
      <c r="Q122" s="208"/>
      <c r="R122" s="208"/>
      <c r="S122" s="208"/>
      <c r="T122" s="208"/>
      <c r="U122" s="208"/>
      <c r="V122" s="250"/>
      <c r="W122" s="250"/>
      <c r="X122" s="250"/>
      <c r="Y122" s="203" t="s">
        <v>343</v>
      </c>
      <c r="Z122" s="280">
        <f>Z123</f>
        <v>260194.72999999998</v>
      </c>
      <c r="AA122" s="280">
        <f>AA123</f>
        <v>300000</v>
      </c>
      <c r="AB122" s="280">
        <f>AB123</f>
        <v>300000</v>
      </c>
      <c r="AC122" s="350" t="s">
        <v>343</v>
      </c>
      <c r="AD122" s="503"/>
    </row>
    <row r="123" spans="1:31" ht="50.25" customHeight="1" x14ac:dyDescent="0.3">
      <c r="A123" s="400" t="s">
        <v>970</v>
      </c>
      <c r="B123" s="185" t="s">
        <v>15</v>
      </c>
      <c r="C123" s="185" t="s">
        <v>136</v>
      </c>
      <c r="D123" s="185" t="s">
        <v>126</v>
      </c>
      <c r="E123" s="276" t="s">
        <v>597</v>
      </c>
      <c r="F123" s="185"/>
      <c r="G123" s="185"/>
      <c r="H123" s="185"/>
      <c r="I123" s="185"/>
      <c r="J123" s="185"/>
      <c r="K123" s="185"/>
      <c r="L123" s="185"/>
      <c r="M123" s="185"/>
      <c r="N123" s="185"/>
      <c r="O123" s="185"/>
      <c r="P123" s="185"/>
      <c r="Q123" s="185"/>
      <c r="R123" s="185"/>
      <c r="S123" s="185"/>
      <c r="T123" s="185" t="s">
        <v>290</v>
      </c>
      <c r="U123" s="185"/>
      <c r="V123" s="186"/>
      <c r="W123" s="186"/>
      <c r="X123" s="186"/>
      <c r="Y123" s="184" t="s">
        <v>344</v>
      </c>
      <c r="Z123" s="253">
        <f>100000+60000+152194.73-52000</f>
        <v>260194.72999999998</v>
      </c>
      <c r="AA123" s="253">
        <v>300000</v>
      </c>
      <c r="AB123" s="253">
        <v>300000</v>
      </c>
      <c r="AC123" s="504" t="s">
        <v>344</v>
      </c>
      <c r="AD123" s="503"/>
    </row>
    <row r="124" spans="1:31" ht="69" hidden="1" customHeight="1" x14ac:dyDescent="0.3">
      <c r="A124" s="402" t="s">
        <v>882</v>
      </c>
      <c r="B124" s="208" t="s">
        <v>15</v>
      </c>
      <c r="C124" s="208" t="s">
        <v>136</v>
      </c>
      <c r="D124" s="208" t="s">
        <v>126</v>
      </c>
      <c r="E124" s="276" t="s">
        <v>884</v>
      </c>
      <c r="F124" s="208"/>
      <c r="G124" s="208"/>
      <c r="H124" s="208"/>
      <c r="I124" s="208"/>
      <c r="J124" s="208"/>
      <c r="K124" s="208"/>
      <c r="L124" s="208"/>
      <c r="M124" s="208"/>
      <c r="N124" s="208"/>
      <c r="O124" s="208"/>
      <c r="P124" s="208"/>
      <c r="Q124" s="208"/>
      <c r="R124" s="208"/>
      <c r="S124" s="208"/>
      <c r="T124" s="208"/>
      <c r="U124" s="208"/>
      <c r="V124" s="250"/>
      <c r="W124" s="250"/>
      <c r="X124" s="250"/>
      <c r="Y124" s="203" t="s">
        <v>345</v>
      </c>
      <c r="Z124" s="280">
        <f>Z125</f>
        <v>0</v>
      </c>
      <c r="AA124" s="280">
        <f>AA125</f>
        <v>0</v>
      </c>
      <c r="AB124" s="280">
        <f>AB125</f>
        <v>0</v>
      </c>
      <c r="AC124" s="350" t="s">
        <v>345</v>
      </c>
      <c r="AD124" s="503"/>
    </row>
    <row r="125" spans="1:31" ht="50.25" hidden="1" customHeight="1" x14ac:dyDescent="0.3">
      <c r="A125" s="400" t="s">
        <v>883</v>
      </c>
      <c r="B125" s="185" t="s">
        <v>15</v>
      </c>
      <c r="C125" s="185" t="s">
        <v>136</v>
      </c>
      <c r="D125" s="185" t="s">
        <v>126</v>
      </c>
      <c r="E125" s="276" t="s">
        <v>884</v>
      </c>
      <c r="F125" s="185"/>
      <c r="G125" s="185"/>
      <c r="H125" s="185"/>
      <c r="I125" s="185"/>
      <c r="J125" s="185"/>
      <c r="K125" s="185"/>
      <c r="L125" s="185"/>
      <c r="M125" s="185"/>
      <c r="N125" s="185"/>
      <c r="O125" s="185"/>
      <c r="P125" s="185"/>
      <c r="Q125" s="185"/>
      <c r="R125" s="185"/>
      <c r="S125" s="185"/>
      <c r="T125" s="185" t="s">
        <v>290</v>
      </c>
      <c r="U125" s="185"/>
      <c r="V125" s="186"/>
      <c r="W125" s="186"/>
      <c r="X125" s="186"/>
      <c r="Y125" s="184" t="s">
        <v>346</v>
      </c>
      <c r="Z125" s="253">
        <f>2340000-2340000</f>
        <v>0</v>
      </c>
      <c r="AA125" s="253">
        <v>0</v>
      </c>
      <c r="AB125" s="253">
        <v>0</v>
      </c>
      <c r="AC125" s="504" t="s">
        <v>346</v>
      </c>
      <c r="AD125" s="503"/>
    </row>
    <row r="126" spans="1:31" ht="64.5" customHeight="1" x14ac:dyDescent="0.3">
      <c r="A126" s="402" t="s">
        <v>1065</v>
      </c>
      <c r="B126" s="185" t="s">
        <v>15</v>
      </c>
      <c r="C126" s="185" t="s">
        <v>136</v>
      </c>
      <c r="D126" s="185" t="s">
        <v>126</v>
      </c>
      <c r="E126" s="276" t="s">
        <v>1067</v>
      </c>
      <c r="F126" s="185"/>
      <c r="G126" s="185"/>
      <c r="H126" s="185"/>
      <c r="I126" s="185"/>
      <c r="J126" s="185"/>
      <c r="K126" s="185"/>
      <c r="L126" s="185"/>
      <c r="M126" s="185"/>
      <c r="N126" s="185"/>
      <c r="O126" s="185"/>
      <c r="P126" s="185"/>
      <c r="Q126" s="185"/>
      <c r="R126" s="185"/>
      <c r="S126" s="185"/>
      <c r="T126" s="185"/>
      <c r="U126" s="185"/>
      <c r="V126" s="186"/>
      <c r="W126" s="186"/>
      <c r="X126" s="186"/>
      <c r="Y126" s="184"/>
      <c r="Z126" s="253">
        <f>Z127</f>
        <v>4050</v>
      </c>
      <c r="AA126" s="253">
        <v>0</v>
      </c>
      <c r="AB126" s="253">
        <v>0</v>
      </c>
      <c r="AC126" s="504"/>
      <c r="AD126" s="503"/>
    </row>
    <row r="127" spans="1:31" ht="48" customHeight="1" x14ac:dyDescent="0.3">
      <c r="A127" s="400" t="s">
        <v>1066</v>
      </c>
      <c r="B127" s="185" t="s">
        <v>15</v>
      </c>
      <c r="C127" s="185" t="s">
        <v>136</v>
      </c>
      <c r="D127" s="185" t="s">
        <v>126</v>
      </c>
      <c r="E127" s="276" t="s">
        <v>1067</v>
      </c>
      <c r="F127" s="185"/>
      <c r="G127" s="185"/>
      <c r="H127" s="185"/>
      <c r="I127" s="185"/>
      <c r="J127" s="185"/>
      <c r="K127" s="185"/>
      <c r="L127" s="185"/>
      <c r="M127" s="185"/>
      <c r="N127" s="185"/>
      <c r="O127" s="185"/>
      <c r="P127" s="185"/>
      <c r="Q127" s="185"/>
      <c r="R127" s="185"/>
      <c r="S127" s="185"/>
      <c r="T127" s="185" t="s">
        <v>290</v>
      </c>
      <c r="U127" s="185"/>
      <c r="V127" s="186"/>
      <c r="W127" s="186"/>
      <c r="X127" s="186"/>
      <c r="Y127" s="184"/>
      <c r="Z127" s="253">
        <f>50000-45950</f>
        <v>4050</v>
      </c>
      <c r="AA127" s="253">
        <v>0</v>
      </c>
      <c r="AB127" s="253">
        <v>0</v>
      </c>
      <c r="AC127" s="504"/>
      <c r="AD127" s="503"/>
    </row>
    <row r="128" spans="1:31" ht="66.75" customHeight="1" x14ac:dyDescent="0.3">
      <c r="A128" s="402" t="s">
        <v>674</v>
      </c>
      <c r="B128" s="208" t="s">
        <v>15</v>
      </c>
      <c r="C128" s="208" t="s">
        <v>136</v>
      </c>
      <c r="D128" s="208" t="s">
        <v>126</v>
      </c>
      <c r="E128" s="276" t="s">
        <v>598</v>
      </c>
      <c r="F128" s="208"/>
      <c r="G128" s="208"/>
      <c r="H128" s="208"/>
      <c r="I128" s="208"/>
      <c r="J128" s="208"/>
      <c r="K128" s="208"/>
      <c r="L128" s="208"/>
      <c r="M128" s="208"/>
      <c r="N128" s="208"/>
      <c r="O128" s="208"/>
      <c r="P128" s="208"/>
      <c r="Q128" s="208"/>
      <c r="R128" s="208"/>
      <c r="S128" s="208"/>
      <c r="T128" s="208"/>
      <c r="U128" s="208"/>
      <c r="V128" s="250"/>
      <c r="W128" s="250"/>
      <c r="X128" s="250"/>
      <c r="Y128" s="203" t="s">
        <v>347</v>
      </c>
      <c r="Z128" s="280">
        <f>Z129</f>
        <v>332824.90999999997</v>
      </c>
      <c r="AA128" s="280">
        <f>AA129</f>
        <v>100000</v>
      </c>
      <c r="AB128" s="280">
        <f>AB129</f>
        <v>100000</v>
      </c>
      <c r="AC128" s="350" t="s">
        <v>347</v>
      </c>
      <c r="AD128" s="503"/>
    </row>
    <row r="129" spans="1:31" ht="33" customHeight="1" x14ac:dyDescent="0.3">
      <c r="A129" s="400" t="s">
        <v>348</v>
      </c>
      <c r="B129" s="185" t="s">
        <v>15</v>
      </c>
      <c r="C129" s="185" t="s">
        <v>136</v>
      </c>
      <c r="D129" s="185" t="s">
        <v>126</v>
      </c>
      <c r="E129" s="276" t="s">
        <v>598</v>
      </c>
      <c r="F129" s="185"/>
      <c r="G129" s="185"/>
      <c r="H129" s="185"/>
      <c r="I129" s="185"/>
      <c r="J129" s="185"/>
      <c r="K129" s="185"/>
      <c r="L129" s="185"/>
      <c r="M129" s="185"/>
      <c r="N129" s="185"/>
      <c r="O129" s="185"/>
      <c r="P129" s="185"/>
      <c r="Q129" s="185"/>
      <c r="R129" s="185"/>
      <c r="S129" s="185"/>
      <c r="T129" s="185" t="s">
        <v>290</v>
      </c>
      <c r="U129" s="185"/>
      <c r="V129" s="186"/>
      <c r="W129" s="186"/>
      <c r="X129" s="186"/>
      <c r="Y129" s="184" t="s">
        <v>348</v>
      </c>
      <c r="Z129" s="253">
        <f>50000+50000+150000+100000-17175.09</f>
        <v>332824.90999999997</v>
      </c>
      <c r="AA129" s="253">
        <v>100000</v>
      </c>
      <c r="AB129" s="253">
        <v>100000</v>
      </c>
      <c r="AC129" s="504" t="s">
        <v>348</v>
      </c>
      <c r="AD129" s="503"/>
    </row>
    <row r="130" spans="1:31" ht="115.5" customHeight="1" x14ac:dyDescent="0.3">
      <c r="A130" s="402" t="s">
        <v>675</v>
      </c>
      <c r="B130" s="208" t="s">
        <v>15</v>
      </c>
      <c r="C130" s="208" t="s">
        <v>136</v>
      </c>
      <c r="D130" s="208" t="s">
        <v>126</v>
      </c>
      <c r="E130" s="276" t="s">
        <v>599</v>
      </c>
      <c r="F130" s="208"/>
      <c r="G130" s="208"/>
      <c r="H130" s="208"/>
      <c r="I130" s="208"/>
      <c r="J130" s="208"/>
      <c r="K130" s="208"/>
      <c r="L130" s="208"/>
      <c r="M130" s="208"/>
      <c r="N130" s="208"/>
      <c r="O130" s="208"/>
      <c r="P130" s="208"/>
      <c r="Q130" s="208"/>
      <c r="R130" s="208"/>
      <c r="S130" s="208"/>
      <c r="T130" s="208"/>
      <c r="U130" s="208"/>
      <c r="V130" s="250"/>
      <c r="W130" s="250"/>
      <c r="X130" s="250"/>
      <c r="Y130" s="203" t="s">
        <v>349</v>
      </c>
      <c r="Z130" s="280">
        <f>Z131</f>
        <v>42350</v>
      </c>
      <c r="AA130" s="280">
        <f>AA131</f>
        <v>50000</v>
      </c>
      <c r="AB130" s="280">
        <f>AB131</f>
        <v>50000</v>
      </c>
      <c r="AC130" s="350" t="s">
        <v>349</v>
      </c>
      <c r="AD130" s="503"/>
    </row>
    <row r="131" spans="1:31" ht="82.5" customHeight="1" x14ac:dyDescent="0.3">
      <c r="A131" s="403" t="s">
        <v>350</v>
      </c>
      <c r="B131" s="185" t="s">
        <v>15</v>
      </c>
      <c r="C131" s="185" t="s">
        <v>136</v>
      </c>
      <c r="D131" s="185" t="s">
        <v>126</v>
      </c>
      <c r="E131" s="276" t="s">
        <v>599</v>
      </c>
      <c r="F131" s="185"/>
      <c r="G131" s="185"/>
      <c r="H131" s="185"/>
      <c r="I131" s="185"/>
      <c r="J131" s="185"/>
      <c r="K131" s="185"/>
      <c r="L131" s="185"/>
      <c r="M131" s="185"/>
      <c r="N131" s="185"/>
      <c r="O131" s="185"/>
      <c r="P131" s="185"/>
      <c r="Q131" s="185"/>
      <c r="R131" s="185"/>
      <c r="S131" s="185"/>
      <c r="T131" s="185" t="s">
        <v>290</v>
      </c>
      <c r="U131" s="185"/>
      <c r="V131" s="186"/>
      <c r="W131" s="186"/>
      <c r="X131" s="186"/>
      <c r="Y131" s="204" t="s">
        <v>350</v>
      </c>
      <c r="Z131" s="253">
        <f>30000+120000-107650</f>
        <v>42350</v>
      </c>
      <c r="AA131" s="253">
        <v>50000</v>
      </c>
      <c r="AB131" s="253">
        <v>50000</v>
      </c>
      <c r="AC131" s="190" t="s">
        <v>350</v>
      </c>
      <c r="AD131" s="503"/>
    </row>
    <row r="132" spans="1:31" ht="66.75" customHeight="1" x14ac:dyDescent="0.3">
      <c r="A132" s="402" t="s">
        <v>956</v>
      </c>
      <c r="B132" s="208" t="s">
        <v>15</v>
      </c>
      <c r="C132" s="208" t="s">
        <v>136</v>
      </c>
      <c r="D132" s="208" t="s">
        <v>126</v>
      </c>
      <c r="E132" s="276" t="s">
        <v>958</v>
      </c>
      <c r="F132" s="208"/>
      <c r="G132" s="208"/>
      <c r="H132" s="208"/>
      <c r="I132" s="208"/>
      <c r="J132" s="208"/>
      <c r="K132" s="208"/>
      <c r="L132" s="208"/>
      <c r="M132" s="208"/>
      <c r="N132" s="208"/>
      <c r="O132" s="208"/>
      <c r="P132" s="208"/>
      <c r="Q132" s="208"/>
      <c r="R132" s="208"/>
      <c r="S132" s="208"/>
      <c r="T132" s="208"/>
      <c r="U132" s="208"/>
      <c r="V132" s="250"/>
      <c r="W132" s="250"/>
      <c r="X132" s="250"/>
      <c r="Y132" s="203"/>
      <c r="Z132" s="280">
        <f>Z133</f>
        <v>76000</v>
      </c>
      <c r="AA132" s="280">
        <v>0</v>
      </c>
      <c r="AB132" s="280">
        <v>0</v>
      </c>
      <c r="AC132" s="350" t="s">
        <v>353</v>
      </c>
      <c r="AD132" s="503"/>
    </row>
    <row r="133" spans="1:31" ht="50.25" customHeight="1" x14ac:dyDescent="0.3">
      <c r="A133" s="400" t="s">
        <v>957</v>
      </c>
      <c r="B133" s="208" t="s">
        <v>15</v>
      </c>
      <c r="C133" s="208" t="s">
        <v>136</v>
      </c>
      <c r="D133" s="208" t="s">
        <v>126</v>
      </c>
      <c r="E133" s="276" t="s">
        <v>958</v>
      </c>
      <c r="F133" s="185"/>
      <c r="G133" s="185"/>
      <c r="H133" s="185"/>
      <c r="I133" s="185"/>
      <c r="J133" s="185"/>
      <c r="K133" s="185"/>
      <c r="L133" s="185"/>
      <c r="M133" s="185"/>
      <c r="N133" s="185"/>
      <c r="O133" s="185"/>
      <c r="P133" s="185"/>
      <c r="Q133" s="185"/>
      <c r="R133" s="185"/>
      <c r="S133" s="185"/>
      <c r="T133" s="185" t="s">
        <v>290</v>
      </c>
      <c r="U133" s="185"/>
      <c r="V133" s="186"/>
      <c r="W133" s="186"/>
      <c r="X133" s="186"/>
      <c r="Y133" s="184"/>
      <c r="Z133" s="253">
        <f>80000-4000</f>
        <v>76000</v>
      </c>
      <c r="AA133" s="253">
        <v>0</v>
      </c>
      <c r="AB133" s="253">
        <v>0</v>
      </c>
      <c r="AC133" s="504" t="s">
        <v>354</v>
      </c>
      <c r="AD133" s="503"/>
    </row>
    <row r="134" spans="1:31" ht="23.25" customHeight="1" x14ac:dyDescent="0.35">
      <c r="A134" s="415" t="s">
        <v>676</v>
      </c>
      <c r="B134" s="207" t="s">
        <v>15</v>
      </c>
      <c r="C134" s="207" t="s">
        <v>136</v>
      </c>
      <c r="D134" s="207" t="s">
        <v>127</v>
      </c>
      <c r="E134" s="207"/>
      <c r="F134" s="207"/>
      <c r="G134" s="207"/>
      <c r="H134" s="207"/>
      <c r="I134" s="207"/>
      <c r="J134" s="207"/>
      <c r="K134" s="207"/>
      <c r="L134" s="207"/>
      <c r="M134" s="207"/>
      <c r="N134" s="207"/>
      <c r="O134" s="207"/>
      <c r="P134" s="207"/>
      <c r="Q134" s="207"/>
      <c r="R134" s="207"/>
      <c r="S134" s="207"/>
      <c r="T134" s="207"/>
      <c r="U134" s="185"/>
      <c r="V134" s="186"/>
      <c r="W134" s="186"/>
      <c r="X134" s="186"/>
      <c r="Y134" s="184"/>
      <c r="Z134" s="256">
        <f>Z135+Z137+Z139</f>
        <v>28232549.77</v>
      </c>
      <c r="AA134" s="256">
        <f>AA135+AA137</f>
        <v>30668922.379999999</v>
      </c>
      <c r="AB134" s="256">
        <f>AB135+AB137</f>
        <v>31440563.449999999</v>
      </c>
      <c r="AC134" s="504"/>
      <c r="AD134" s="503"/>
    </row>
    <row r="135" spans="1:31" ht="80.25" customHeight="1" x14ac:dyDescent="0.3">
      <c r="A135" s="402" t="s">
        <v>654</v>
      </c>
      <c r="B135" s="208" t="s">
        <v>15</v>
      </c>
      <c r="C135" s="208" t="s">
        <v>136</v>
      </c>
      <c r="D135" s="208" t="s">
        <v>127</v>
      </c>
      <c r="E135" s="208" t="s">
        <v>600</v>
      </c>
      <c r="F135" s="208"/>
      <c r="G135" s="208"/>
      <c r="H135" s="208"/>
      <c r="I135" s="208"/>
      <c r="J135" s="208"/>
      <c r="K135" s="208"/>
      <c r="L135" s="208"/>
      <c r="M135" s="208"/>
      <c r="N135" s="208"/>
      <c r="O135" s="208"/>
      <c r="P135" s="208"/>
      <c r="Q135" s="208"/>
      <c r="R135" s="208"/>
      <c r="S135" s="208"/>
      <c r="T135" s="208"/>
      <c r="U135" s="185"/>
      <c r="V135" s="186"/>
      <c r="W135" s="186"/>
      <c r="X135" s="186"/>
      <c r="Y135" s="184"/>
      <c r="Z135" s="280">
        <f>Z136</f>
        <v>22763860.419999998</v>
      </c>
      <c r="AA135" s="280">
        <f>AA136</f>
        <v>25962761.289999999</v>
      </c>
      <c r="AB135" s="280">
        <f>AB136</f>
        <v>25962761.289999999</v>
      </c>
      <c r="AC135" s="504"/>
      <c r="AD135" s="503"/>
    </row>
    <row r="136" spans="1:31" ht="51" customHeight="1" x14ac:dyDescent="0.3">
      <c r="A136" s="400" t="s">
        <v>352</v>
      </c>
      <c r="B136" s="185" t="s">
        <v>15</v>
      </c>
      <c r="C136" s="185" t="s">
        <v>136</v>
      </c>
      <c r="D136" s="185" t="s">
        <v>127</v>
      </c>
      <c r="E136" s="208" t="s">
        <v>600</v>
      </c>
      <c r="F136" s="185"/>
      <c r="G136" s="185"/>
      <c r="H136" s="185"/>
      <c r="I136" s="185"/>
      <c r="J136" s="185"/>
      <c r="K136" s="185"/>
      <c r="L136" s="185"/>
      <c r="M136" s="185"/>
      <c r="N136" s="185"/>
      <c r="O136" s="185"/>
      <c r="P136" s="185"/>
      <c r="Q136" s="185"/>
      <c r="R136" s="185"/>
      <c r="S136" s="185"/>
      <c r="T136" s="185" t="s">
        <v>290</v>
      </c>
      <c r="U136" s="185"/>
      <c r="V136" s="186"/>
      <c r="W136" s="186"/>
      <c r="X136" s="186"/>
      <c r="Y136" s="184"/>
      <c r="Z136" s="253">
        <f>20874530.7+2735162.12-2735162.12+5088230.59-898900.87-2300000</f>
        <v>22763860.419999998</v>
      </c>
      <c r="AA136" s="253">
        <f>20546350.72+5416410.57</f>
        <v>25962761.289999999</v>
      </c>
      <c r="AB136" s="253">
        <f>23129289.49+2833471.8</f>
        <v>25962761.289999999</v>
      </c>
      <c r="AC136" s="504"/>
      <c r="AD136" s="511"/>
      <c r="AE136" s="512"/>
    </row>
    <row r="137" spans="1:31" ht="102" customHeight="1" x14ac:dyDescent="0.3">
      <c r="A137" s="402" t="s">
        <v>653</v>
      </c>
      <c r="B137" s="208" t="s">
        <v>15</v>
      </c>
      <c r="C137" s="208" t="s">
        <v>136</v>
      </c>
      <c r="D137" s="208" t="s">
        <v>127</v>
      </c>
      <c r="E137" s="208" t="s">
        <v>601</v>
      </c>
      <c r="F137" s="208"/>
      <c r="G137" s="208"/>
      <c r="H137" s="208"/>
      <c r="I137" s="208"/>
      <c r="J137" s="208"/>
      <c r="K137" s="208"/>
      <c r="L137" s="208"/>
      <c r="M137" s="208"/>
      <c r="N137" s="208"/>
      <c r="O137" s="208"/>
      <c r="P137" s="208"/>
      <c r="Q137" s="208"/>
      <c r="R137" s="208"/>
      <c r="S137" s="208"/>
      <c r="T137" s="208"/>
      <c r="U137" s="185"/>
      <c r="V137" s="186"/>
      <c r="W137" s="186"/>
      <c r="X137" s="186"/>
      <c r="Y137" s="184"/>
      <c r="Z137" s="280">
        <f>Z138</f>
        <v>0</v>
      </c>
      <c r="AA137" s="280">
        <f>AA138</f>
        <v>4706161.09</v>
      </c>
      <c r="AB137" s="280">
        <f>AB138</f>
        <v>5477802.1600000001</v>
      </c>
      <c r="AC137" s="504"/>
      <c r="AD137" s="503"/>
    </row>
    <row r="138" spans="1:31" ht="66" customHeight="1" x14ac:dyDescent="0.3">
      <c r="A138" s="418" t="s">
        <v>355</v>
      </c>
      <c r="B138" s="185" t="s">
        <v>15</v>
      </c>
      <c r="C138" s="185" t="s">
        <v>136</v>
      </c>
      <c r="D138" s="185" t="s">
        <v>127</v>
      </c>
      <c r="E138" s="208" t="s">
        <v>601</v>
      </c>
      <c r="F138" s="185"/>
      <c r="G138" s="185"/>
      <c r="H138" s="185"/>
      <c r="I138" s="185"/>
      <c r="J138" s="185"/>
      <c r="K138" s="185"/>
      <c r="L138" s="185"/>
      <c r="M138" s="185"/>
      <c r="N138" s="185"/>
      <c r="O138" s="185"/>
      <c r="P138" s="185"/>
      <c r="Q138" s="185"/>
      <c r="R138" s="185"/>
      <c r="S138" s="185"/>
      <c r="T138" s="185" t="s">
        <v>290</v>
      </c>
      <c r="U138" s="185"/>
      <c r="V138" s="186"/>
      <c r="W138" s="186"/>
      <c r="X138" s="186"/>
      <c r="Y138" s="184"/>
      <c r="Z138" s="253">
        <f>3285099.13-790000-105000-169000-570000-350000-1301099.13</f>
        <v>0</v>
      </c>
      <c r="AA138" s="253">
        <v>4706161.09</v>
      </c>
      <c r="AB138" s="253">
        <v>5477802.1600000001</v>
      </c>
      <c r="AC138" s="504"/>
      <c r="AD138" s="503"/>
    </row>
    <row r="139" spans="1:31" ht="99.75" customHeight="1" x14ac:dyDescent="0.3">
      <c r="A139" s="433" t="s">
        <v>934</v>
      </c>
      <c r="B139" s="332" t="s">
        <v>15</v>
      </c>
      <c r="C139" s="185" t="s">
        <v>136</v>
      </c>
      <c r="D139" s="185" t="s">
        <v>127</v>
      </c>
      <c r="E139" s="208" t="s">
        <v>933</v>
      </c>
      <c r="F139" s="185"/>
      <c r="G139" s="185"/>
      <c r="H139" s="185"/>
      <c r="I139" s="185"/>
      <c r="J139" s="185"/>
      <c r="K139" s="185"/>
      <c r="L139" s="185"/>
      <c r="M139" s="185"/>
      <c r="N139" s="185"/>
      <c r="O139" s="185"/>
      <c r="P139" s="185"/>
      <c r="Q139" s="185"/>
      <c r="R139" s="185"/>
      <c r="S139" s="185"/>
      <c r="T139" s="185"/>
      <c r="U139" s="185"/>
      <c r="V139" s="186"/>
      <c r="W139" s="186"/>
      <c r="X139" s="186"/>
      <c r="Y139" s="184"/>
      <c r="Z139" s="253">
        <f>Z140</f>
        <v>5468689.3500000006</v>
      </c>
      <c r="AA139" s="253">
        <v>0</v>
      </c>
      <c r="AB139" s="253">
        <v>0</v>
      </c>
      <c r="AC139" s="504"/>
      <c r="AD139" s="503"/>
    </row>
    <row r="140" spans="1:31" ht="81.75" customHeight="1" x14ac:dyDescent="0.3">
      <c r="A140" s="417" t="s">
        <v>935</v>
      </c>
      <c r="B140" s="332" t="s">
        <v>15</v>
      </c>
      <c r="C140" s="185" t="s">
        <v>136</v>
      </c>
      <c r="D140" s="185" t="s">
        <v>127</v>
      </c>
      <c r="E140" s="208" t="s">
        <v>933</v>
      </c>
      <c r="F140" s="185"/>
      <c r="G140" s="185"/>
      <c r="H140" s="185"/>
      <c r="I140" s="185"/>
      <c r="J140" s="185"/>
      <c r="K140" s="185"/>
      <c r="L140" s="185"/>
      <c r="M140" s="185"/>
      <c r="N140" s="185"/>
      <c r="O140" s="185"/>
      <c r="P140" s="185"/>
      <c r="Q140" s="185"/>
      <c r="R140" s="185"/>
      <c r="S140" s="185"/>
      <c r="T140" s="185" t="s">
        <v>290</v>
      </c>
      <c r="U140" s="185"/>
      <c r="V140" s="186"/>
      <c r="W140" s="186"/>
      <c r="X140" s="186"/>
      <c r="Y140" s="184"/>
      <c r="Z140" s="253">
        <f>2735162.12+1639789.36+1093737.87</f>
        <v>5468689.3500000006</v>
      </c>
      <c r="AA140" s="253">
        <v>0</v>
      </c>
      <c r="AB140" s="253">
        <v>0</v>
      </c>
      <c r="AC140" s="504"/>
      <c r="AD140" s="503"/>
    </row>
    <row r="141" spans="1:31" ht="18.75" customHeight="1" x14ac:dyDescent="0.3">
      <c r="A141" s="437" t="s">
        <v>149</v>
      </c>
      <c r="B141" s="207" t="s">
        <v>15</v>
      </c>
      <c r="C141" s="207" t="s">
        <v>136</v>
      </c>
      <c r="D141" s="207" t="s">
        <v>129</v>
      </c>
      <c r="E141" s="207"/>
      <c r="F141" s="207"/>
      <c r="G141" s="207"/>
      <c r="H141" s="207"/>
      <c r="I141" s="207"/>
      <c r="J141" s="207"/>
      <c r="K141" s="207"/>
      <c r="L141" s="207"/>
      <c r="M141" s="207"/>
      <c r="N141" s="207"/>
      <c r="O141" s="207"/>
      <c r="P141" s="207"/>
      <c r="Q141" s="207"/>
      <c r="R141" s="207"/>
      <c r="S141" s="207"/>
      <c r="T141" s="207"/>
      <c r="U141" s="207"/>
      <c r="V141" s="254"/>
      <c r="W141" s="254"/>
      <c r="X141" s="254"/>
      <c r="Y141" s="206" t="s">
        <v>149</v>
      </c>
      <c r="Z141" s="255">
        <f>Z142+Z144+Z146+Z148</f>
        <v>1304177.54</v>
      </c>
      <c r="AA141" s="255">
        <f>AA142+AA144+AA146</f>
        <v>200000</v>
      </c>
      <c r="AB141" s="255">
        <f>AB142+AB144+AB146</f>
        <v>200000</v>
      </c>
      <c r="AC141" s="502" t="s">
        <v>149</v>
      </c>
      <c r="AD141" s="503"/>
    </row>
    <row r="142" spans="1:31" ht="99.75" customHeight="1" x14ac:dyDescent="0.3">
      <c r="A142" s="402" t="s">
        <v>652</v>
      </c>
      <c r="B142" s="208" t="s">
        <v>15</v>
      </c>
      <c r="C142" s="208" t="s">
        <v>136</v>
      </c>
      <c r="D142" s="208" t="s">
        <v>129</v>
      </c>
      <c r="E142" s="276" t="s">
        <v>602</v>
      </c>
      <c r="F142" s="208"/>
      <c r="G142" s="208"/>
      <c r="H142" s="208"/>
      <c r="I142" s="208"/>
      <c r="J142" s="208"/>
      <c r="K142" s="208"/>
      <c r="L142" s="208"/>
      <c r="M142" s="208"/>
      <c r="N142" s="208"/>
      <c r="O142" s="208"/>
      <c r="P142" s="208"/>
      <c r="Q142" s="208"/>
      <c r="R142" s="208"/>
      <c r="S142" s="208"/>
      <c r="T142" s="208"/>
      <c r="U142" s="208"/>
      <c r="V142" s="250"/>
      <c r="W142" s="250"/>
      <c r="X142" s="250"/>
      <c r="Y142" s="203" t="s">
        <v>356</v>
      </c>
      <c r="Z142" s="280">
        <f>Z143</f>
        <v>350000</v>
      </c>
      <c r="AA142" s="280">
        <f>AA143</f>
        <v>50000</v>
      </c>
      <c r="AB142" s="280">
        <f>AB143</f>
        <v>50000</v>
      </c>
      <c r="AC142" s="350" t="s">
        <v>356</v>
      </c>
      <c r="AD142" s="503"/>
    </row>
    <row r="143" spans="1:31" ht="48" customHeight="1" x14ac:dyDescent="0.3">
      <c r="A143" s="400" t="s">
        <v>864</v>
      </c>
      <c r="B143" s="185" t="s">
        <v>15</v>
      </c>
      <c r="C143" s="185" t="s">
        <v>136</v>
      </c>
      <c r="D143" s="185" t="s">
        <v>129</v>
      </c>
      <c r="E143" s="276" t="s">
        <v>602</v>
      </c>
      <c r="F143" s="185"/>
      <c r="G143" s="185"/>
      <c r="H143" s="185"/>
      <c r="I143" s="185"/>
      <c r="J143" s="185"/>
      <c r="K143" s="185"/>
      <c r="L143" s="185"/>
      <c r="M143" s="185"/>
      <c r="N143" s="185"/>
      <c r="O143" s="185"/>
      <c r="P143" s="185"/>
      <c r="Q143" s="185"/>
      <c r="R143" s="185"/>
      <c r="S143" s="185"/>
      <c r="T143" s="185" t="s">
        <v>244</v>
      </c>
      <c r="U143" s="185"/>
      <c r="V143" s="186"/>
      <c r="W143" s="186"/>
      <c r="X143" s="186"/>
      <c r="Y143" s="184" t="s">
        <v>357</v>
      </c>
      <c r="Z143" s="253">
        <f>50000+300000</f>
        <v>350000</v>
      </c>
      <c r="AA143" s="253">
        <v>50000</v>
      </c>
      <c r="AB143" s="253">
        <v>50000</v>
      </c>
      <c r="AC143" s="504" t="s">
        <v>357</v>
      </c>
      <c r="AD143" s="503"/>
    </row>
    <row r="144" spans="1:31" ht="117" customHeight="1" x14ac:dyDescent="0.3">
      <c r="A144" s="402" t="s">
        <v>651</v>
      </c>
      <c r="B144" s="208" t="s">
        <v>15</v>
      </c>
      <c r="C144" s="208" t="s">
        <v>136</v>
      </c>
      <c r="D144" s="208" t="s">
        <v>129</v>
      </c>
      <c r="E144" s="276" t="s">
        <v>603</v>
      </c>
      <c r="F144" s="208"/>
      <c r="G144" s="208"/>
      <c r="H144" s="208"/>
      <c r="I144" s="208"/>
      <c r="J144" s="208"/>
      <c r="K144" s="208"/>
      <c r="L144" s="208"/>
      <c r="M144" s="208"/>
      <c r="N144" s="208"/>
      <c r="O144" s="208"/>
      <c r="P144" s="208"/>
      <c r="Q144" s="208"/>
      <c r="R144" s="208"/>
      <c r="S144" s="208"/>
      <c r="T144" s="208"/>
      <c r="U144" s="208"/>
      <c r="V144" s="250"/>
      <c r="W144" s="250"/>
      <c r="X144" s="250"/>
      <c r="Y144" s="203" t="s">
        <v>358</v>
      </c>
      <c r="Z144" s="280">
        <f>Z145</f>
        <v>553000</v>
      </c>
      <c r="AA144" s="280">
        <f>AA145</f>
        <v>100000</v>
      </c>
      <c r="AB144" s="280">
        <f>AB145</f>
        <v>100000</v>
      </c>
      <c r="AC144" s="350" t="s">
        <v>358</v>
      </c>
      <c r="AD144" s="503"/>
    </row>
    <row r="145" spans="1:30" ht="84" customHeight="1" x14ac:dyDescent="0.3">
      <c r="A145" s="403" t="s">
        <v>865</v>
      </c>
      <c r="B145" s="185" t="s">
        <v>15</v>
      </c>
      <c r="C145" s="185" t="s">
        <v>136</v>
      </c>
      <c r="D145" s="185" t="s">
        <v>129</v>
      </c>
      <c r="E145" s="276" t="s">
        <v>603</v>
      </c>
      <c r="F145" s="185"/>
      <c r="G145" s="185"/>
      <c r="H145" s="185"/>
      <c r="I145" s="185"/>
      <c r="J145" s="185"/>
      <c r="K145" s="185"/>
      <c r="L145" s="185"/>
      <c r="M145" s="185"/>
      <c r="N145" s="185"/>
      <c r="O145" s="185"/>
      <c r="P145" s="185"/>
      <c r="Q145" s="185"/>
      <c r="R145" s="185"/>
      <c r="S145" s="185"/>
      <c r="T145" s="185" t="s">
        <v>244</v>
      </c>
      <c r="U145" s="185"/>
      <c r="V145" s="186"/>
      <c r="W145" s="186"/>
      <c r="X145" s="186"/>
      <c r="Y145" s="204" t="s">
        <v>359</v>
      </c>
      <c r="Z145" s="253">
        <f>53000+500000</f>
        <v>553000</v>
      </c>
      <c r="AA145" s="253">
        <v>100000</v>
      </c>
      <c r="AB145" s="253">
        <v>100000</v>
      </c>
      <c r="AC145" s="190" t="s">
        <v>359</v>
      </c>
      <c r="AD145" s="503"/>
    </row>
    <row r="146" spans="1:30" ht="94.5" customHeight="1" x14ac:dyDescent="0.3">
      <c r="A146" s="402" t="s">
        <v>650</v>
      </c>
      <c r="B146" s="208" t="s">
        <v>15</v>
      </c>
      <c r="C146" s="208" t="s">
        <v>136</v>
      </c>
      <c r="D146" s="208" t="s">
        <v>129</v>
      </c>
      <c r="E146" s="276" t="s">
        <v>604</v>
      </c>
      <c r="F146" s="208"/>
      <c r="G146" s="208"/>
      <c r="H146" s="208"/>
      <c r="I146" s="208"/>
      <c r="J146" s="208"/>
      <c r="K146" s="208"/>
      <c r="L146" s="208"/>
      <c r="M146" s="208"/>
      <c r="N146" s="208"/>
      <c r="O146" s="208"/>
      <c r="P146" s="208"/>
      <c r="Q146" s="208"/>
      <c r="R146" s="208"/>
      <c r="S146" s="208"/>
      <c r="T146" s="208"/>
      <c r="U146" s="208"/>
      <c r="V146" s="250"/>
      <c r="W146" s="250"/>
      <c r="X146" s="250"/>
      <c r="Y146" s="203" t="s">
        <v>360</v>
      </c>
      <c r="Z146" s="280">
        <f>Z147</f>
        <v>13148.5</v>
      </c>
      <c r="AA146" s="280">
        <f>AA147</f>
        <v>50000</v>
      </c>
      <c r="AB146" s="280">
        <f>AB147</f>
        <v>50000</v>
      </c>
      <c r="AC146" s="350" t="s">
        <v>360</v>
      </c>
      <c r="AD146" s="503"/>
    </row>
    <row r="147" spans="1:30" ht="64.5" customHeight="1" x14ac:dyDescent="0.3">
      <c r="A147" s="400" t="s">
        <v>361</v>
      </c>
      <c r="B147" s="185" t="s">
        <v>15</v>
      </c>
      <c r="C147" s="185" t="s">
        <v>136</v>
      </c>
      <c r="D147" s="185" t="s">
        <v>129</v>
      </c>
      <c r="E147" s="276" t="s">
        <v>604</v>
      </c>
      <c r="F147" s="185"/>
      <c r="G147" s="185"/>
      <c r="H147" s="185"/>
      <c r="I147" s="185"/>
      <c r="J147" s="185"/>
      <c r="K147" s="185"/>
      <c r="L147" s="185"/>
      <c r="M147" s="185"/>
      <c r="N147" s="185"/>
      <c r="O147" s="185"/>
      <c r="P147" s="185"/>
      <c r="Q147" s="185"/>
      <c r="R147" s="185"/>
      <c r="S147" s="185"/>
      <c r="T147" s="185" t="s">
        <v>290</v>
      </c>
      <c r="U147" s="185"/>
      <c r="V147" s="186"/>
      <c r="W147" s="186"/>
      <c r="X147" s="186"/>
      <c r="Y147" s="184" t="s">
        <v>361</v>
      </c>
      <c r="Z147" s="253">
        <f>24000-10851.5</f>
        <v>13148.5</v>
      </c>
      <c r="AA147" s="253">
        <v>50000</v>
      </c>
      <c r="AB147" s="253">
        <v>50000</v>
      </c>
      <c r="AC147" s="504" t="s">
        <v>361</v>
      </c>
      <c r="AD147" s="503"/>
    </row>
    <row r="148" spans="1:30" ht="64.5" customHeight="1" x14ac:dyDescent="0.3">
      <c r="A148" s="402" t="s">
        <v>1062</v>
      </c>
      <c r="B148" s="185" t="s">
        <v>15</v>
      </c>
      <c r="C148" s="185" t="s">
        <v>136</v>
      </c>
      <c r="D148" s="185" t="s">
        <v>129</v>
      </c>
      <c r="E148" s="276" t="s">
        <v>1061</v>
      </c>
      <c r="F148" s="185"/>
      <c r="G148" s="185"/>
      <c r="H148" s="185"/>
      <c r="I148" s="185"/>
      <c r="J148" s="185"/>
      <c r="K148" s="185"/>
      <c r="L148" s="185"/>
      <c r="M148" s="185"/>
      <c r="N148" s="185"/>
      <c r="O148" s="185"/>
      <c r="P148" s="185"/>
      <c r="Q148" s="185"/>
      <c r="R148" s="185"/>
      <c r="S148" s="185"/>
      <c r="T148" s="185"/>
      <c r="U148" s="185"/>
      <c r="V148" s="186"/>
      <c r="W148" s="186"/>
      <c r="X148" s="186"/>
      <c r="Y148" s="184"/>
      <c r="Z148" s="253">
        <f>Z149</f>
        <v>388029.04000000004</v>
      </c>
      <c r="AA148" s="253">
        <f t="shared" ref="AA148:AB148" si="14">AA149</f>
        <v>0</v>
      </c>
      <c r="AB148" s="253">
        <f t="shared" si="14"/>
        <v>0</v>
      </c>
      <c r="AC148" s="504"/>
      <c r="AD148" s="503"/>
    </row>
    <row r="149" spans="1:30" ht="49.5" customHeight="1" x14ac:dyDescent="0.3">
      <c r="A149" s="523" t="s">
        <v>1063</v>
      </c>
      <c r="B149" s="262" t="s">
        <v>15</v>
      </c>
      <c r="C149" s="262" t="s">
        <v>136</v>
      </c>
      <c r="D149" s="262" t="s">
        <v>129</v>
      </c>
      <c r="E149" s="538" t="s">
        <v>1061</v>
      </c>
      <c r="F149" s="262"/>
      <c r="G149" s="262"/>
      <c r="H149" s="262"/>
      <c r="I149" s="262"/>
      <c r="J149" s="262"/>
      <c r="K149" s="262"/>
      <c r="L149" s="262"/>
      <c r="M149" s="262"/>
      <c r="N149" s="262"/>
      <c r="O149" s="262"/>
      <c r="P149" s="262"/>
      <c r="Q149" s="262"/>
      <c r="R149" s="262"/>
      <c r="S149" s="262"/>
      <c r="T149" s="262" t="s">
        <v>290</v>
      </c>
      <c r="U149" s="262"/>
      <c r="V149" s="263"/>
      <c r="W149" s="263"/>
      <c r="X149" s="263"/>
      <c r="Y149" s="522"/>
      <c r="Z149" s="264">
        <f>200000+172500+30000-27705.49+13234.53</f>
        <v>388029.04000000004</v>
      </c>
      <c r="AA149" s="253">
        <v>0</v>
      </c>
      <c r="AB149" s="253">
        <v>0</v>
      </c>
      <c r="AC149" s="504"/>
      <c r="AD149" s="503"/>
    </row>
    <row r="150" spans="1:30" ht="19.5" customHeight="1" x14ac:dyDescent="0.3">
      <c r="A150" s="415" t="s">
        <v>363</v>
      </c>
      <c r="B150" s="207" t="s">
        <v>15</v>
      </c>
      <c r="C150" s="207" t="s">
        <v>124</v>
      </c>
      <c r="D150" s="207" t="s">
        <v>133</v>
      </c>
      <c r="E150" s="207"/>
      <c r="F150" s="207"/>
      <c r="G150" s="207"/>
      <c r="H150" s="207"/>
      <c r="I150" s="207"/>
      <c r="J150" s="207"/>
      <c r="K150" s="207"/>
      <c r="L150" s="207"/>
      <c r="M150" s="207"/>
      <c r="N150" s="207"/>
      <c r="O150" s="207"/>
      <c r="P150" s="207"/>
      <c r="Q150" s="207"/>
      <c r="R150" s="207"/>
      <c r="S150" s="207"/>
      <c r="T150" s="207"/>
      <c r="U150" s="207"/>
      <c r="V150" s="254"/>
      <c r="W150" s="254"/>
      <c r="X150" s="254"/>
      <c r="Y150" s="206" t="s">
        <v>363</v>
      </c>
      <c r="Z150" s="255">
        <f>Z151+Z162+Z169</f>
        <v>428632898.13</v>
      </c>
      <c r="AA150" s="255">
        <f>AA151+AA162+AA169</f>
        <v>92637190</v>
      </c>
      <c r="AB150" s="255">
        <f>AB151+AB162+AB169</f>
        <v>89407200</v>
      </c>
      <c r="AC150" s="502" t="s">
        <v>363</v>
      </c>
      <c r="AD150" s="503"/>
    </row>
    <row r="151" spans="1:30" ht="18.600000000000001" customHeight="1" x14ac:dyDescent="0.3">
      <c r="A151" s="415" t="s">
        <v>150</v>
      </c>
      <c r="B151" s="207" t="s">
        <v>15</v>
      </c>
      <c r="C151" s="207" t="s">
        <v>124</v>
      </c>
      <c r="D151" s="207" t="s">
        <v>122</v>
      </c>
      <c r="E151" s="207"/>
      <c r="F151" s="207"/>
      <c r="G151" s="207"/>
      <c r="H151" s="207"/>
      <c r="I151" s="207"/>
      <c r="J151" s="207"/>
      <c r="K151" s="207"/>
      <c r="L151" s="207"/>
      <c r="M151" s="207"/>
      <c r="N151" s="207"/>
      <c r="O151" s="207"/>
      <c r="P151" s="207"/>
      <c r="Q151" s="207"/>
      <c r="R151" s="207"/>
      <c r="S151" s="207"/>
      <c r="T151" s="207"/>
      <c r="U151" s="207"/>
      <c r="V151" s="254"/>
      <c r="W151" s="254"/>
      <c r="X151" s="254"/>
      <c r="Y151" s="206" t="s">
        <v>150</v>
      </c>
      <c r="Z151" s="255">
        <f>Z154+Z156+Z160+Z152+Z158</f>
        <v>326072793.04000002</v>
      </c>
      <c r="AA151" s="255">
        <f>AA154+AA156+AA160+AA152+AA158</f>
        <v>3400000</v>
      </c>
      <c r="AB151" s="255">
        <f>AB154+AB156+AB160+AB152+AB158</f>
        <v>500000</v>
      </c>
      <c r="AC151" s="502" t="s">
        <v>150</v>
      </c>
      <c r="AD151" s="503"/>
    </row>
    <row r="152" spans="1:30" ht="95.25" customHeight="1" x14ac:dyDescent="0.3">
      <c r="A152" s="508" t="s">
        <v>878</v>
      </c>
      <c r="B152" s="208" t="s">
        <v>15</v>
      </c>
      <c r="C152" s="208" t="s">
        <v>124</v>
      </c>
      <c r="D152" s="208" t="s">
        <v>122</v>
      </c>
      <c r="E152" s="208" t="s">
        <v>880</v>
      </c>
      <c r="F152" s="207"/>
      <c r="G152" s="207"/>
      <c r="H152" s="207"/>
      <c r="I152" s="207"/>
      <c r="J152" s="207"/>
      <c r="K152" s="207"/>
      <c r="L152" s="207"/>
      <c r="M152" s="207"/>
      <c r="N152" s="207"/>
      <c r="O152" s="207"/>
      <c r="P152" s="207"/>
      <c r="Q152" s="207"/>
      <c r="R152" s="207"/>
      <c r="S152" s="207"/>
      <c r="T152" s="207"/>
      <c r="U152" s="207"/>
      <c r="V152" s="254"/>
      <c r="W152" s="254"/>
      <c r="X152" s="254"/>
      <c r="Y152" s="206"/>
      <c r="Z152" s="280">
        <f>Z153</f>
        <v>0</v>
      </c>
      <c r="AA152" s="280">
        <f>AA153</f>
        <v>0</v>
      </c>
      <c r="AB152" s="280">
        <f>AB153</f>
        <v>0</v>
      </c>
      <c r="AC152" s="502"/>
      <c r="AD152" s="503"/>
    </row>
    <row r="153" spans="1:30" ht="48.75" customHeight="1" x14ac:dyDescent="0.3">
      <c r="A153" s="402" t="s">
        <v>879</v>
      </c>
      <c r="B153" s="185" t="s">
        <v>15</v>
      </c>
      <c r="C153" s="185" t="s">
        <v>124</v>
      </c>
      <c r="D153" s="185" t="s">
        <v>122</v>
      </c>
      <c r="E153" s="208" t="s">
        <v>880</v>
      </c>
      <c r="F153" s="207"/>
      <c r="G153" s="207"/>
      <c r="H153" s="207"/>
      <c r="I153" s="207"/>
      <c r="J153" s="207"/>
      <c r="K153" s="207"/>
      <c r="L153" s="207"/>
      <c r="M153" s="207"/>
      <c r="N153" s="207"/>
      <c r="O153" s="207"/>
      <c r="P153" s="207"/>
      <c r="Q153" s="207"/>
      <c r="R153" s="207"/>
      <c r="S153" s="207"/>
      <c r="T153" s="208" t="s">
        <v>290</v>
      </c>
      <c r="U153" s="207"/>
      <c r="V153" s="254"/>
      <c r="W153" s="254"/>
      <c r="X153" s="254"/>
      <c r="Y153" s="206"/>
      <c r="Z153" s="280">
        <f>400000+300000-700000</f>
        <v>0</v>
      </c>
      <c r="AA153" s="280">
        <v>0</v>
      </c>
      <c r="AB153" s="280">
        <v>0</v>
      </c>
      <c r="AC153" s="502"/>
      <c r="AD153" s="503"/>
    </row>
    <row r="154" spans="1:30" ht="220.5" hidden="1" customHeight="1" x14ac:dyDescent="0.3">
      <c r="A154" s="402" t="s">
        <v>677</v>
      </c>
      <c r="B154" s="208" t="s">
        <v>15</v>
      </c>
      <c r="C154" s="208" t="s">
        <v>124</v>
      </c>
      <c r="D154" s="208" t="s">
        <v>122</v>
      </c>
      <c r="E154" s="276" t="s">
        <v>605</v>
      </c>
      <c r="F154" s="208"/>
      <c r="G154" s="208"/>
      <c r="H154" s="208"/>
      <c r="I154" s="208"/>
      <c r="J154" s="208"/>
      <c r="K154" s="208"/>
      <c r="L154" s="208"/>
      <c r="M154" s="208"/>
      <c r="N154" s="208"/>
      <c r="O154" s="208"/>
      <c r="P154" s="208"/>
      <c r="Q154" s="208"/>
      <c r="R154" s="208"/>
      <c r="S154" s="208"/>
      <c r="T154" s="208"/>
      <c r="U154" s="208"/>
      <c r="V154" s="250"/>
      <c r="W154" s="250"/>
      <c r="X154" s="250"/>
      <c r="Y154" s="203" t="s">
        <v>364</v>
      </c>
      <c r="Z154" s="280">
        <f>Z155</f>
        <v>0</v>
      </c>
      <c r="AA154" s="280">
        <f>AA155</f>
        <v>0</v>
      </c>
      <c r="AB154" s="280">
        <f>AB155</f>
        <v>0</v>
      </c>
      <c r="AC154" s="350" t="s">
        <v>364</v>
      </c>
      <c r="AD154" s="503"/>
    </row>
    <row r="155" spans="1:30" ht="154.5" hidden="1" customHeight="1" x14ac:dyDescent="0.3">
      <c r="A155" s="418" t="s">
        <v>365</v>
      </c>
      <c r="B155" s="185" t="s">
        <v>15</v>
      </c>
      <c r="C155" s="185" t="s">
        <v>124</v>
      </c>
      <c r="D155" s="185" t="s">
        <v>122</v>
      </c>
      <c r="E155" s="331" t="s">
        <v>605</v>
      </c>
      <c r="F155" s="185"/>
      <c r="G155" s="185"/>
      <c r="H155" s="185"/>
      <c r="I155" s="185"/>
      <c r="J155" s="185"/>
      <c r="K155" s="185"/>
      <c r="L155" s="185"/>
      <c r="M155" s="185"/>
      <c r="N155" s="185"/>
      <c r="O155" s="185"/>
      <c r="P155" s="185"/>
      <c r="Q155" s="185"/>
      <c r="R155" s="185"/>
      <c r="S155" s="185"/>
      <c r="T155" s="185" t="s">
        <v>366</v>
      </c>
      <c r="U155" s="185"/>
      <c r="V155" s="186"/>
      <c r="W155" s="186"/>
      <c r="X155" s="186"/>
      <c r="Y155" s="184" t="s">
        <v>365</v>
      </c>
      <c r="Z155" s="253">
        <f>500000+35000000+5542384.17-41042384.17</f>
        <v>0</v>
      </c>
      <c r="AA155" s="253">
        <f>500000-500000</f>
        <v>0</v>
      </c>
      <c r="AB155" s="253">
        <f>500000-500000</f>
        <v>0</v>
      </c>
      <c r="AC155" s="504" t="s">
        <v>365</v>
      </c>
      <c r="AD155" s="503"/>
    </row>
    <row r="156" spans="1:30" ht="248.25" hidden="1" customHeight="1" x14ac:dyDescent="0.3">
      <c r="A156" s="419" t="s">
        <v>608</v>
      </c>
      <c r="B156" s="197" t="s">
        <v>15</v>
      </c>
      <c r="C156" s="197" t="s">
        <v>124</v>
      </c>
      <c r="D156" s="197" t="s">
        <v>122</v>
      </c>
      <c r="E156" s="278" t="s">
        <v>609</v>
      </c>
      <c r="F156" s="197"/>
      <c r="G156" s="197"/>
      <c r="H156" s="197"/>
      <c r="I156" s="197"/>
      <c r="J156" s="197"/>
      <c r="K156" s="197"/>
      <c r="L156" s="197"/>
      <c r="M156" s="197"/>
      <c r="N156" s="197"/>
      <c r="O156" s="197"/>
      <c r="P156" s="197"/>
      <c r="Q156" s="197"/>
      <c r="R156" s="197"/>
      <c r="S156" s="197"/>
      <c r="T156" s="197"/>
      <c r="U156" s="185"/>
      <c r="V156" s="186"/>
      <c r="W156" s="186"/>
      <c r="X156" s="186"/>
      <c r="Y156" s="184"/>
      <c r="Z156" s="253">
        <f>Z157</f>
        <v>0</v>
      </c>
      <c r="AA156" s="253">
        <f>AA157</f>
        <v>0</v>
      </c>
      <c r="AB156" s="253">
        <f>AB157</f>
        <v>0</v>
      </c>
      <c r="AC156" s="504"/>
      <c r="AD156" s="503"/>
    </row>
    <row r="157" spans="1:30" ht="167.25" hidden="1" customHeight="1" x14ac:dyDescent="0.3">
      <c r="A157" s="420" t="s">
        <v>365</v>
      </c>
      <c r="B157" s="197" t="s">
        <v>15</v>
      </c>
      <c r="C157" s="197" t="s">
        <v>124</v>
      </c>
      <c r="D157" s="197" t="s">
        <v>122</v>
      </c>
      <c r="E157" s="278" t="s">
        <v>609</v>
      </c>
      <c r="F157" s="197"/>
      <c r="G157" s="197"/>
      <c r="H157" s="197"/>
      <c r="I157" s="197"/>
      <c r="J157" s="197"/>
      <c r="K157" s="197"/>
      <c r="L157" s="197"/>
      <c r="M157" s="197"/>
      <c r="N157" s="197"/>
      <c r="O157" s="197"/>
      <c r="P157" s="197"/>
      <c r="Q157" s="197"/>
      <c r="R157" s="197"/>
      <c r="S157" s="197"/>
      <c r="T157" s="197" t="s">
        <v>366</v>
      </c>
      <c r="U157" s="185"/>
      <c r="V157" s="186"/>
      <c r="W157" s="186"/>
      <c r="X157" s="186"/>
      <c r="Y157" s="184"/>
      <c r="Z157" s="253">
        <v>0</v>
      </c>
      <c r="AA157" s="253">
        <v>0</v>
      </c>
      <c r="AB157" s="253">
        <v>0</v>
      </c>
      <c r="AC157" s="504"/>
      <c r="AD157" s="503"/>
    </row>
    <row r="158" spans="1:30" ht="129.75" customHeight="1" x14ac:dyDescent="0.3">
      <c r="A158" s="402" t="s">
        <v>677</v>
      </c>
      <c r="B158" s="208" t="s">
        <v>15</v>
      </c>
      <c r="C158" s="208" t="s">
        <v>124</v>
      </c>
      <c r="D158" s="208" t="s">
        <v>122</v>
      </c>
      <c r="E158" s="276" t="s">
        <v>609</v>
      </c>
      <c r="F158" s="208"/>
      <c r="G158" s="208"/>
      <c r="H158" s="208"/>
      <c r="I158" s="208"/>
      <c r="J158" s="208"/>
      <c r="K158" s="208"/>
      <c r="L158" s="208"/>
      <c r="M158" s="208"/>
      <c r="N158" s="208"/>
      <c r="O158" s="208"/>
      <c r="P158" s="208"/>
      <c r="Q158" s="208"/>
      <c r="R158" s="208"/>
      <c r="S158" s="208"/>
      <c r="T158" s="208"/>
      <c r="U158" s="208"/>
      <c r="V158" s="250"/>
      <c r="W158" s="250"/>
      <c r="X158" s="250"/>
      <c r="Y158" s="203" t="s">
        <v>364</v>
      </c>
      <c r="Z158" s="280">
        <f>Z159</f>
        <v>41042384.170000002</v>
      </c>
      <c r="AA158" s="280">
        <f>AA159</f>
        <v>3400000</v>
      </c>
      <c r="AB158" s="280">
        <f>AB159</f>
        <v>500000</v>
      </c>
      <c r="AC158" s="504"/>
      <c r="AD158" s="503"/>
    </row>
    <row r="159" spans="1:30" ht="82.5" customHeight="1" x14ac:dyDescent="0.3">
      <c r="A159" s="418" t="s">
        <v>365</v>
      </c>
      <c r="B159" s="185" t="s">
        <v>15</v>
      </c>
      <c r="C159" s="185" t="s">
        <v>124</v>
      </c>
      <c r="D159" s="185" t="s">
        <v>122</v>
      </c>
      <c r="E159" s="276" t="s">
        <v>609</v>
      </c>
      <c r="F159" s="185"/>
      <c r="G159" s="185"/>
      <c r="H159" s="185"/>
      <c r="I159" s="185"/>
      <c r="J159" s="185"/>
      <c r="K159" s="185"/>
      <c r="L159" s="185"/>
      <c r="M159" s="185"/>
      <c r="N159" s="185"/>
      <c r="O159" s="185"/>
      <c r="P159" s="185"/>
      <c r="Q159" s="185"/>
      <c r="R159" s="185"/>
      <c r="S159" s="185"/>
      <c r="T159" s="185" t="s">
        <v>366</v>
      </c>
      <c r="U159" s="185"/>
      <c r="V159" s="186"/>
      <c r="W159" s="186"/>
      <c r="X159" s="186"/>
      <c r="Y159" s="184" t="s">
        <v>365</v>
      </c>
      <c r="Z159" s="253">
        <f>500000+35000000+5542384.17</f>
        <v>41042384.170000002</v>
      </c>
      <c r="AA159" s="253">
        <f>500000+2900000</f>
        <v>3400000</v>
      </c>
      <c r="AB159" s="253">
        <v>500000</v>
      </c>
      <c r="AC159" s="504"/>
      <c r="AD159" s="503"/>
    </row>
    <row r="160" spans="1:30" ht="146.25" customHeight="1" x14ac:dyDescent="0.3">
      <c r="A160" s="513" t="s">
        <v>903</v>
      </c>
      <c r="B160" s="197" t="s">
        <v>15</v>
      </c>
      <c r="C160" s="197" t="s">
        <v>124</v>
      </c>
      <c r="D160" s="197" t="s">
        <v>122</v>
      </c>
      <c r="E160" s="278" t="s">
        <v>904</v>
      </c>
      <c r="F160" s="197"/>
      <c r="G160" s="197"/>
      <c r="H160" s="197"/>
      <c r="I160" s="197"/>
      <c r="J160" s="197"/>
      <c r="K160" s="197"/>
      <c r="L160" s="197"/>
      <c r="M160" s="197"/>
      <c r="N160" s="197"/>
      <c r="O160" s="197"/>
      <c r="P160" s="197"/>
      <c r="Q160" s="197"/>
      <c r="R160" s="197"/>
      <c r="S160" s="197"/>
      <c r="T160" s="197"/>
      <c r="U160" s="185"/>
      <c r="V160" s="186"/>
      <c r="W160" s="186"/>
      <c r="X160" s="186"/>
      <c r="Y160" s="184"/>
      <c r="Z160" s="253">
        <f>Z161</f>
        <v>285030408.87</v>
      </c>
      <c r="AA160" s="253">
        <f>AA161</f>
        <v>0</v>
      </c>
      <c r="AB160" s="253">
        <f>AB161</f>
        <v>0</v>
      </c>
      <c r="AC160" s="504"/>
      <c r="AD160" s="503"/>
    </row>
    <row r="161" spans="1:30" ht="35.25" customHeight="1" x14ac:dyDescent="0.3">
      <c r="A161" s="423" t="s">
        <v>905</v>
      </c>
      <c r="B161" s="197" t="s">
        <v>15</v>
      </c>
      <c r="C161" s="197" t="s">
        <v>124</v>
      </c>
      <c r="D161" s="197" t="s">
        <v>122</v>
      </c>
      <c r="E161" s="278" t="s">
        <v>904</v>
      </c>
      <c r="F161" s="197"/>
      <c r="G161" s="197"/>
      <c r="H161" s="197"/>
      <c r="I161" s="197"/>
      <c r="J161" s="197"/>
      <c r="K161" s="197"/>
      <c r="L161" s="197"/>
      <c r="M161" s="197"/>
      <c r="N161" s="197"/>
      <c r="O161" s="197"/>
      <c r="P161" s="197"/>
      <c r="Q161" s="197"/>
      <c r="R161" s="197"/>
      <c r="S161" s="197"/>
      <c r="T161" s="197" t="s">
        <v>366</v>
      </c>
      <c r="U161" s="185"/>
      <c r="V161" s="186"/>
      <c r="W161" s="186"/>
      <c r="X161" s="186"/>
      <c r="Y161" s="184"/>
      <c r="Z161" s="253">
        <f>344062759-94128292+35095941.87</f>
        <v>285030408.87</v>
      </c>
      <c r="AA161" s="253">
        <v>0</v>
      </c>
      <c r="AB161" s="253">
        <v>0</v>
      </c>
      <c r="AC161" s="504"/>
      <c r="AD161" s="514"/>
    </row>
    <row r="162" spans="1:30" ht="18.600000000000001" customHeight="1" x14ac:dyDescent="0.3">
      <c r="A162" s="415" t="s">
        <v>151</v>
      </c>
      <c r="B162" s="207" t="s">
        <v>15</v>
      </c>
      <c r="C162" s="207" t="s">
        <v>124</v>
      </c>
      <c r="D162" s="207" t="s">
        <v>132</v>
      </c>
      <c r="E162" s="207"/>
      <c r="F162" s="207"/>
      <c r="G162" s="207"/>
      <c r="H162" s="207"/>
      <c r="I162" s="207"/>
      <c r="J162" s="207"/>
      <c r="K162" s="207"/>
      <c r="L162" s="207"/>
      <c r="M162" s="207"/>
      <c r="N162" s="207"/>
      <c r="O162" s="207"/>
      <c r="P162" s="207"/>
      <c r="Q162" s="207"/>
      <c r="R162" s="207"/>
      <c r="S162" s="207"/>
      <c r="T162" s="207"/>
      <c r="U162" s="207"/>
      <c r="V162" s="254"/>
      <c r="W162" s="254"/>
      <c r="X162" s="254"/>
      <c r="Y162" s="206" t="s">
        <v>151</v>
      </c>
      <c r="Z162" s="255">
        <f>Z163+Z165+Z167</f>
        <v>96941148.479999989</v>
      </c>
      <c r="AA162" s="255">
        <f>AA163+AA165+AA167</f>
        <v>88607200</v>
      </c>
      <c r="AB162" s="255">
        <f>AB163+AB165+AB167</f>
        <v>88207200</v>
      </c>
      <c r="AC162" s="502" t="s">
        <v>151</v>
      </c>
      <c r="AD162" s="503"/>
    </row>
    <row r="163" spans="1:30" ht="63.75" customHeight="1" x14ac:dyDescent="0.3">
      <c r="A163" s="402" t="s">
        <v>606</v>
      </c>
      <c r="B163" s="276" t="s">
        <v>15</v>
      </c>
      <c r="C163" s="276" t="s">
        <v>124</v>
      </c>
      <c r="D163" s="276" t="s">
        <v>132</v>
      </c>
      <c r="E163" s="276" t="s">
        <v>607</v>
      </c>
      <c r="F163" s="276"/>
      <c r="G163" s="276"/>
      <c r="H163" s="276"/>
      <c r="I163" s="276"/>
      <c r="J163" s="276"/>
      <c r="K163" s="276"/>
      <c r="L163" s="276"/>
      <c r="M163" s="276"/>
      <c r="N163" s="276"/>
      <c r="O163" s="276"/>
      <c r="P163" s="276"/>
      <c r="Q163" s="276"/>
      <c r="R163" s="276"/>
      <c r="S163" s="276"/>
      <c r="T163" s="276"/>
      <c r="U163" s="207"/>
      <c r="V163" s="254"/>
      <c r="W163" s="254"/>
      <c r="X163" s="254"/>
      <c r="Y163" s="206"/>
      <c r="Z163" s="280">
        <f>Z164</f>
        <v>0</v>
      </c>
      <c r="AA163" s="280">
        <f>AA164</f>
        <v>500000</v>
      </c>
      <c r="AB163" s="280">
        <f>AB164</f>
        <v>100000</v>
      </c>
      <c r="AC163" s="502"/>
      <c r="AD163" s="503"/>
    </row>
    <row r="164" spans="1:30" ht="51.75" customHeight="1" x14ac:dyDescent="0.3">
      <c r="A164" s="400" t="s">
        <v>866</v>
      </c>
      <c r="B164" s="276" t="s">
        <v>15</v>
      </c>
      <c r="C164" s="276" t="s">
        <v>124</v>
      </c>
      <c r="D164" s="276" t="s">
        <v>132</v>
      </c>
      <c r="E164" s="276" t="s">
        <v>607</v>
      </c>
      <c r="F164" s="276"/>
      <c r="G164" s="276"/>
      <c r="H164" s="276"/>
      <c r="I164" s="276"/>
      <c r="J164" s="276"/>
      <c r="K164" s="276"/>
      <c r="L164" s="276"/>
      <c r="M164" s="276"/>
      <c r="N164" s="276"/>
      <c r="O164" s="276"/>
      <c r="P164" s="276"/>
      <c r="Q164" s="276"/>
      <c r="R164" s="276"/>
      <c r="S164" s="276"/>
      <c r="T164" s="276" t="s">
        <v>290</v>
      </c>
      <c r="U164" s="207"/>
      <c r="V164" s="254"/>
      <c r="W164" s="254"/>
      <c r="X164" s="254"/>
      <c r="Y164" s="206"/>
      <c r="Z164" s="280">
        <f>500000-450000-50000</f>
        <v>0</v>
      </c>
      <c r="AA164" s="280">
        <v>500000</v>
      </c>
      <c r="AB164" s="280">
        <v>100000</v>
      </c>
      <c r="AC164" s="502"/>
      <c r="AD164" s="503"/>
    </row>
    <row r="165" spans="1:30" ht="129.75" customHeight="1" x14ac:dyDescent="0.3">
      <c r="A165" s="402" t="s">
        <v>612</v>
      </c>
      <c r="B165" s="276" t="s">
        <v>15</v>
      </c>
      <c r="C165" s="276" t="s">
        <v>124</v>
      </c>
      <c r="D165" s="276" t="s">
        <v>132</v>
      </c>
      <c r="E165" s="276" t="s">
        <v>613</v>
      </c>
      <c r="F165" s="276"/>
      <c r="G165" s="276"/>
      <c r="H165" s="276"/>
      <c r="I165" s="276"/>
      <c r="J165" s="276"/>
      <c r="K165" s="276"/>
      <c r="L165" s="276"/>
      <c r="M165" s="276"/>
      <c r="N165" s="276"/>
      <c r="O165" s="276"/>
      <c r="P165" s="276"/>
      <c r="Q165" s="276"/>
      <c r="R165" s="276"/>
      <c r="S165" s="276"/>
      <c r="T165" s="276"/>
      <c r="U165" s="207"/>
      <c r="V165" s="254"/>
      <c r="W165" s="254"/>
      <c r="X165" s="254"/>
      <c r="Y165" s="206"/>
      <c r="Z165" s="280">
        <f>Z166</f>
        <v>12402357.52</v>
      </c>
      <c r="AA165" s="280">
        <f>AA166</f>
        <v>1000000</v>
      </c>
      <c r="AB165" s="280">
        <f>AB166</f>
        <v>1000000</v>
      </c>
      <c r="AC165" s="502"/>
      <c r="AD165" s="503"/>
    </row>
    <row r="166" spans="1:30" ht="50.25" customHeight="1" x14ac:dyDescent="0.3">
      <c r="A166" s="523" t="s">
        <v>867</v>
      </c>
      <c r="B166" s="538" t="s">
        <v>15</v>
      </c>
      <c r="C166" s="538" t="s">
        <v>124</v>
      </c>
      <c r="D166" s="538" t="s">
        <v>132</v>
      </c>
      <c r="E166" s="538" t="s">
        <v>613</v>
      </c>
      <c r="F166" s="538"/>
      <c r="G166" s="538"/>
      <c r="H166" s="538"/>
      <c r="I166" s="538"/>
      <c r="J166" s="538"/>
      <c r="K166" s="538"/>
      <c r="L166" s="538"/>
      <c r="M166" s="538"/>
      <c r="N166" s="538"/>
      <c r="O166" s="538"/>
      <c r="P166" s="538"/>
      <c r="Q166" s="538"/>
      <c r="R166" s="538"/>
      <c r="S166" s="538"/>
      <c r="T166" s="538" t="s">
        <v>290</v>
      </c>
      <c r="U166" s="540"/>
      <c r="V166" s="541"/>
      <c r="W166" s="541"/>
      <c r="X166" s="541"/>
      <c r="Y166" s="542"/>
      <c r="Z166" s="525">
        <f>1000000+2411296.42-1076920+13165623.58+4208261-83271-700000-120308.13-700000-1085700-685000-29000-300000-570000-2981161-300000+2587300+700000+43411.56-3000000-106853.31+374550.12-350000+128.28</f>
        <v>12402357.52</v>
      </c>
      <c r="AA166" s="280">
        <v>1000000</v>
      </c>
      <c r="AB166" s="280">
        <v>1000000</v>
      </c>
      <c r="AC166" s="502"/>
      <c r="AD166" s="503"/>
    </row>
    <row r="167" spans="1:30" ht="159.75" customHeight="1" x14ac:dyDescent="0.3">
      <c r="A167" s="405" t="s">
        <v>868</v>
      </c>
      <c r="B167" s="208" t="s">
        <v>15</v>
      </c>
      <c r="C167" s="208" t="s">
        <v>124</v>
      </c>
      <c r="D167" s="208" t="s">
        <v>132</v>
      </c>
      <c r="E167" s="208" t="s">
        <v>845</v>
      </c>
      <c r="F167" s="208"/>
      <c r="G167" s="208"/>
      <c r="H167" s="208"/>
      <c r="I167" s="208"/>
      <c r="J167" s="208"/>
      <c r="K167" s="208"/>
      <c r="L167" s="208"/>
      <c r="M167" s="208"/>
      <c r="N167" s="208"/>
      <c r="O167" s="208"/>
      <c r="P167" s="208"/>
      <c r="Q167" s="208"/>
      <c r="R167" s="208"/>
      <c r="S167" s="208"/>
      <c r="T167" s="208"/>
      <c r="U167" s="208"/>
      <c r="V167" s="250"/>
      <c r="W167" s="250"/>
      <c r="X167" s="250"/>
      <c r="Y167" s="205" t="s">
        <v>227</v>
      </c>
      <c r="Z167" s="280">
        <f>Z168</f>
        <v>84538790.959999993</v>
      </c>
      <c r="AA167" s="280">
        <f>AA168</f>
        <v>87107200</v>
      </c>
      <c r="AB167" s="280">
        <f>AB168</f>
        <v>87107200</v>
      </c>
      <c r="AC167" s="509" t="s">
        <v>227</v>
      </c>
      <c r="AD167" s="503"/>
    </row>
    <row r="168" spans="1:30" ht="80.25" customHeight="1" x14ac:dyDescent="0.3">
      <c r="A168" s="403" t="s">
        <v>848</v>
      </c>
      <c r="B168" s="185" t="s">
        <v>15</v>
      </c>
      <c r="C168" s="185" t="s">
        <v>124</v>
      </c>
      <c r="D168" s="185" t="s">
        <v>132</v>
      </c>
      <c r="E168" s="185" t="s">
        <v>845</v>
      </c>
      <c r="F168" s="185"/>
      <c r="G168" s="185"/>
      <c r="H168" s="185"/>
      <c r="I168" s="185"/>
      <c r="J168" s="185"/>
      <c r="K168" s="185"/>
      <c r="L168" s="185"/>
      <c r="M168" s="185"/>
      <c r="N168" s="185"/>
      <c r="O168" s="185"/>
      <c r="P168" s="185"/>
      <c r="Q168" s="185"/>
      <c r="R168" s="185"/>
      <c r="S168" s="185"/>
      <c r="T168" s="185" t="s">
        <v>244</v>
      </c>
      <c r="U168" s="185"/>
      <c r="V168" s="186"/>
      <c r="W168" s="186"/>
      <c r="X168" s="186"/>
      <c r="Y168" s="204" t="s">
        <v>367</v>
      </c>
      <c r="Z168" s="253">
        <f>87107200-24.78-2568384.26</f>
        <v>84538790.959999993</v>
      </c>
      <c r="AA168" s="253">
        <v>87107200</v>
      </c>
      <c r="AB168" s="253">
        <v>87107200</v>
      </c>
      <c r="AC168" s="190" t="s">
        <v>367</v>
      </c>
      <c r="AD168" s="503"/>
    </row>
    <row r="169" spans="1:30" ht="22.5" customHeight="1" x14ac:dyDescent="0.3">
      <c r="A169" s="415" t="s">
        <v>152</v>
      </c>
      <c r="B169" s="207" t="s">
        <v>15</v>
      </c>
      <c r="C169" s="207" t="s">
        <v>124</v>
      </c>
      <c r="D169" s="207" t="s">
        <v>123</v>
      </c>
      <c r="E169" s="207"/>
      <c r="F169" s="207"/>
      <c r="G169" s="207"/>
      <c r="H169" s="207"/>
      <c r="I169" s="207"/>
      <c r="J169" s="207"/>
      <c r="K169" s="207"/>
      <c r="L169" s="207"/>
      <c r="M169" s="207"/>
      <c r="N169" s="207"/>
      <c r="O169" s="207"/>
      <c r="P169" s="207"/>
      <c r="Q169" s="207"/>
      <c r="R169" s="207"/>
      <c r="S169" s="207"/>
      <c r="T169" s="207"/>
      <c r="U169" s="207"/>
      <c r="V169" s="254"/>
      <c r="W169" s="254"/>
      <c r="X169" s="254"/>
      <c r="Y169" s="206" t="s">
        <v>152</v>
      </c>
      <c r="Z169" s="255">
        <f>Z170+Z172+Z174+Z176+Z178+Z180+Z182+Z184</f>
        <v>5618956.6099999994</v>
      </c>
      <c r="AA169" s="255">
        <f>AA170+AA172+AA174+AA176+AA178+AA180+AA182+AA184</f>
        <v>629990</v>
      </c>
      <c r="AB169" s="255">
        <f>AB170+AB172+AB174+AB176+AB178+AB180+AB182+AB184</f>
        <v>700000</v>
      </c>
      <c r="AC169" s="502" t="s">
        <v>152</v>
      </c>
      <c r="AD169" s="503"/>
    </row>
    <row r="170" spans="1:30" ht="116.25" customHeight="1" x14ac:dyDescent="0.3">
      <c r="A170" s="424" t="s">
        <v>614</v>
      </c>
      <c r="B170" s="276" t="s">
        <v>15</v>
      </c>
      <c r="C170" s="276" t="s">
        <v>124</v>
      </c>
      <c r="D170" s="276" t="s">
        <v>123</v>
      </c>
      <c r="E170" s="276" t="s">
        <v>616</v>
      </c>
      <c r="F170" s="276"/>
      <c r="G170" s="276"/>
      <c r="H170" s="276"/>
      <c r="I170" s="276"/>
      <c r="J170" s="276"/>
      <c r="K170" s="276"/>
      <c r="L170" s="276"/>
      <c r="M170" s="276"/>
      <c r="N170" s="276"/>
      <c r="O170" s="276"/>
      <c r="P170" s="276"/>
      <c r="Q170" s="276"/>
      <c r="R170" s="276"/>
      <c r="S170" s="276"/>
      <c r="T170" s="276"/>
      <c r="U170" s="208"/>
      <c r="V170" s="250"/>
      <c r="W170" s="250"/>
      <c r="X170" s="250"/>
      <c r="Y170" s="203" t="s">
        <v>368</v>
      </c>
      <c r="Z170" s="280">
        <f>Z171</f>
        <v>279864</v>
      </c>
      <c r="AA170" s="280">
        <f>AA171</f>
        <v>279990</v>
      </c>
      <c r="AB170" s="280">
        <f>AB171</f>
        <v>300000</v>
      </c>
      <c r="AC170" s="350" t="s">
        <v>368</v>
      </c>
      <c r="AD170" s="503"/>
    </row>
    <row r="171" spans="1:30" ht="100.5" customHeight="1" x14ac:dyDescent="0.3">
      <c r="A171" s="400" t="s">
        <v>615</v>
      </c>
      <c r="B171" s="188" t="s">
        <v>15</v>
      </c>
      <c r="C171" s="188" t="s">
        <v>124</v>
      </c>
      <c r="D171" s="188" t="s">
        <v>123</v>
      </c>
      <c r="E171" s="276" t="s">
        <v>616</v>
      </c>
      <c r="F171" s="188"/>
      <c r="G171" s="188"/>
      <c r="H171" s="188"/>
      <c r="I171" s="188"/>
      <c r="J171" s="188"/>
      <c r="K171" s="188"/>
      <c r="L171" s="188"/>
      <c r="M171" s="188"/>
      <c r="N171" s="188"/>
      <c r="O171" s="188"/>
      <c r="P171" s="188"/>
      <c r="Q171" s="188"/>
      <c r="R171" s="188"/>
      <c r="S171" s="188"/>
      <c r="T171" s="188" t="s">
        <v>290</v>
      </c>
      <c r="U171" s="185"/>
      <c r="V171" s="186"/>
      <c r="W171" s="186"/>
      <c r="X171" s="186"/>
      <c r="Y171" s="184" t="s">
        <v>369</v>
      </c>
      <c r="Z171" s="253">
        <f>100000+700000-800000+279864</f>
        <v>279864</v>
      </c>
      <c r="AA171" s="253">
        <v>279990</v>
      </c>
      <c r="AB171" s="253">
        <v>300000</v>
      </c>
      <c r="AC171" s="504" t="s">
        <v>369</v>
      </c>
      <c r="AD171" s="503"/>
    </row>
    <row r="172" spans="1:30" ht="65.25" customHeight="1" x14ac:dyDescent="0.3">
      <c r="A172" s="402" t="s">
        <v>617</v>
      </c>
      <c r="B172" s="276" t="s">
        <v>15</v>
      </c>
      <c r="C172" s="276" t="s">
        <v>124</v>
      </c>
      <c r="D172" s="276" t="s">
        <v>123</v>
      </c>
      <c r="E172" s="276" t="s">
        <v>618</v>
      </c>
      <c r="F172" s="276"/>
      <c r="G172" s="276"/>
      <c r="H172" s="276"/>
      <c r="I172" s="276"/>
      <c r="J172" s="276"/>
      <c r="K172" s="276"/>
      <c r="L172" s="276"/>
      <c r="M172" s="276"/>
      <c r="N172" s="276"/>
      <c r="O172" s="276"/>
      <c r="P172" s="276"/>
      <c r="Q172" s="276"/>
      <c r="R172" s="276"/>
      <c r="S172" s="276"/>
      <c r="T172" s="276"/>
      <c r="U172" s="208"/>
      <c r="V172" s="250"/>
      <c r="W172" s="250"/>
      <c r="X172" s="250"/>
      <c r="Y172" s="203" t="s">
        <v>370</v>
      </c>
      <c r="Z172" s="280">
        <f>Z173</f>
        <v>0</v>
      </c>
      <c r="AA172" s="280">
        <f>AA173</f>
        <v>100000</v>
      </c>
      <c r="AB172" s="280">
        <f>AB173</f>
        <v>100000</v>
      </c>
      <c r="AC172" s="350" t="s">
        <v>370</v>
      </c>
      <c r="AD172" s="503"/>
    </row>
    <row r="173" spans="1:30" ht="34.5" customHeight="1" x14ac:dyDescent="0.3">
      <c r="A173" s="400" t="s">
        <v>371</v>
      </c>
      <c r="B173" s="188" t="s">
        <v>15</v>
      </c>
      <c r="C173" s="188" t="s">
        <v>124</v>
      </c>
      <c r="D173" s="188" t="s">
        <v>123</v>
      </c>
      <c r="E173" s="276" t="s">
        <v>618</v>
      </c>
      <c r="F173" s="188"/>
      <c r="G173" s="188"/>
      <c r="H173" s="188"/>
      <c r="I173" s="188"/>
      <c r="J173" s="188"/>
      <c r="K173" s="188"/>
      <c r="L173" s="188"/>
      <c r="M173" s="188"/>
      <c r="N173" s="188"/>
      <c r="O173" s="188"/>
      <c r="P173" s="188"/>
      <c r="Q173" s="188"/>
      <c r="R173" s="188"/>
      <c r="S173" s="188"/>
      <c r="T173" s="188" t="s">
        <v>290</v>
      </c>
      <c r="U173" s="185"/>
      <c r="V173" s="186"/>
      <c r="W173" s="186"/>
      <c r="X173" s="186"/>
      <c r="Y173" s="184" t="s">
        <v>371</v>
      </c>
      <c r="Z173" s="253">
        <f>100000+200000-300000</f>
        <v>0</v>
      </c>
      <c r="AA173" s="253">
        <v>100000</v>
      </c>
      <c r="AB173" s="253">
        <v>100000</v>
      </c>
      <c r="AC173" s="504" t="s">
        <v>371</v>
      </c>
      <c r="AD173" s="503"/>
    </row>
    <row r="174" spans="1:30" ht="114" hidden="1" customHeight="1" x14ac:dyDescent="0.3">
      <c r="A174" s="402" t="s">
        <v>620</v>
      </c>
      <c r="B174" s="188" t="s">
        <v>15</v>
      </c>
      <c r="C174" s="188" t="s">
        <v>124</v>
      </c>
      <c r="D174" s="188" t="s">
        <v>123</v>
      </c>
      <c r="E174" s="276" t="s">
        <v>619</v>
      </c>
      <c r="F174" s="188"/>
      <c r="G174" s="188"/>
      <c r="H174" s="188"/>
      <c r="I174" s="188"/>
      <c r="J174" s="188"/>
      <c r="K174" s="188"/>
      <c r="L174" s="188"/>
      <c r="M174" s="188"/>
      <c r="N174" s="188"/>
      <c r="O174" s="188"/>
      <c r="P174" s="188"/>
      <c r="Q174" s="188"/>
      <c r="R174" s="188"/>
      <c r="S174" s="188"/>
      <c r="T174" s="188"/>
      <c r="U174" s="185"/>
      <c r="V174" s="186"/>
      <c r="W174" s="186"/>
      <c r="X174" s="186"/>
      <c r="Y174" s="184"/>
      <c r="Z174" s="253">
        <f>Z175</f>
        <v>0</v>
      </c>
      <c r="AA174" s="253">
        <f>AA175</f>
        <v>0</v>
      </c>
      <c r="AB174" s="253">
        <f>AB175</f>
        <v>0</v>
      </c>
      <c r="AC174" s="504"/>
      <c r="AD174" s="503"/>
    </row>
    <row r="175" spans="1:30" ht="119.25" hidden="1" customHeight="1" x14ac:dyDescent="0.3">
      <c r="A175" s="400" t="s">
        <v>620</v>
      </c>
      <c r="B175" s="188" t="s">
        <v>15</v>
      </c>
      <c r="C175" s="188" t="s">
        <v>124</v>
      </c>
      <c r="D175" s="188" t="s">
        <v>123</v>
      </c>
      <c r="E175" s="276" t="s">
        <v>619</v>
      </c>
      <c r="F175" s="188"/>
      <c r="G175" s="188"/>
      <c r="H175" s="188"/>
      <c r="I175" s="188"/>
      <c r="J175" s="188"/>
      <c r="K175" s="188"/>
      <c r="L175" s="188"/>
      <c r="M175" s="188"/>
      <c r="N175" s="188"/>
      <c r="O175" s="188"/>
      <c r="P175" s="188"/>
      <c r="Q175" s="188"/>
      <c r="R175" s="188"/>
      <c r="S175" s="188"/>
      <c r="T175" s="188" t="s">
        <v>290</v>
      </c>
      <c r="U175" s="185"/>
      <c r="V175" s="186"/>
      <c r="W175" s="186"/>
      <c r="X175" s="186"/>
      <c r="Y175" s="184"/>
      <c r="Z175" s="253">
        <v>0</v>
      </c>
      <c r="AA175" s="253">
        <v>0</v>
      </c>
      <c r="AB175" s="253">
        <v>0</v>
      </c>
      <c r="AC175" s="504"/>
      <c r="AD175" s="503"/>
    </row>
    <row r="176" spans="1:30" ht="63" customHeight="1" x14ac:dyDescent="0.3">
      <c r="A176" s="402" t="s">
        <v>869</v>
      </c>
      <c r="B176" s="276" t="s">
        <v>15</v>
      </c>
      <c r="C176" s="276" t="s">
        <v>124</v>
      </c>
      <c r="D176" s="276" t="s">
        <v>123</v>
      </c>
      <c r="E176" s="276" t="s">
        <v>621</v>
      </c>
      <c r="F176" s="276"/>
      <c r="G176" s="276"/>
      <c r="H176" s="276"/>
      <c r="I176" s="276"/>
      <c r="J176" s="276"/>
      <c r="K176" s="276"/>
      <c r="L176" s="276"/>
      <c r="M176" s="276"/>
      <c r="N176" s="276"/>
      <c r="O176" s="276"/>
      <c r="P176" s="276"/>
      <c r="Q176" s="276"/>
      <c r="R176" s="276"/>
      <c r="S176" s="276"/>
      <c r="T176" s="276"/>
      <c r="U176" s="208"/>
      <c r="V176" s="250"/>
      <c r="W176" s="250"/>
      <c r="X176" s="250"/>
      <c r="Y176" s="203" t="s">
        <v>372</v>
      </c>
      <c r="Z176" s="280">
        <f>Z177</f>
        <v>0</v>
      </c>
      <c r="AA176" s="280">
        <f>AA177</f>
        <v>50000</v>
      </c>
      <c r="AB176" s="280">
        <f>AB177</f>
        <v>100000</v>
      </c>
      <c r="AC176" s="350" t="s">
        <v>372</v>
      </c>
      <c r="AD176" s="503"/>
    </row>
    <row r="177" spans="1:30" ht="50.25" customHeight="1" x14ac:dyDescent="0.3">
      <c r="A177" s="400" t="s">
        <v>373</v>
      </c>
      <c r="B177" s="188" t="s">
        <v>15</v>
      </c>
      <c r="C177" s="188" t="s">
        <v>124</v>
      </c>
      <c r="D177" s="188" t="s">
        <v>123</v>
      </c>
      <c r="E177" s="276" t="s">
        <v>621</v>
      </c>
      <c r="F177" s="188"/>
      <c r="G177" s="188"/>
      <c r="H177" s="188"/>
      <c r="I177" s="188"/>
      <c r="J177" s="188"/>
      <c r="K177" s="188"/>
      <c r="L177" s="188"/>
      <c r="M177" s="188"/>
      <c r="N177" s="188"/>
      <c r="O177" s="188"/>
      <c r="P177" s="188"/>
      <c r="Q177" s="188"/>
      <c r="R177" s="188"/>
      <c r="S177" s="188"/>
      <c r="T177" s="188" t="s">
        <v>290</v>
      </c>
      <c r="U177" s="185"/>
      <c r="V177" s="186"/>
      <c r="W177" s="186"/>
      <c r="X177" s="186"/>
      <c r="Y177" s="184" t="s">
        <v>373</v>
      </c>
      <c r="Z177" s="253">
        <f>50000-50000</f>
        <v>0</v>
      </c>
      <c r="AA177" s="253">
        <v>50000</v>
      </c>
      <c r="AB177" s="253">
        <v>100000</v>
      </c>
      <c r="AC177" s="504" t="s">
        <v>373</v>
      </c>
      <c r="AD177" s="503"/>
    </row>
    <row r="178" spans="1:30" ht="51" customHeight="1" x14ac:dyDescent="0.3">
      <c r="A178" s="402" t="s">
        <v>625</v>
      </c>
      <c r="B178" s="188" t="s">
        <v>15</v>
      </c>
      <c r="C178" s="188" t="s">
        <v>124</v>
      </c>
      <c r="D178" s="188" t="s">
        <v>123</v>
      </c>
      <c r="E178" s="276" t="s">
        <v>622</v>
      </c>
      <c r="F178" s="188"/>
      <c r="G178" s="188"/>
      <c r="H178" s="188"/>
      <c r="I178" s="188"/>
      <c r="J178" s="188"/>
      <c r="K178" s="188"/>
      <c r="L178" s="188"/>
      <c r="M178" s="188"/>
      <c r="N178" s="188"/>
      <c r="O178" s="188"/>
      <c r="P178" s="188"/>
      <c r="Q178" s="188"/>
      <c r="R178" s="188"/>
      <c r="S178" s="188"/>
      <c r="T178" s="188"/>
      <c r="U178" s="208"/>
      <c r="V178" s="250"/>
      <c r="W178" s="250"/>
      <c r="X178" s="250"/>
      <c r="Y178" s="203" t="s">
        <v>374</v>
      </c>
      <c r="Z178" s="280">
        <f>Z179</f>
        <v>1000000</v>
      </c>
      <c r="AA178" s="280">
        <f>AA179</f>
        <v>0</v>
      </c>
      <c r="AB178" s="280">
        <f>AB179</f>
        <v>0</v>
      </c>
      <c r="AC178" s="350" t="s">
        <v>374</v>
      </c>
      <c r="AD178" s="503"/>
    </row>
    <row r="179" spans="1:30" ht="36" customHeight="1" x14ac:dyDescent="0.3">
      <c r="A179" s="400" t="s">
        <v>375</v>
      </c>
      <c r="B179" s="188" t="s">
        <v>15</v>
      </c>
      <c r="C179" s="188" t="s">
        <v>124</v>
      </c>
      <c r="D179" s="188" t="s">
        <v>123</v>
      </c>
      <c r="E179" s="276" t="s">
        <v>622</v>
      </c>
      <c r="F179" s="188"/>
      <c r="G179" s="188"/>
      <c r="H179" s="188"/>
      <c r="I179" s="188"/>
      <c r="J179" s="188"/>
      <c r="K179" s="188"/>
      <c r="L179" s="188"/>
      <c r="M179" s="188"/>
      <c r="N179" s="188"/>
      <c r="O179" s="188"/>
      <c r="P179" s="188"/>
      <c r="Q179" s="188"/>
      <c r="R179" s="188"/>
      <c r="S179" s="188"/>
      <c r="T179" s="188" t="s">
        <v>290</v>
      </c>
      <c r="U179" s="185"/>
      <c r="V179" s="186"/>
      <c r="W179" s="186"/>
      <c r="X179" s="186"/>
      <c r="Y179" s="184" t="s">
        <v>375</v>
      </c>
      <c r="Z179" s="253">
        <v>1000000</v>
      </c>
      <c r="AA179" s="253">
        <v>0</v>
      </c>
      <c r="AB179" s="253">
        <v>0</v>
      </c>
      <c r="AC179" s="504" t="s">
        <v>375</v>
      </c>
      <c r="AD179" s="503"/>
    </row>
    <row r="180" spans="1:30" ht="65.25" customHeight="1" x14ac:dyDescent="0.3">
      <c r="A180" s="402" t="s">
        <v>870</v>
      </c>
      <c r="B180" s="276" t="s">
        <v>15</v>
      </c>
      <c r="C180" s="276" t="s">
        <v>124</v>
      </c>
      <c r="D180" s="276" t="s">
        <v>123</v>
      </c>
      <c r="E180" s="276" t="s">
        <v>623</v>
      </c>
      <c r="F180" s="276"/>
      <c r="G180" s="276"/>
      <c r="H180" s="276"/>
      <c r="I180" s="276"/>
      <c r="J180" s="276"/>
      <c r="K180" s="276"/>
      <c r="L180" s="276"/>
      <c r="M180" s="276"/>
      <c r="N180" s="276"/>
      <c r="O180" s="276"/>
      <c r="P180" s="276"/>
      <c r="Q180" s="276"/>
      <c r="R180" s="276"/>
      <c r="S180" s="276"/>
      <c r="T180" s="276"/>
      <c r="U180" s="208"/>
      <c r="V180" s="250"/>
      <c r="W180" s="250"/>
      <c r="X180" s="250"/>
      <c r="Y180" s="203" t="s">
        <v>376</v>
      </c>
      <c r="Z180" s="280">
        <f>Z181</f>
        <v>2750000</v>
      </c>
      <c r="AA180" s="280">
        <f>AA181</f>
        <v>200000</v>
      </c>
      <c r="AB180" s="280">
        <f>AB181</f>
        <v>200000</v>
      </c>
      <c r="AC180" s="350" t="s">
        <v>376</v>
      </c>
      <c r="AD180" s="503"/>
    </row>
    <row r="181" spans="1:30" ht="48.75" customHeight="1" x14ac:dyDescent="0.3">
      <c r="A181" s="400" t="s">
        <v>377</v>
      </c>
      <c r="B181" s="188" t="s">
        <v>15</v>
      </c>
      <c r="C181" s="188" t="s">
        <v>124</v>
      </c>
      <c r="D181" s="188" t="s">
        <v>123</v>
      </c>
      <c r="E181" s="276" t="s">
        <v>623</v>
      </c>
      <c r="F181" s="188"/>
      <c r="G181" s="188"/>
      <c r="H181" s="188"/>
      <c r="I181" s="188"/>
      <c r="J181" s="188"/>
      <c r="K181" s="188"/>
      <c r="L181" s="188"/>
      <c r="M181" s="188"/>
      <c r="N181" s="188"/>
      <c r="O181" s="188"/>
      <c r="P181" s="188"/>
      <c r="Q181" s="188"/>
      <c r="R181" s="188"/>
      <c r="S181" s="188"/>
      <c r="T181" s="188" t="s">
        <v>290</v>
      </c>
      <c r="U181" s="185"/>
      <c r="V181" s="186"/>
      <c r="W181" s="186"/>
      <c r="X181" s="186"/>
      <c r="Y181" s="184" t="s">
        <v>377</v>
      </c>
      <c r="Z181" s="253">
        <f>50000+150000+1500000+1100000-50000</f>
        <v>2750000</v>
      </c>
      <c r="AA181" s="253">
        <v>200000</v>
      </c>
      <c r="AB181" s="253">
        <v>200000</v>
      </c>
      <c r="AC181" s="504" t="s">
        <v>377</v>
      </c>
      <c r="AD181" s="503"/>
    </row>
    <row r="182" spans="1:30" ht="46.5" customHeight="1" x14ac:dyDescent="0.3">
      <c r="A182" s="402" t="s">
        <v>1060</v>
      </c>
      <c r="B182" s="276" t="s">
        <v>15</v>
      </c>
      <c r="C182" s="276" t="s">
        <v>124</v>
      </c>
      <c r="D182" s="276" t="s">
        <v>123</v>
      </c>
      <c r="E182" s="276" t="s">
        <v>1059</v>
      </c>
      <c r="F182" s="276"/>
      <c r="G182" s="276"/>
      <c r="H182" s="276"/>
      <c r="I182" s="276"/>
      <c r="J182" s="276"/>
      <c r="K182" s="276"/>
      <c r="L182" s="276"/>
      <c r="M182" s="276"/>
      <c r="N182" s="276"/>
      <c r="O182" s="276"/>
      <c r="P182" s="276"/>
      <c r="Q182" s="276"/>
      <c r="R182" s="276"/>
      <c r="S182" s="276"/>
      <c r="T182" s="276"/>
      <c r="U182" s="208"/>
      <c r="V182" s="250"/>
      <c r="W182" s="250"/>
      <c r="X182" s="250"/>
      <c r="Y182" s="203" t="s">
        <v>378</v>
      </c>
      <c r="Z182" s="280">
        <f>Z183</f>
        <v>645253.38</v>
      </c>
      <c r="AA182" s="280">
        <f>AA183</f>
        <v>0</v>
      </c>
      <c r="AB182" s="280">
        <f>AB183</f>
        <v>0</v>
      </c>
      <c r="AC182" s="350" t="s">
        <v>378</v>
      </c>
      <c r="AD182" s="503"/>
    </row>
    <row r="183" spans="1:30" ht="50.25" customHeight="1" x14ac:dyDescent="0.3">
      <c r="A183" s="400" t="s">
        <v>381</v>
      </c>
      <c r="B183" s="188" t="s">
        <v>15</v>
      </c>
      <c r="C183" s="188" t="s">
        <v>124</v>
      </c>
      <c r="D183" s="188" t="s">
        <v>123</v>
      </c>
      <c r="E183" s="276" t="s">
        <v>1059</v>
      </c>
      <c r="F183" s="188"/>
      <c r="G183" s="188"/>
      <c r="H183" s="188"/>
      <c r="I183" s="188"/>
      <c r="J183" s="188"/>
      <c r="K183" s="188"/>
      <c r="L183" s="188"/>
      <c r="M183" s="188"/>
      <c r="N183" s="188"/>
      <c r="O183" s="188"/>
      <c r="P183" s="188"/>
      <c r="Q183" s="188"/>
      <c r="R183" s="188"/>
      <c r="S183" s="188"/>
      <c r="T183" s="188" t="s">
        <v>290</v>
      </c>
      <c r="U183" s="185"/>
      <c r="V183" s="186"/>
      <c r="W183" s="186"/>
      <c r="X183" s="186"/>
      <c r="Y183" s="184" t="s">
        <v>379</v>
      </c>
      <c r="Z183" s="253">
        <f>495253.38+150000</f>
        <v>645253.38</v>
      </c>
      <c r="AA183" s="253">
        <v>0</v>
      </c>
      <c r="AB183" s="253">
        <v>0</v>
      </c>
      <c r="AC183" s="504" t="s">
        <v>379</v>
      </c>
      <c r="AD183" s="503"/>
    </row>
    <row r="184" spans="1:30" ht="66" customHeight="1" x14ac:dyDescent="0.3">
      <c r="A184" s="402" t="s">
        <v>971</v>
      </c>
      <c r="B184" s="276" t="s">
        <v>15</v>
      </c>
      <c r="C184" s="276" t="s">
        <v>124</v>
      </c>
      <c r="D184" s="276" t="s">
        <v>123</v>
      </c>
      <c r="E184" s="276" t="s">
        <v>887</v>
      </c>
      <c r="F184" s="276"/>
      <c r="G184" s="276"/>
      <c r="H184" s="276"/>
      <c r="I184" s="276"/>
      <c r="J184" s="276"/>
      <c r="K184" s="276"/>
      <c r="L184" s="276"/>
      <c r="M184" s="276"/>
      <c r="N184" s="276"/>
      <c r="O184" s="276"/>
      <c r="P184" s="276"/>
      <c r="Q184" s="276"/>
      <c r="R184" s="276"/>
      <c r="S184" s="276"/>
      <c r="T184" s="276"/>
      <c r="U184" s="208"/>
      <c r="V184" s="250"/>
      <c r="W184" s="250"/>
      <c r="X184" s="250"/>
      <c r="Y184" s="203" t="s">
        <v>380</v>
      </c>
      <c r="Z184" s="280">
        <f>Z185</f>
        <v>943839.23</v>
      </c>
      <c r="AA184" s="280">
        <f>AA185</f>
        <v>0</v>
      </c>
      <c r="AB184" s="280">
        <f>AB185</f>
        <v>0</v>
      </c>
      <c r="AC184" s="350" t="s">
        <v>380</v>
      </c>
      <c r="AD184" s="503"/>
    </row>
    <row r="185" spans="1:30" ht="34.5" customHeight="1" x14ac:dyDescent="0.3">
      <c r="A185" s="400" t="s">
        <v>886</v>
      </c>
      <c r="B185" s="188" t="s">
        <v>15</v>
      </c>
      <c r="C185" s="188" t="s">
        <v>124</v>
      </c>
      <c r="D185" s="188" t="s">
        <v>123</v>
      </c>
      <c r="E185" s="276" t="s">
        <v>887</v>
      </c>
      <c r="F185" s="188"/>
      <c r="G185" s="188"/>
      <c r="H185" s="188"/>
      <c r="I185" s="188"/>
      <c r="J185" s="188"/>
      <c r="K185" s="188"/>
      <c r="L185" s="188"/>
      <c r="M185" s="188"/>
      <c r="N185" s="188"/>
      <c r="O185" s="188"/>
      <c r="P185" s="188"/>
      <c r="Q185" s="188"/>
      <c r="R185" s="188"/>
      <c r="S185" s="188"/>
      <c r="T185" s="188" t="s">
        <v>290</v>
      </c>
      <c r="U185" s="185"/>
      <c r="V185" s="186"/>
      <c r="W185" s="186"/>
      <c r="X185" s="186"/>
      <c r="Y185" s="184" t="s">
        <v>381</v>
      </c>
      <c r="Z185" s="253">
        <f>2000000-152194.73-125799.91-495253.38-282912.75</f>
        <v>943839.23</v>
      </c>
      <c r="AA185" s="253">
        <v>0</v>
      </c>
      <c r="AB185" s="253">
        <v>0</v>
      </c>
      <c r="AC185" s="504" t="s">
        <v>381</v>
      </c>
      <c r="AD185" s="503"/>
    </row>
    <row r="186" spans="1:30" ht="18.600000000000001" customHeight="1" x14ac:dyDescent="0.3">
      <c r="A186" s="415" t="s">
        <v>382</v>
      </c>
      <c r="B186" s="207" t="s">
        <v>15</v>
      </c>
      <c r="C186" s="207" t="s">
        <v>138</v>
      </c>
      <c r="D186" s="207" t="s">
        <v>133</v>
      </c>
      <c r="E186" s="207"/>
      <c r="F186" s="207"/>
      <c r="G186" s="207"/>
      <c r="H186" s="207"/>
      <c r="I186" s="207"/>
      <c r="J186" s="207"/>
      <c r="K186" s="207"/>
      <c r="L186" s="207"/>
      <c r="M186" s="207"/>
      <c r="N186" s="207"/>
      <c r="O186" s="207"/>
      <c r="P186" s="207"/>
      <c r="Q186" s="207"/>
      <c r="R186" s="207"/>
      <c r="S186" s="207"/>
      <c r="T186" s="207"/>
      <c r="U186" s="207"/>
      <c r="V186" s="254"/>
      <c r="W186" s="254"/>
      <c r="X186" s="254"/>
      <c r="Y186" s="206" t="s">
        <v>382</v>
      </c>
      <c r="Z186" s="255">
        <f>Z187+Z190+Z203</f>
        <v>9182810.0999999996</v>
      </c>
      <c r="AA186" s="255">
        <f>AA187+AA190+AA203</f>
        <v>906400</v>
      </c>
      <c r="AB186" s="255">
        <f>AB187+AB190+AB203</f>
        <v>926400</v>
      </c>
      <c r="AC186" s="502" t="s">
        <v>382</v>
      </c>
      <c r="AD186" s="503"/>
    </row>
    <row r="187" spans="1:30" ht="18.600000000000001" customHeight="1" x14ac:dyDescent="0.3">
      <c r="A187" s="415" t="s">
        <v>156</v>
      </c>
      <c r="B187" s="207" t="s">
        <v>15</v>
      </c>
      <c r="C187" s="207" t="s">
        <v>138</v>
      </c>
      <c r="D187" s="207" t="s">
        <v>132</v>
      </c>
      <c r="E187" s="207"/>
      <c r="F187" s="207"/>
      <c r="G187" s="207"/>
      <c r="H187" s="207"/>
      <c r="I187" s="207"/>
      <c r="J187" s="207"/>
      <c r="K187" s="207"/>
      <c r="L187" s="207"/>
      <c r="M187" s="207"/>
      <c r="N187" s="207"/>
      <c r="O187" s="207"/>
      <c r="P187" s="207"/>
      <c r="Q187" s="207"/>
      <c r="R187" s="207"/>
      <c r="S187" s="207"/>
      <c r="T187" s="207"/>
      <c r="U187" s="207"/>
      <c r="V187" s="254"/>
      <c r="W187" s="254"/>
      <c r="X187" s="254"/>
      <c r="Y187" s="206" t="s">
        <v>156</v>
      </c>
      <c r="Z187" s="255">
        <f t="shared" ref="Z187:AB188" si="15">Z188</f>
        <v>8000000</v>
      </c>
      <c r="AA187" s="255">
        <f t="shared" si="15"/>
        <v>100000</v>
      </c>
      <c r="AB187" s="255">
        <f t="shared" si="15"/>
        <v>100000</v>
      </c>
      <c r="AC187" s="502" t="s">
        <v>156</v>
      </c>
      <c r="AD187" s="503"/>
    </row>
    <row r="188" spans="1:30" ht="64.5" customHeight="1" x14ac:dyDescent="0.3">
      <c r="A188" s="402" t="s">
        <v>627</v>
      </c>
      <c r="B188" s="276" t="s">
        <v>15</v>
      </c>
      <c r="C188" s="276" t="s">
        <v>138</v>
      </c>
      <c r="D188" s="276" t="s">
        <v>132</v>
      </c>
      <c r="E188" s="276" t="s">
        <v>628</v>
      </c>
      <c r="F188" s="276"/>
      <c r="G188" s="276"/>
      <c r="H188" s="276"/>
      <c r="I188" s="276"/>
      <c r="J188" s="276"/>
      <c r="K188" s="276"/>
      <c r="L188" s="276"/>
      <c r="M188" s="276"/>
      <c r="N188" s="276"/>
      <c r="O188" s="276"/>
      <c r="P188" s="276"/>
      <c r="Q188" s="276"/>
      <c r="R188" s="276"/>
      <c r="S188" s="276"/>
      <c r="T188" s="276"/>
      <c r="U188" s="208"/>
      <c r="V188" s="250"/>
      <c r="W188" s="250"/>
      <c r="X188" s="250"/>
      <c r="Y188" s="203" t="s">
        <v>383</v>
      </c>
      <c r="Z188" s="280">
        <f t="shared" si="15"/>
        <v>8000000</v>
      </c>
      <c r="AA188" s="280">
        <f t="shared" si="15"/>
        <v>100000</v>
      </c>
      <c r="AB188" s="280">
        <f t="shared" si="15"/>
        <v>100000</v>
      </c>
      <c r="AC188" s="350" t="s">
        <v>383</v>
      </c>
      <c r="AD188" s="503"/>
    </row>
    <row r="189" spans="1:30" ht="49.5" customHeight="1" x14ac:dyDescent="0.3">
      <c r="A189" s="400" t="s">
        <v>384</v>
      </c>
      <c r="B189" s="188" t="s">
        <v>15</v>
      </c>
      <c r="C189" s="188" t="s">
        <v>138</v>
      </c>
      <c r="D189" s="188" t="s">
        <v>132</v>
      </c>
      <c r="E189" s="276" t="s">
        <v>628</v>
      </c>
      <c r="F189" s="188"/>
      <c r="G189" s="188"/>
      <c r="H189" s="188"/>
      <c r="I189" s="188"/>
      <c r="J189" s="188"/>
      <c r="K189" s="188"/>
      <c r="L189" s="188"/>
      <c r="M189" s="188"/>
      <c r="N189" s="188"/>
      <c r="O189" s="188"/>
      <c r="P189" s="188"/>
      <c r="Q189" s="188"/>
      <c r="R189" s="188"/>
      <c r="S189" s="188"/>
      <c r="T189" s="188" t="s">
        <v>290</v>
      </c>
      <c r="U189" s="185"/>
      <c r="V189" s="186"/>
      <c r="W189" s="186"/>
      <c r="X189" s="186"/>
      <c r="Y189" s="184" t="s">
        <v>384</v>
      </c>
      <c r="Z189" s="253">
        <f>1000000-900000+7900000</f>
        <v>8000000</v>
      </c>
      <c r="AA189" s="253">
        <v>100000</v>
      </c>
      <c r="AB189" s="253">
        <v>100000</v>
      </c>
      <c r="AC189" s="504" t="s">
        <v>384</v>
      </c>
      <c r="AD189" s="503"/>
    </row>
    <row r="190" spans="1:30" ht="22.5" customHeight="1" x14ac:dyDescent="0.3">
      <c r="A190" s="415" t="s">
        <v>825</v>
      </c>
      <c r="B190" s="207" t="s">
        <v>15</v>
      </c>
      <c r="C190" s="207" t="s">
        <v>138</v>
      </c>
      <c r="D190" s="207" t="s">
        <v>138</v>
      </c>
      <c r="E190" s="207"/>
      <c r="F190" s="207"/>
      <c r="G190" s="207"/>
      <c r="H190" s="207"/>
      <c r="I190" s="207"/>
      <c r="J190" s="207"/>
      <c r="K190" s="207"/>
      <c r="L190" s="207"/>
      <c r="M190" s="207"/>
      <c r="N190" s="207"/>
      <c r="O190" s="207"/>
      <c r="P190" s="207"/>
      <c r="Q190" s="207"/>
      <c r="R190" s="207"/>
      <c r="S190" s="207"/>
      <c r="T190" s="207"/>
      <c r="U190" s="207"/>
      <c r="V190" s="254"/>
      <c r="W190" s="254"/>
      <c r="X190" s="254"/>
      <c r="Y190" s="206" t="s">
        <v>157</v>
      </c>
      <c r="Z190" s="255">
        <f>Z191+Z193+Z195+Z197+Z201+Z199</f>
        <v>609413</v>
      </c>
      <c r="AA190" s="255">
        <f>AA191+AA193+AA195+AA197+AA201</f>
        <v>233000</v>
      </c>
      <c r="AB190" s="255">
        <f>AB191+AB193+AB195+AB197+AB201</f>
        <v>253000</v>
      </c>
      <c r="AC190" s="502" t="s">
        <v>157</v>
      </c>
      <c r="AD190" s="503"/>
    </row>
    <row r="191" spans="1:30" ht="81.75" customHeight="1" x14ac:dyDescent="0.3">
      <c r="A191" s="402" t="s">
        <v>629</v>
      </c>
      <c r="B191" s="276" t="s">
        <v>15</v>
      </c>
      <c r="C191" s="276" t="s">
        <v>138</v>
      </c>
      <c r="D191" s="276" t="s">
        <v>138</v>
      </c>
      <c r="E191" s="276" t="s">
        <v>630</v>
      </c>
      <c r="F191" s="276"/>
      <c r="G191" s="276"/>
      <c r="H191" s="276"/>
      <c r="I191" s="276"/>
      <c r="J191" s="276"/>
      <c r="K191" s="276"/>
      <c r="L191" s="276"/>
      <c r="M191" s="276"/>
      <c r="N191" s="276"/>
      <c r="O191" s="276"/>
      <c r="P191" s="276"/>
      <c r="Q191" s="276"/>
      <c r="R191" s="276"/>
      <c r="S191" s="276"/>
      <c r="T191" s="276"/>
      <c r="U191" s="208"/>
      <c r="V191" s="250"/>
      <c r="W191" s="250"/>
      <c r="X191" s="250"/>
      <c r="Y191" s="203" t="s">
        <v>385</v>
      </c>
      <c r="Z191" s="280">
        <f>Z192</f>
        <v>70000</v>
      </c>
      <c r="AA191" s="280">
        <f>AA192</f>
        <v>50000</v>
      </c>
      <c r="AB191" s="280">
        <f>AB192</f>
        <v>50000</v>
      </c>
      <c r="AC191" s="350" t="s">
        <v>385</v>
      </c>
      <c r="AD191" s="503"/>
    </row>
    <row r="192" spans="1:30" ht="48" customHeight="1" x14ac:dyDescent="0.3">
      <c r="A192" s="400" t="s">
        <v>386</v>
      </c>
      <c r="B192" s="188" t="s">
        <v>15</v>
      </c>
      <c r="C192" s="188" t="s">
        <v>138</v>
      </c>
      <c r="D192" s="188" t="s">
        <v>138</v>
      </c>
      <c r="E192" s="276" t="s">
        <v>630</v>
      </c>
      <c r="F192" s="188"/>
      <c r="G192" s="188"/>
      <c r="H192" s="188"/>
      <c r="I192" s="188"/>
      <c r="J192" s="188"/>
      <c r="K192" s="188"/>
      <c r="L192" s="188"/>
      <c r="M192" s="188"/>
      <c r="N192" s="188"/>
      <c r="O192" s="188"/>
      <c r="P192" s="188"/>
      <c r="Q192" s="188"/>
      <c r="R192" s="188"/>
      <c r="S192" s="188"/>
      <c r="T192" s="188" t="s">
        <v>290</v>
      </c>
      <c r="U192" s="185"/>
      <c r="V192" s="186"/>
      <c r="W192" s="186"/>
      <c r="X192" s="186"/>
      <c r="Y192" s="184" t="s">
        <v>386</v>
      </c>
      <c r="Z192" s="253">
        <f>50000+20000</f>
        <v>70000</v>
      </c>
      <c r="AA192" s="253">
        <v>50000</v>
      </c>
      <c r="AB192" s="253">
        <v>50000</v>
      </c>
      <c r="AC192" s="504" t="s">
        <v>386</v>
      </c>
      <c r="AD192" s="503"/>
    </row>
    <row r="193" spans="1:30" ht="128.25" customHeight="1" x14ac:dyDescent="0.3">
      <c r="A193" s="402" t="s">
        <v>631</v>
      </c>
      <c r="B193" s="276" t="s">
        <v>15</v>
      </c>
      <c r="C193" s="276" t="s">
        <v>138</v>
      </c>
      <c r="D193" s="276" t="s">
        <v>138</v>
      </c>
      <c r="E193" s="276" t="s">
        <v>632</v>
      </c>
      <c r="F193" s="276"/>
      <c r="G193" s="276"/>
      <c r="H193" s="276"/>
      <c r="I193" s="276"/>
      <c r="J193" s="276"/>
      <c r="K193" s="276"/>
      <c r="L193" s="276"/>
      <c r="M193" s="276"/>
      <c r="N193" s="276"/>
      <c r="O193" s="276"/>
      <c r="P193" s="276"/>
      <c r="Q193" s="276"/>
      <c r="R193" s="276"/>
      <c r="S193" s="276"/>
      <c r="T193" s="276"/>
      <c r="U193" s="208"/>
      <c r="V193" s="250"/>
      <c r="W193" s="250"/>
      <c r="X193" s="250"/>
      <c r="Y193" s="203" t="s">
        <v>387</v>
      </c>
      <c r="Z193" s="280">
        <f>Z194</f>
        <v>49413</v>
      </c>
      <c r="AA193" s="280">
        <f>AA194</f>
        <v>50000</v>
      </c>
      <c r="AB193" s="280">
        <f>AB194</f>
        <v>50000</v>
      </c>
      <c r="AC193" s="350" t="s">
        <v>387</v>
      </c>
      <c r="AD193" s="503"/>
    </row>
    <row r="194" spans="1:30" ht="66.75" customHeight="1" x14ac:dyDescent="0.3">
      <c r="A194" s="400" t="s">
        <v>871</v>
      </c>
      <c r="B194" s="188" t="s">
        <v>15</v>
      </c>
      <c r="C194" s="188" t="s">
        <v>138</v>
      </c>
      <c r="D194" s="188" t="s">
        <v>138</v>
      </c>
      <c r="E194" s="276" t="s">
        <v>632</v>
      </c>
      <c r="F194" s="188"/>
      <c r="G194" s="188"/>
      <c r="H194" s="188"/>
      <c r="I194" s="188"/>
      <c r="J194" s="188"/>
      <c r="K194" s="188"/>
      <c r="L194" s="188"/>
      <c r="M194" s="188"/>
      <c r="N194" s="188"/>
      <c r="O194" s="188"/>
      <c r="P194" s="188"/>
      <c r="Q194" s="188"/>
      <c r="R194" s="188"/>
      <c r="S194" s="188"/>
      <c r="T194" s="188" t="s">
        <v>290</v>
      </c>
      <c r="U194" s="185"/>
      <c r="V194" s="186"/>
      <c r="W194" s="186"/>
      <c r="X194" s="186"/>
      <c r="Y194" s="184" t="s">
        <v>388</v>
      </c>
      <c r="Z194" s="253">
        <f>50000-587</f>
        <v>49413</v>
      </c>
      <c r="AA194" s="253">
        <v>50000</v>
      </c>
      <c r="AB194" s="253">
        <v>50000</v>
      </c>
      <c r="AC194" s="504" t="s">
        <v>388</v>
      </c>
      <c r="AD194" s="503"/>
    </row>
    <row r="195" spans="1:30" ht="99" customHeight="1" x14ac:dyDescent="0.3">
      <c r="A195" s="402" t="s">
        <v>633</v>
      </c>
      <c r="B195" s="276" t="s">
        <v>15</v>
      </c>
      <c r="C195" s="276" t="s">
        <v>138</v>
      </c>
      <c r="D195" s="276" t="s">
        <v>138</v>
      </c>
      <c r="E195" s="276" t="s">
        <v>634</v>
      </c>
      <c r="F195" s="276"/>
      <c r="G195" s="276"/>
      <c r="H195" s="276"/>
      <c r="I195" s="276"/>
      <c r="J195" s="276"/>
      <c r="K195" s="276"/>
      <c r="L195" s="276"/>
      <c r="M195" s="276"/>
      <c r="N195" s="276"/>
      <c r="O195" s="276"/>
      <c r="P195" s="276"/>
      <c r="Q195" s="276"/>
      <c r="R195" s="276"/>
      <c r="S195" s="276"/>
      <c r="T195" s="276"/>
      <c r="U195" s="208"/>
      <c r="V195" s="250"/>
      <c r="W195" s="250"/>
      <c r="X195" s="250"/>
      <c r="Y195" s="203" t="s">
        <v>389</v>
      </c>
      <c r="Z195" s="280">
        <f>Z196</f>
        <v>100000</v>
      </c>
      <c r="AA195" s="280">
        <f>AA196</f>
        <v>53000</v>
      </c>
      <c r="AB195" s="280">
        <f>AB196</f>
        <v>53000</v>
      </c>
      <c r="AC195" s="350" t="s">
        <v>389</v>
      </c>
      <c r="AD195" s="503"/>
    </row>
    <row r="196" spans="1:30" ht="48.75" customHeight="1" x14ac:dyDescent="0.3">
      <c r="A196" s="400" t="s">
        <v>390</v>
      </c>
      <c r="B196" s="188" t="s">
        <v>15</v>
      </c>
      <c r="C196" s="188" t="s">
        <v>138</v>
      </c>
      <c r="D196" s="188" t="s">
        <v>138</v>
      </c>
      <c r="E196" s="276" t="s">
        <v>634</v>
      </c>
      <c r="F196" s="188"/>
      <c r="G196" s="188"/>
      <c r="H196" s="188"/>
      <c r="I196" s="188"/>
      <c r="J196" s="188"/>
      <c r="K196" s="188"/>
      <c r="L196" s="188"/>
      <c r="M196" s="188"/>
      <c r="N196" s="188"/>
      <c r="O196" s="188"/>
      <c r="P196" s="188"/>
      <c r="Q196" s="188"/>
      <c r="R196" s="188"/>
      <c r="S196" s="188"/>
      <c r="T196" s="188" t="s">
        <v>290</v>
      </c>
      <c r="U196" s="185"/>
      <c r="V196" s="186"/>
      <c r="W196" s="186"/>
      <c r="X196" s="186"/>
      <c r="Y196" s="184" t="s">
        <v>390</v>
      </c>
      <c r="Z196" s="253">
        <f>50000+50000</f>
        <v>100000</v>
      </c>
      <c r="AA196" s="253">
        <v>53000</v>
      </c>
      <c r="AB196" s="253">
        <v>53000</v>
      </c>
      <c r="AC196" s="504" t="s">
        <v>390</v>
      </c>
      <c r="AD196" s="503"/>
    </row>
    <row r="197" spans="1:30" ht="128.25" customHeight="1" x14ac:dyDescent="0.3">
      <c r="A197" s="402" t="s">
        <v>635</v>
      </c>
      <c r="B197" s="188" t="s">
        <v>15</v>
      </c>
      <c r="C197" s="188" t="s">
        <v>138</v>
      </c>
      <c r="D197" s="188" t="s">
        <v>138</v>
      </c>
      <c r="E197" s="276" t="s">
        <v>636</v>
      </c>
      <c r="F197" s="188"/>
      <c r="G197" s="188"/>
      <c r="H197" s="188"/>
      <c r="I197" s="188"/>
      <c r="J197" s="188"/>
      <c r="K197" s="188"/>
      <c r="L197" s="188"/>
      <c r="M197" s="188"/>
      <c r="N197" s="188"/>
      <c r="O197" s="188"/>
      <c r="P197" s="188"/>
      <c r="Q197" s="188"/>
      <c r="R197" s="188"/>
      <c r="S197" s="188"/>
      <c r="T197" s="188"/>
      <c r="U197" s="185"/>
      <c r="V197" s="186"/>
      <c r="W197" s="186"/>
      <c r="X197" s="186"/>
      <c r="Y197" s="184"/>
      <c r="Z197" s="253">
        <f>Z198</f>
        <v>70000</v>
      </c>
      <c r="AA197" s="253">
        <f>AA198</f>
        <v>30000</v>
      </c>
      <c r="AB197" s="253">
        <f>AB198</f>
        <v>50000</v>
      </c>
      <c r="AC197" s="504"/>
      <c r="AD197" s="503"/>
    </row>
    <row r="198" spans="1:30" ht="63.75" customHeight="1" x14ac:dyDescent="0.3">
      <c r="A198" s="400" t="s">
        <v>872</v>
      </c>
      <c r="B198" s="188" t="s">
        <v>15</v>
      </c>
      <c r="C198" s="188" t="s">
        <v>138</v>
      </c>
      <c r="D198" s="188" t="s">
        <v>138</v>
      </c>
      <c r="E198" s="276" t="s">
        <v>636</v>
      </c>
      <c r="F198" s="188"/>
      <c r="G198" s="188"/>
      <c r="H198" s="188"/>
      <c r="I198" s="188"/>
      <c r="J198" s="188"/>
      <c r="K198" s="188"/>
      <c r="L198" s="188"/>
      <c r="M198" s="188"/>
      <c r="N198" s="188"/>
      <c r="O198" s="188"/>
      <c r="P198" s="188"/>
      <c r="Q198" s="188"/>
      <c r="R198" s="188"/>
      <c r="S198" s="188"/>
      <c r="T198" s="188" t="s">
        <v>290</v>
      </c>
      <c r="U198" s="185"/>
      <c r="V198" s="186"/>
      <c r="W198" s="186"/>
      <c r="X198" s="186"/>
      <c r="Y198" s="184"/>
      <c r="Z198" s="253">
        <f>10000+40000+20000</f>
        <v>70000</v>
      </c>
      <c r="AA198" s="253">
        <v>30000</v>
      </c>
      <c r="AB198" s="253">
        <v>50000</v>
      </c>
      <c r="AC198" s="504"/>
      <c r="AD198" s="503"/>
    </row>
    <row r="199" spans="1:30" ht="115.5" customHeight="1" x14ac:dyDescent="0.3">
      <c r="A199" s="402" t="s">
        <v>1068</v>
      </c>
      <c r="B199" s="188" t="s">
        <v>15</v>
      </c>
      <c r="C199" s="188" t="s">
        <v>138</v>
      </c>
      <c r="D199" s="188" t="s">
        <v>138</v>
      </c>
      <c r="E199" s="276" t="s">
        <v>1070</v>
      </c>
      <c r="F199" s="188"/>
      <c r="G199" s="188"/>
      <c r="H199" s="188"/>
      <c r="I199" s="188"/>
      <c r="J199" s="188"/>
      <c r="K199" s="188"/>
      <c r="L199" s="188"/>
      <c r="M199" s="188"/>
      <c r="N199" s="188"/>
      <c r="O199" s="188"/>
      <c r="P199" s="188"/>
      <c r="Q199" s="188"/>
      <c r="R199" s="188"/>
      <c r="S199" s="188"/>
      <c r="T199" s="188"/>
      <c r="U199" s="185"/>
      <c r="V199" s="186"/>
      <c r="W199" s="186"/>
      <c r="X199" s="186"/>
      <c r="Y199" s="184"/>
      <c r="Z199" s="253">
        <f>Z200</f>
        <v>20000</v>
      </c>
      <c r="AA199" s="253">
        <v>0</v>
      </c>
      <c r="AB199" s="253">
        <v>0</v>
      </c>
      <c r="AC199" s="504"/>
      <c r="AD199" s="503"/>
    </row>
    <row r="200" spans="1:30" ht="51" customHeight="1" x14ac:dyDescent="0.3">
      <c r="A200" s="400" t="s">
        <v>1069</v>
      </c>
      <c r="B200" s="188" t="s">
        <v>15</v>
      </c>
      <c r="C200" s="188" t="s">
        <v>138</v>
      </c>
      <c r="D200" s="188" t="s">
        <v>138</v>
      </c>
      <c r="E200" s="276" t="s">
        <v>1070</v>
      </c>
      <c r="F200" s="188"/>
      <c r="G200" s="188"/>
      <c r="H200" s="188"/>
      <c r="I200" s="188"/>
      <c r="J200" s="188"/>
      <c r="K200" s="188"/>
      <c r="L200" s="188"/>
      <c r="M200" s="188"/>
      <c r="N200" s="188"/>
      <c r="O200" s="188"/>
      <c r="P200" s="188"/>
      <c r="Q200" s="188"/>
      <c r="R200" s="188"/>
      <c r="S200" s="188"/>
      <c r="T200" s="188" t="s">
        <v>290</v>
      </c>
      <c r="U200" s="185"/>
      <c r="V200" s="186"/>
      <c r="W200" s="186"/>
      <c r="X200" s="186"/>
      <c r="Y200" s="184"/>
      <c r="Z200" s="253">
        <v>20000</v>
      </c>
      <c r="AA200" s="253">
        <v>0</v>
      </c>
      <c r="AB200" s="253">
        <v>0</v>
      </c>
      <c r="AC200" s="504"/>
      <c r="AD200" s="503"/>
    </row>
    <row r="201" spans="1:30" ht="81" customHeight="1" x14ac:dyDescent="0.3">
      <c r="A201" s="402" t="s">
        <v>637</v>
      </c>
      <c r="B201" s="276" t="s">
        <v>15</v>
      </c>
      <c r="C201" s="276" t="s">
        <v>138</v>
      </c>
      <c r="D201" s="276" t="s">
        <v>138</v>
      </c>
      <c r="E201" s="276" t="s">
        <v>638</v>
      </c>
      <c r="F201" s="276"/>
      <c r="G201" s="276"/>
      <c r="H201" s="276"/>
      <c r="I201" s="276"/>
      <c r="J201" s="276"/>
      <c r="K201" s="276"/>
      <c r="L201" s="276"/>
      <c r="M201" s="276"/>
      <c r="N201" s="276"/>
      <c r="O201" s="276"/>
      <c r="P201" s="276"/>
      <c r="Q201" s="276"/>
      <c r="R201" s="276"/>
      <c r="S201" s="276"/>
      <c r="T201" s="276"/>
      <c r="U201" s="208"/>
      <c r="V201" s="250"/>
      <c r="W201" s="250"/>
      <c r="X201" s="250"/>
      <c r="Y201" s="203" t="s">
        <v>391</v>
      </c>
      <c r="Z201" s="280">
        <f>Z202</f>
        <v>300000</v>
      </c>
      <c r="AA201" s="280">
        <f>AA202</f>
        <v>50000</v>
      </c>
      <c r="AB201" s="280">
        <f>AB202</f>
        <v>50000</v>
      </c>
      <c r="AC201" s="350" t="s">
        <v>391</v>
      </c>
      <c r="AD201" s="503"/>
    </row>
    <row r="202" spans="1:30" ht="51" customHeight="1" x14ac:dyDescent="0.3">
      <c r="A202" s="400" t="s">
        <v>392</v>
      </c>
      <c r="B202" s="188" t="s">
        <v>15</v>
      </c>
      <c r="C202" s="188" t="s">
        <v>138</v>
      </c>
      <c r="D202" s="188" t="s">
        <v>138</v>
      </c>
      <c r="E202" s="276" t="s">
        <v>638</v>
      </c>
      <c r="F202" s="188"/>
      <c r="G202" s="188"/>
      <c r="H202" s="188"/>
      <c r="I202" s="188"/>
      <c r="J202" s="188"/>
      <c r="K202" s="188"/>
      <c r="L202" s="188"/>
      <c r="M202" s="188"/>
      <c r="N202" s="188"/>
      <c r="O202" s="188"/>
      <c r="P202" s="188"/>
      <c r="Q202" s="188"/>
      <c r="R202" s="188"/>
      <c r="S202" s="188"/>
      <c r="T202" s="188" t="s">
        <v>290</v>
      </c>
      <c r="U202" s="185"/>
      <c r="V202" s="186"/>
      <c r="W202" s="186"/>
      <c r="X202" s="186"/>
      <c r="Y202" s="184" t="s">
        <v>392</v>
      </c>
      <c r="Z202" s="253">
        <f>50000+250000</f>
        <v>300000</v>
      </c>
      <c r="AA202" s="253">
        <v>50000</v>
      </c>
      <c r="AB202" s="253">
        <v>50000</v>
      </c>
      <c r="AC202" s="504" t="s">
        <v>392</v>
      </c>
      <c r="AD202" s="503"/>
    </row>
    <row r="203" spans="1:30" ht="18.75" customHeight="1" x14ac:dyDescent="0.3">
      <c r="A203" s="415" t="s">
        <v>158</v>
      </c>
      <c r="B203" s="207" t="s">
        <v>15</v>
      </c>
      <c r="C203" s="207" t="s">
        <v>138</v>
      </c>
      <c r="D203" s="207" t="s">
        <v>127</v>
      </c>
      <c r="E203" s="207"/>
      <c r="F203" s="207"/>
      <c r="G203" s="207"/>
      <c r="H203" s="207"/>
      <c r="I203" s="207"/>
      <c r="J203" s="207"/>
      <c r="K203" s="207"/>
      <c r="L203" s="207"/>
      <c r="M203" s="207"/>
      <c r="N203" s="207"/>
      <c r="O203" s="207"/>
      <c r="P203" s="207"/>
      <c r="Q203" s="207"/>
      <c r="R203" s="207"/>
      <c r="S203" s="207"/>
      <c r="T203" s="207"/>
      <c r="U203" s="207"/>
      <c r="V203" s="254"/>
      <c r="W203" s="254"/>
      <c r="X203" s="254"/>
      <c r="Y203" s="206" t="s">
        <v>158</v>
      </c>
      <c r="Z203" s="255">
        <f>Z204</f>
        <v>573397.1</v>
      </c>
      <c r="AA203" s="255">
        <f>AA204</f>
        <v>573400</v>
      </c>
      <c r="AB203" s="255">
        <f>AB204</f>
        <v>573400</v>
      </c>
      <c r="AC203" s="502" t="s">
        <v>158</v>
      </c>
      <c r="AD203" s="503"/>
    </row>
    <row r="204" spans="1:30" ht="98.25" customHeight="1" x14ac:dyDescent="0.3">
      <c r="A204" s="402" t="s">
        <v>849</v>
      </c>
      <c r="B204" s="276" t="s">
        <v>15</v>
      </c>
      <c r="C204" s="276" t="s">
        <v>138</v>
      </c>
      <c r="D204" s="276" t="s">
        <v>127</v>
      </c>
      <c r="E204" s="276" t="s">
        <v>648</v>
      </c>
      <c r="F204" s="276"/>
      <c r="G204" s="276"/>
      <c r="H204" s="276"/>
      <c r="I204" s="276"/>
      <c r="J204" s="276"/>
      <c r="K204" s="276"/>
      <c r="L204" s="276"/>
      <c r="M204" s="276"/>
      <c r="N204" s="276"/>
      <c r="O204" s="276"/>
      <c r="P204" s="276"/>
      <c r="Q204" s="276"/>
      <c r="R204" s="276"/>
      <c r="S204" s="276"/>
      <c r="T204" s="276"/>
      <c r="U204" s="276"/>
      <c r="V204" s="378"/>
      <c r="W204" s="378"/>
      <c r="X204" s="378"/>
      <c r="Y204" s="350" t="s">
        <v>236</v>
      </c>
      <c r="Z204" s="379">
        <f>Z205+Z206</f>
        <v>573397.1</v>
      </c>
      <c r="AA204" s="377">
        <f>AA205+AA206</f>
        <v>573400</v>
      </c>
      <c r="AB204" s="280">
        <f>AB205+AB206</f>
        <v>573400</v>
      </c>
      <c r="AC204" s="350" t="s">
        <v>236</v>
      </c>
      <c r="AD204" s="503"/>
    </row>
    <row r="205" spans="1:30" ht="65.25" customHeight="1" x14ac:dyDescent="0.3">
      <c r="A205" s="403" t="s">
        <v>850</v>
      </c>
      <c r="B205" s="188" t="s">
        <v>15</v>
      </c>
      <c r="C205" s="188" t="s">
        <v>138</v>
      </c>
      <c r="D205" s="188" t="s">
        <v>127</v>
      </c>
      <c r="E205" s="276" t="s">
        <v>648</v>
      </c>
      <c r="F205" s="188"/>
      <c r="G205" s="188"/>
      <c r="H205" s="188"/>
      <c r="I205" s="188"/>
      <c r="J205" s="188"/>
      <c r="K205" s="188"/>
      <c r="L205" s="188"/>
      <c r="M205" s="188"/>
      <c r="N205" s="188"/>
      <c r="O205" s="188"/>
      <c r="P205" s="188"/>
      <c r="Q205" s="188"/>
      <c r="R205" s="188"/>
      <c r="S205" s="188"/>
      <c r="T205" s="188" t="s">
        <v>38</v>
      </c>
      <c r="U205" s="188"/>
      <c r="V205" s="189"/>
      <c r="W205" s="189"/>
      <c r="X205" s="189"/>
      <c r="Y205" s="190" t="s">
        <v>393</v>
      </c>
      <c r="Z205" s="191">
        <f>539687-2.9+4000+2500</f>
        <v>546184.1</v>
      </c>
      <c r="AA205" s="192">
        <v>539687</v>
      </c>
      <c r="AB205" s="253">
        <v>539687</v>
      </c>
      <c r="AC205" s="190" t="s">
        <v>393</v>
      </c>
      <c r="AD205" s="503"/>
    </row>
    <row r="206" spans="1:30" ht="33" customHeight="1" x14ac:dyDescent="0.3">
      <c r="A206" s="403" t="s">
        <v>611</v>
      </c>
      <c r="B206" s="188" t="s">
        <v>15</v>
      </c>
      <c r="C206" s="188" t="s">
        <v>138</v>
      </c>
      <c r="D206" s="188" t="s">
        <v>127</v>
      </c>
      <c r="E206" s="276" t="s">
        <v>648</v>
      </c>
      <c r="F206" s="188"/>
      <c r="G206" s="188"/>
      <c r="H206" s="188"/>
      <c r="I206" s="188"/>
      <c r="J206" s="188"/>
      <c r="K206" s="188"/>
      <c r="L206" s="188"/>
      <c r="M206" s="188"/>
      <c r="N206" s="188"/>
      <c r="O206" s="188"/>
      <c r="P206" s="188"/>
      <c r="Q206" s="188"/>
      <c r="R206" s="188"/>
      <c r="S206" s="188"/>
      <c r="T206" s="188" t="s">
        <v>290</v>
      </c>
      <c r="U206" s="188"/>
      <c r="V206" s="189"/>
      <c r="W206" s="189"/>
      <c r="X206" s="189"/>
      <c r="Y206" s="190" t="s">
        <v>394</v>
      </c>
      <c r="Z206" s="191">
        <f>33713-4000-2500</f>
        <v>27213</v>
      </c>
      <c r="AA206" s="192">
        <v>33713</v>
      </c>
      <c r="AB206" s="253">
        <v>33713</v>
      </c>
      <c r="AC206" s="190" t="s">
        <v>394</v>
      </c>
      <c r="AD206" s="503"/>
    </row>
    <row r="207" spans="1:30" ht="20.25" customHeight="1" x14ac:dyDescent="0.3">
      <c r="A207" s="415" t="s">
        <v>395</v>
      </c>
      <c r="B207" s="207" t="s">
        <v>15</v>
      </c>
      <c r="C207" s="207" t="s">
        <v>126</v>
      </c>
      <c r="D207" s="207" t="s">
        <v>133</v>
      </c>
      <c r="E207" s="207"/>
      <c r="F207" s="207"/>
      <c r="G207" s="207"/>
      <c r="H207" s="207"/>
      <c r="I207" s="207"/>
      <c r="J207" s="207"/>
      <c r="K207" s="207"/>
      <c r="L207" s="207"/>
      <c r="M207" s="207"/>
      <c r="N207" s="207"/>
      <c r="O207" s="207"/>
      <c r="P207" s="207"/>
      <c r="Q207" s="207"/>
      <c r="R207" s="207"/>
      <c r="S207" s="207"/>
      <c r="T207" s="207"/>
      <c r="U207" s="207"/>
      <c r="V207" s="254"/>
      <c r="W207" s="254"/>
      <c r="X207" s="254"/>
      <c r="Y207" s="206" t="s">
        <v>395</v>
      </c>
      <c r="Z207" s="255">
        <f>Z208</f>
        <v>6897516.8399999999</v>
      </c>
      <c r="AA207" s="255">
        <f>AA208</f>
        <v>500000</v>
      </c>
      <c r="AB207" s="255">
        <f>AB208</f>
        <v>550000</v>
      </c>
      <c r="AC207" s="502" t="s">
        <v>395</v>
      </c>
      <c r="AD207" s="503"/>
    </row>
    <row r="208" spans="1:30" ht="21.75" customHeight="1" x14ac:dyDescent="0.3">
      <c r="A208" s="415" t="s">
        <v>159</v>
      </c>
      <c r="B208" s="207" t="s">
        <v>15</v>
      </c>
      <c r="C208" s="207" t="s">
        <v>126</v>
      </c>
      <c r="D208" s="207" t="s">
        <v>122</v>
      </c>
      <c r="E208" s="207"/>
      <c r="F208" s="207"/>
      <c r="G208" s="207"/>
      <c r="H208" s="207"/>
      <c r="I208" s="207"/>
      <c r="J208" s="207"/>
      <c r="K208" s="207"/>
      <c r="L208" s="207"/>
      <c r="M208" s="207"/>
      <c r="N208" s="207"/>
      <c r="O208" s="207"/>
      <c r="P208" s="207"/>
      <c r="Q208" s="207"/>
      <c r="R208" s="207"/>
      <c r="S208" s="207"/>
      <c r="T208" s="207"/>
      <c r="U208" s="207"/>
      <c r="V208" s="254"/>
      <c r="W208" s="254"/>
      <c r="X208" s="254"/>
      <c r="Y208" s="206" t="s">
        <v>159</v>
      </c>
      <c r="Z208" s="255">
        <f>Z209+Z211+Z213+Z215+Z219+Z217</f>
        <v>6897516.8399999999</v>
      </c>
      <c r="AA208" s="255">
        <f>AA209+AA211+AA213+AA215+AA219</f>
        <v>500000</v>
      </c>
      <c r="AB208" s="255">
        <f>AB209+AB211+AB213+AB215+AB219</f>
        <v>550000</v>
      </c>
      <c r="AC208" s="502" t="s">
        <v>159</v>
      </c>
      <c r="AD208" s="503"/>
    </row>
    <row r="209" spans="1:30" ht="78.75" customHeight="1" x14ac:dyDescent="0.3">
      <c r="A209" s="402" t="s">
        <v>639</v>
      </c>
      <c r="B209" s="276" t="s">
        <v>15</v>
      </c>
      <c r="C209" s="276" t="s">
        <v>126</v>
      </c>
      <c r="D209" s="276" t="s">
        <v>122</v>
      </c>
      <c r="E209" s="276" t="s">
        <v>640</v>
      </c>
      <c r="F209" s="276"/>
      <c r="G209" s="276"/>
      <c r="H209" s="276"/>
      <c r="I209" s="276"/>
      <c r="J209" s="276"/>
      <c r="K209" s="276"/>
      <c r="L209" s="276"/>
      <c r="M209" s="276"/>
      <c r="N209" s="276"/>
      <c r="O209" s="276"/>
      <c r="P209" s="276"/>
      <c r="Q209" s="276"/>
      <c r="R209" s="276"/>
      <c r="S209" s="276"/>
      <c r="T209" s="276"/>
      <c r="U209" s="208"/>
      <c r="V209" s="250"/>
      <c r="W209" s="250"/>
      <c r="X209" s="250"/>
      <c r="Y209" s="203" t="s">
        <v>396</v>
      </c>
      <c r="Z209" s="280">
        <f>Z210</f>
        <v>38250</v>
      </c>
      <c r="AA209" s="280">
        <f>AA210</f>
        <v>0</v>
      </c>
      <c r="AB209" s="280">
        <f>AB210</f>
        <v>0</v>
      </c>
      <c r="AC209" s="350" t="s">
        <v>396</v>
      </c>
      <c r="AD209" s="503"/>
    </row>
    <row r="210" spans="1:30" ht="51" customHeight="1" x14ac:dyDescent="0.3">
      <c r="A210" s="400" t="s">
        <v>397</v>
      </c>
      <c r="B210" s="188" t="s">
        <v>15</v>
      </c>
      <c r="C210" s="188" t="s">
        <v>126</v>
      </c>
      <c r="D210" s="188" t="s">
        <v>122</v>
      </c>
      <c r="E210" s="276" t="s">
        <v>640</v>
      </c>
      <c r="F210" s="188"/>
      <c r="G210" s="188"/>
      <c r="H210" s="188"/>
      <c r="I210" s="188"/>
      <c r="J210" s="188"/>
      <c r="K210" s="188"/>
      <c r="L210" s="188"/>
      <c r="M210" s="188"/>
      <c r="N210" s="188"/>
      <c r="O210" s="188"/>
      <c r="P210" s="188"/>
      <c r="Q210" s="188"/>
      <c r="R210" s="188"/>
      <c r="S210" s="188"/>
      <c r="T210" s="188" t="s">
        <v>290</v>
      </c>
      <c r="U210" s="185"/>
      <c r="V210" s="186"/>
      <c r="W210" s="186"/>
      <c r="X210" s="186"/>
      <c r="Y210" s="184" t="s">
        <v>397</v>
      </c>
      <c r="Z210" s="253">
        <f>50000-11750</f>
        <v>38250</v>
      </c>
      <c r="AA210" s="253">
        <v>0</v>
      </c>
      <c r="AB210" s="253">
        <v>0</v>
      </c>
      <c r="AC210" s="504" t="s">
        <v>397</v>
      </c>
      <c r="AD210" s="503"/>
    </row>
    <row r="211" spans="1:30" ht="82.5" customHeight="1" x14ac:dyDescent="0.3">
      <c r="A211" s="402" t="s">
        <v>641</v>
      </c>
      <c r="B211" s="276" t="s">
        <v>15</v>
      </c>
      <c r="C211" s="276" t="s">
        <v>126</v>
      </c>
      <c r="D211" s="276" t="s">
        <v>122</v>
      </c>
      <c r="E211" s="276" t="s">
        <v>642</v>
      </c>
      <c r="F211" s="276"/>
      <c r="G211" s="276"/>
      <c r="H211" s="276"/>
      <c r="I211" s="276"/>
      <c r="J211" s="276"/>
      <c r="K211" s="276"/>
      <c r="L211" s="276"/>
      <c r="M211" s="276"/>
      <c r="N211" s="276"/>
      <c r="O211" s="276"/>
      <c r="P211" s="276"/>
      <c r="Q211" s="276"/>
      <c r="R211" s="276"/>
      <c r="S211" s="276"/>
      <c r="T211" s="276"/>
      <c r="U211" s="208"/>
      <c r="V211" s="250"/>
      <c r="W211" s="250"/>
      <c r="X211" s="250"/>
      <c r="Y211" s="203" t="s">
        <v>396</v>
      </c>
      <c r="Z211" s="280">
        <f>Z212</f>
        <v>200000</v>
      </c>
      <c r="AA211" s="280">
        <f>AA212</f>
        <v>100000</v>
      </c>
      <c r="AB211" s="280">
        <f>AB212</f>
        <v>150000</v>
      </c>
      <c r="AC211" s="350" t="s">
        <v>396</v>
      </c>
      <c r="AD211" s="503"/>
    </row>
    <row r="212" spans="1:30" ht="51.75" customHeight="1" x14ac:dyDescent="0.3">
      <c r="A212" s="400" t="s">
        <v>397</v>
      </c>
      <c r="B212" s="188" t="s">
        <v>15</v>
      </c>
      <c r="C212" s="188" t="s">
        <v>126</v>
      </c>
      <c r="D212" s="188" t="s">
        <v>122</v>
      </c>
      <c r="E212" s="276" t="s">
        <v>642</v>
      </c>
      <c r="F212" s="188"/>
      <c r="G212" s="188"/>
      <c r="H212" s="188"/>
      <c r="I212" s="188"/>
      <c r="J212" s="188"/>
      <c r="K212" s="188"/>
      <c r="L212" s="188"/>
      <c r="M212" s="188"/>
      <c r="N212" s="188"/>
      <c r="O212" s="188"/>
      <c r="P212" s="188"/>
      <c r="Q212" s="188"/>
      <c r="R212" s="188"/>
      <c r="S212" s="188"/>
      <c r="T212" s="188" t="s">
        <v>290</v>
      </c>
      <c r="U212" s="185"/>
      <c r="V212" s="186"/>
      <c r="W212" s="186"/>
      <c r="X212" s="186"/>
      <c r="Y212" s="184" t="s">
        <v>397</v>
      </c>
      <c r="Z212" s="253">
        <f>150000+50000</f>
        <v>200000</v>
      </c>
      <c r="AA212" s="253">
        <v>100000</v>
      </c>
      <c r="AB212" s="253">
        <v>150000</v>
      </c>
      <c r="AC212" s="504" t="s">
        <v>397</v>
      </c>
      <c r="AD212" s="503"/>
    </row>
    <row r="213" spans="1:30" ht="98.25" customHeight="1" x14ac:dyDescent="0.3">
      <c r="A213" s="402" t="s">
        <v>643</v>
      </c>
      <c r="B213" s="276" t="s">
        <v>15</v>
      </c>
      <c r="C213" s="276" t="s">
        <v>126</v>
      </c>
      <c r="D213" s="276" t="s">
        <v>122</v>
      </c>
      <c r="E213" s="276" t="s">
        <v>644</v>
      </c>
      <c r="F213" s="276"/>
      <c r="G213" s="276"/>
      <c r="H213" s="276"/>
      <c r="I213" s="276"/>
      <c r="J213" s="276"/>
      <c r="K213" s="276"/>
      <c r="L213" s="276"/>
      <c r="M213" s="276"/>
      <c r="N213" s="276"/>
      <c r="O213" s="276"/>
      <c r="P213" s="276"/>
      <c r="Q213" s="276"/>
      <c r="R213" s="276"/>
      <c r="S213" s="276"/>
      <c r="T213" s="276"/>
      <c r="U213" s="208"/>
      <c r="V213" s="250"/>
      <c r="W213" s="250"/>
      <c r="X213" s="250"/>
      <c r="Y213" s="203" t="s">
        <v>398</v>
      </c>
      <c r="Z213" s="280">
        <f>Z214</f>
        <v>627526.40999999992</v>
      </c>
      <c r="AA213" s="280">
        <f>AA214</f>
        <v>0</v>
      </c>
      <c r="AB213" s="280">
        <f>AB214</f>
        <v>0</v>
      </c>
      <c r="AC213" s="350" t="s">
        <v>398</v>
      </c>
      <c r="AD213" s="503"/>
    </row>
    <row r="214" spans="1:30" ht="51" customHeight="1" x14ac:dyDescent="0.3">
      <c r="A214" s="400" t="s">
        <v>399</v>
      </c>
      <c r="B214" s="188" t="s">
        <v>15</v>
      </c>
      <c r="C214" s="188" t="s">
        <v>126</v>
      </c>
      <c r="D214" s="188" t="s">
        <v>122</v>
      </c>
      <c r="E214" s="276" t="s">
        <v>644</v>
      </c>
      <c r="F214" s="188"/>
      <c r="G214" s="188"/>
      <c r="H214" s="188"/>
      <c r="I214" s="188"/>
      <c r="J214" s="188"/>
      <c r="K214" s="188"/>
      <c r="L214" s="188"/>
      <c r="M214" s="188"/>
      <c r="N214" s="188"/>
      <c r="O214" s="188"/>
      <c r="P214" s="188"/>
      <c r="Q214" s="188"/>
      <c r="R214" s="188"/>
      <c r="S214" s="188"/>
      <c r="T214" s="188" t="s">
        <v>290</v>
      </c>
      <c r="U214" s="185"/>
      <c r="V214" s="186"/>
      <c r="W214" s="186"/>
      <c r="X214" s="186"/>
      <c r="Y214" s="184" t="s">
        <v>399</v>
      </c>
      <c r="Z214" s="253">
        <f>1500000-572490-299983.59</f>
        <v>627526.40999999992</v>
      </c>
      <c r="AA214" s="253">
        <v>0</v>
      </c>
      <c r="AB214" s="253">
        <v>0</v>
      </c>
      <c r="AC214" s="504" t="s">
        <v>399</v>
      </c>
      <c r="AD214" s="503"/>
    </row>
    <row r="215" spans="1:30" ht="84" customHeight="1" x14ac:dyDescent="0.3">
      <c r="A215" s="402" t="s">
        <v>645</v>
      </c>
      <c r="B215" s="276" t="s">
        <v>15</v>
      </c>
      <c r="C215" s="276" t="s">
        <v>126</v>
      </c>
      <c r="D215" s="276" t="s">
        <v>122</v>
      </c>
      <c r="E215" s="276" t="s">
        <v>646</v>
      </c>
      <c r="F215" s="276"/>
      <c r="G215" s="276"/>
      <c r="H215" s="276"/>
      <c r="I215" s="276"/>
      <c r="J215" s="276"/>
      <c r="K215" s="276"/>
      <c r="L215" s="276"/>
      <c r="M215" s="276"/>
      <c r="N215" s="276"/>
      <c r="O215" s="276"/>
      <c r="P215" s="276"/>
      <c r="Q215" s="276"/>
      <c r="R215" s="276"/>
      <c r="S215" s="276"/>
      <c r="T215" s="276"/>
      <c r="U215" s="208"/>
      <c r="V215" s="250"/>
      <c r="W215" s="250"/>
      <c r="X215" s="250"/>
      <c r="Y215" s="203" t="s">
        <v>400</v>
      </c>
      <c r="Z215" s="280">
        <f>Z216</f>
        <v>3725030.43</v>
      </c>
      <c r="AA215" s="280">
        <f>AA216</f>
        <v>0</v>
      </c>
      <c r="AB215" s="280">
        <f>AB216</f>
        <v>0</v>
      </c>
      <c r="AC215" s="350" t="s">
        <v>400</v>
      </c>
      <c r="AD215" s="503"/>
    </row>
    <row r="216" spans="1:30" ht="30.75" customHeight="1" x14ac:dyDescent="0.3">
      <c r="A216" s="400" t="s">
        <v>877</v>
      </c>
      <c r="B216" s="188" t="s">
        <v>15</v>
      </c>
      <c r="C216" s="188" t="s">
        <v>126</v>
      </c>
      <c r="D216" s="188" t="s">
        <v>122</v>
      </c>
      <c r="E216" s="276" t="s">
        <v>646</v>
      </c>
      <c r="F216" s="188"/>
      <c r="G216" s="188"/>
      <c r="H216" s="188"/>
      <c r="I216" s="188"/>
      <c r="J216" s="188"/>
      <c r="K216" s="188"/>
      <c r="L216" s="188"/>
      <c r="M216" s="188"/>
      <c r="N216" s="188"/>
      <c r="O216" s="188"/>
      <c r="P216" s="188"/>
      <c r="Q216" s="188"/>
      <c r="R216" s="188"/>
      <c r="S216" s="188"/>
      <c r="T216" s="188" t="s">
        <v>366</v>
      </c>
      <c r="U216" s="185"/>
      <c r="V216" s="186"/>
      <c r="W216" s="186"/>
      <c r="X216" s="186"/>
      <c r="Y216" s="184" t="s">
        <v>401</v>
      </c>
      <c r="Z216" s="253">
        <f>5000000-924969.57-350000</f>
        <v>3725030.43</v>
      </c>
      <c r="AA216" s="253">
        <v>0</v>
      </c>
      <c r="AB216" s="253">
        <v>0</v>
      </c>
      <c r="AC216" s="504" t="s">
        <v>401</v>
      </c>
      <c r="AD216" s="503"/>
    </row>
    <row r="217" spans="1:30" ht="100.5" customHeight="1" x14ac:dyDescent="0.3">
      <c r="A217" s="402" t="s">
        <v>1236</v>
      </c>
      <c r="B217" s="188" t="s">
        <v>15</v>
      </c>
      <c r="C217" s="188" t="s">
        <v>126</v>
      </c>
      <c r="D217" s="188" t="s">
        <v>122</v>
      </c>
      <c r="E217" s="276" t="s">
        <v>1237</v>
      </c>
      <c r="F217" s="188"/>
      <c r="G217" s="188"/>
      <c r="H217" s="188"/>
      <c r="I217" s="188"/>
      <c r="J217" s="188"/>
      <c r="K217" s="188"/>
      <c r="L217" s="188"/>
      <c r="M217" s="188"/>
      <c r="N217" s="188"/>
      <c r="O217" s="188"/>
      <c r="P217" s="188"/>
      <c r="Q217" s="188"/>
      <c r="R217" s="188"/>
      <c r="S217" s="188"/>
      <c r="T217" s="188"/>
      <c r="U217" s="185"/>
      <c r="V217" s="186"/>
      <c r="W217" s="186"/>
      <c r="X217" s="186"/>
      <c r="Y217" s="184"/>
      <c r="Z217" s="280">
        <f>Z218</f>
        <v>1956710</v>
      </c>
      <c r="AA217" s="253">
        <v>0</v>
      </c>
      <c r="AB217" s="253">
        <v>0</v>
      </c>
      <c r="AC217" s="504"/>
      <c r="AD217" s="503"/>
    </row>
    <row r="218" spans="1:30" ht="57" customHeight="1" x14ac:dyDescent="0.3">
      <c r="A218" s="400" t="s">
        <v>1238</v>
      </c>
      <c r="B218" s="188" t="s">
        <v>15</v>
      </c>
      <c r="C218" s="188" t="s">
        <v>126</v>
      </c>
      <c r="D218" s="188" t="s">
        <v>122</v>
      </c>
      <c r="E218" s="276" t="s">
        <v>1237</v>
      </c>
      <c r="F218" s="188"/>
      <c r="G218" s="188"/>
      <c r="H218" s="188"/>
      <c r="I218" s="188"/>
      <c r="J218" s="188"/>
      <c r="K218" s="188"/>
      <c r="L218" s="188"/>
      <c r="M218" s="188"/>
      <c r="N218" s="188"/>
      <c r="O218" s="188"/>
      <c r="P218" s="188"/>
      <c r="Q218" s="188"/>
      <c r="R218" s="188"/>
      <c r="S218" s="188"/>
      <c r="T218" s="188" t="s">
        <v>290</v>
      </c>
      <c r="U218" s="185"/>
      <c r="V218" s="186"/>
      <c r="W218" s="186"/>
      <c r="X218" s="186"/>
      <c r="Y218" s="184"/>
      <c r="Z218" s="253">
        <v>1956710</v>
      </c>
      <c r="AA218" s="253">
        <v>0</v>
      </c>
      <c r="AB218" s="253">
        <v>0</v>
      </c>
      <c r="AC218" s="504"/>
      <c r="AD218" s="503"/>
    </row>
    <row r="219" spans="1:30" ht="48.75" customHeight="1" x14ac:dyDescent="0.3">
      <c r="A219" s="402" t="s">
        <v>243</v>
      </c>
      <c r="B219" s="276" t="s">
        <v>15</v>
      </c>
      <c r="C219" s="276" t="s">
        <v>126</v>
      </c>
      <c r="D219" s="276" t="s">
        <v>122</v>
      </c>
      <c r="E219" s="276" t="s">
        <v>647</v>
      </c>
      <c r="F219" s="276"/>
      <c r="G219" s="276"/>
      <c r="H219" s="276"/>
      <c r="I219" s="276"/>
      <c r="J219" s="276"/>
      <c r="K219" s="276"/>
      <c r="L219" s="276"/>
      <c r="M219" s="276"/>
      <c r="N219" s="276"/>
      <c r="O219" s="276"/>
      <c r="P219" s="276"/>
      <c r="Q219" s="276"/>
      <c r="R219" s="276"/>
      <c r="S219" s="276"/>
      <c r="T219" s="276"/>
      <c r="U219" s="208"/>
      <c r="V219" s="250"/>
      <c r="W219" s="250"/>
      <c r="X219" s="250"/>
      <c r="Y219" s="203" t="s">
        <v>243</v>
      </c>
      <c r="Z219" s="280">
        <f>Z220</f>
        <v>350000</v>
      </c>
      <c r="AA219" s="280">
        <f>AA220</f>
        <v>400000</v>
      </c>
      <c r="AB219" s="280">
        <f>AB220</f>
        <v>400000</v>
      </c>
      <c r="AC219" s="350" t="s">
        <v>243</v>
      </c>
      <c r="AD219" s="503"/>
    </row>
    <row r="220" spans="1:30" ht="66" customHeight="1" x14ac:dyDescent="0.3">
      <c r="A220" s="400" t="s">
        <v>402</v>
      </c>
      <c r="B220" s="188" t="s">
        <v>15</v>
      </c>
      <c r="C220" s="188" t="s">
        <v>126</v>
      </c>
      <c r="D220" s="188" t="s">
        <v>122</v>
      </c>
      <c r="E220" s="276" t="s">
        <v>647</v>
      </c>
      <c r="F220" s="188"/>
      <c r="G220" s="188"/>
      <c r="H220" s="188"/>
      <c r="I220" s="188"/>
      <c r="J220" s="188"/>
      <c r="K220" s="188"/>
      <c r="L220" s="188"/>
      <c r="M220" s="188"/>
      <c r="N220" s="188"/>
      <c r="O220" s="188"/>
      <c r="P220" s="188"/>
      <c r="Q220" s="188"/>
      <c r="R220" s="188"/>
      <c r="S220" s="188"/>
      <c r="T220" s="188" t="s">
        <v>290</v>
      </c>
      <c r="U220" s="185"/>
      <c r="V220" s="186"/>
      <c r="W220" s="186"/>
      <c r="X220" s="186"/>
      <c r="Y220" s="184" t="s">
        <v>402</v>
      </c>
      <c r="Z220" s="253">
        <v>350000</v>
      </c>
      <c r="AA220" s="253">
        <v>400000</v>
      </c>
      <c r="AB220" s="253">
        <v>400000</v>
      </c>
      <c r="AC220" s="504" t="s">
        <v>402</v>
      </c>
      <c r="AD220" s="503"/>
    </row>
    <row r="221" spans="1:30" ht="18.600000000000001" customHeight="1" x14ac:dyDescent="0.3">
      <c r="A221" s="415" t="s">
        <v>403</v>
      </c>
      <c r="B221" s="207" t="s">
        <v>15</v>
      </c>
      <c r="C221" s="207" t="s">
        <v>127</v>
      </c>
      <c r="D221" s="207" t="s">
        <v>133</v>
      </c>
      <c r="E221" s="207"/>
      <c r="F221" s="207"/>
      <c r="G221" s="207"/>
      <c r="H221" s="207"/>
      <c r="I221" s="207"/>
      <c r="J221" s="207"/>
      <c r="K221" s="207"/>
      <c r="L221" s="207"/>
      <c r="M221" s="207"/>
      <c r="N221" s="207"/>
      <c r="O221" s="207"/>
      <c r="P221" s="207"/>
      <c r="Q221" s="207"/>
      <c r="R221" s="207"/>
      <c r="S221" s="207"/>
      <c r="T221" s="207"/>
      <c r="U221" s="207"/>
      <c r="V221" s="254"/>
      <c r="W221" s="254"/>
      <c r="X221" s="254"/>
      <c r="Y221" s="206" t="s">
        <v>403</v>
      </c>
      <c r="Z221" s="255">
        <f t="shared" ref="Z221:AB222" si="16">Z222</f>
        <v>573397.04999999993</v>
      </c>
      <c r="AA221" s="255">
        <f t="shared" si="16"/>
        <v>573400</v>
      </c>
      <c r="AB221" s="255">
        <f t="shared" si="16"/>
        <v>573400</v>
      </c>
      <c r="AC221" s="502" t="s">
        <v>403</v>
      </c>
      <c r="AD221" s="503"/>
    </row>
    <row r="222" spans="1:30" ht="18" customHeight="1" x14ac:dyDescent="0.3">
      <c r="A222" s="415" t="s">
        <v>161</v>
      </c>
      <c r="B222" s="207" t="s">
        <v>15</v>
      </c>
      <c r="C222" s="207" t="s">
        <v>127</v>
      </c>
      <c r="D222" s="207" t="s">
        <v>127</v>
      </c>
      <c r="E222" s="207"/>
      <c r="F222" s="207"/>
      <c r="G222" s="207"/>
      <c r="H222" s="207"/>
      <c r="I222" s="207"/>
      <c r="J222" s="207"/>
      <c r="K222" s="207"/>
      <c r="L222" s="207"/>
      <c r="M222" s="207"/>
      <c r="N222" s="207"/>
      <c r="O222" s="207"/>
      <c r="P222" s="207"/>
      <c r="Q222" s="207"/>
      <c r="R222" s="207"/>
      <c r="S222" s="207"/>
      <c r="T222" s="207"/>
      <c r="U222" s="207"/>
      <c r="V222" s="254"/>
      <c r="W222" s="254"/>
      <c r="X222" s="254"/>
      <c r="Y222" s="206" t="s">
        <v>161</v>
      </c>
      <c r="Z222" s="255">
        <f t="shared" si="16"/>
        <v>573397.04999999993</v>
      </c>
      <c r="AA222" s="255">
        <f t="shared" si="16"/>
        <v>573400</v>
      </c>
      <c r="AB222" s="255">
        <f t="shared" si="16"/>
        <v>573400</v>
      </c>
      <c r="AC222" s="502" t="s">
        <v>161</v>
      </c>
      <c r="AD222" s="503"/>
    </row>
    <row r="223" spans="1:30" ht="163.5" customHeight="1" x14ac:dyDescent="0.3">
      <c r="A223" s="405" t="s">
        <v>851</v>
      </c>
      <c r="B223" s="276" t="s">
        <v>15</v>
      </c>
      <c r="C223" s="276" t="s">
        <v>127</v>
      </c>
      <c r="D223" s="276" t="s">
        <v>127</v>
      </c>
      <c r="E223" s="276" t="s">
        <v>678</v>
      </c>
      <c r="F223" s="276"/>
      <c r="G223" s="276"/>
      <c r="H223" s="276"/>
      <c r="I223" s="276"/>
      <c r="J223" s="276"/>
      <c r="K223" s="276"/>
      <c r="L223" s="276"/>
      <c r="M223" s="276"/>
      <c r="N223" s="276"/>
      <c r="O223" s="276"/>
      <c r="P223" s="276"/>
      <c r="Q223" s="276"/>
      <c r="R223" s="276"/>
      <c r="S223" s="276"/>
      <c r="T223" s="276"/>
      <c r="U223" s="208"/>
      <c r="V223" s="250"/>
      <c r="W223" s="250"/>
      <c r="X223" s="250"/>
      <c r="Y223" s="205" t="s">
        <v>228</v>
      </c>
      <c r="Z223" s="280">
        <f>Z224+Z225</f>
        <v>573397.04999999993</v>
      </c>
      <c r="AA223" s="280">
        <f>AA224+AA225</f>
        <v>573400</v>
      </c>
      <c r="AB223" s="280">
        <f>AB224+AB225</f>
        <v>573400</v>
      </c>
      <c r="AC223" s="509" t="s">
        <v>228</v>
      </c>
      <c r="AD223" s="503"/>
    </row>
    <row r="224" spans="1:30" ht="66" customHeight="1" x14ac:dyDescent="0.3">
      <c r="A224" s="403" t="s">
        <v>852</v>
      </c>
      <c r="B224" s="188" t="s">
        <v>15</v>
      </c>
      <c r="C224" s="188" t="s">
        <v>127</v>
      </c>
      <c r="D224" s="188" t="s">
        <v>127</v>
      </c>
      <c r="E224" s="276" t="s">
        <v>678</v>
      </c>
      <c r="F224" s="188"/>
      <c r="G224" s="188"/>
      <c r="H224" s="188"/>
      <c r="I224" s="188"/>
      <c r="J224" s="188"/>
      <c r="K224" s="188"/>
      <c r="L224" s="188"/>
      <c r="M224" s="188"/>
      <c r="N224" s="188"/>
      <c r="O224" s="188"/>
      <c r="P224" s="188"/>
      <c r="Q224" s="188"/>
      <c r="R224" s="188"/>
      <c r="S224" s="188"/>
      <c r="T224" s="188" t="s">
        <v>38</v>
      </c>
      <c r="U224" s="185"/>
      <c r="V224" s="186"/>
      <c r="W224" s="186"/>
      <c r="X224" s="186"/>
      <c r="Y224" s="204" t="s">
        <v>404</v>
      </c>
      <c r="Z224" s="253">
        <v>540519.57999999996</v>
      </c>
      <c r="AA224" s="253">
        <v>540519.57999999996</v>
      </c>
      <c r="AB224" s="253">
        <v>540519.57999999996</v>
      </c>
      <c r="AC224" s="190" t="s">
        <v>404</v>
      </c>
      <c r="AD224" s="503"/>
    </row>
    <row r="225" spans="1:30" ht="33" customHeight="1" x14ac:dyDescent="0.3">
      <c r="A225" s="403" t="s">
        <v>611</v>
      </c>
      <c r="B225" s="188" t="s">
        <v>15</v>
      </c>
      <c r="C225" s="188" t="s">
        <v>127</v>
      </c>
      <c r="D225" s="188" t="s">
        <v>127</v>
      </c>
      <c r="E225" s="276" t="s">
        <v>678</v>
      </c>
      <c r="F225" s="188"/>
      <c r="G225" s="188"/>
      <c r="H225" s="188"/>
      <c r="I225" s="188"/>
      <c r="J225" s="188"/>
      <c r="K225" s="188"/>
      <c r="L225" s="188"/>
      <c r="M225" s="188"/>
      <c r="N225" s="188"/>
      <c r="O225" s="188"/>
      <c r="P225" s="188"/>
      <c r="Q225" s="188"/>
      <c r="R225" s="188"/>
      <c r="S225" s="188"/>
      <c r="T225" s="188" t="s">
        <v>290</v>
      </c>
      <c r="U225" s="185"/>
      <c r="V225" s="186"/>
      <c r="W225" s="186"/>
      <c r="X225" s="186"/>
      <c r="Y225" s="204" t="s">
        <v>405</v>
      </c>
      <c r="Z225" s="253">
        <f>32880.42-2.95</f>
        <v>32877.47</v>
      </c>
      <c r="AA225" s="253">
        <v>32880.42</v>
      </c>
      <c r="AB225" s="253">
        <v>32880.42</v>
      </c>
      <c r="AC225" s="190" t="s">
        <v>405</v>
      </c>
      <c r="AD225" s="503"/>
    </row>
    <row r="226" spans="1:30" ht="18.600000000000001" customHeight="1" x14ac:dyDescent="0.3">
      <c r="A226" s="415" t="s">
        <v>406</v>
      </c>
      <c r="B226" s="207" t="s">
        <v>15</v>
      </c>
      <c r="C226" s="207" t="s">
        <v>143</v>
      </c>
      <c r="D226" s="207" t="s">
        <v>133</v>
      </c>
      <c r="E226" s="207"/>
      <c r="F226" s="207"/>
      <c r="G226" s="207"/>
      <c r="H226" s="207"/>
      <c r="I226" s="207"/>
      <c r="J226" s="207"/>
      <c r="K226" s="207"/>
      <c r="L226" s="207"/>
      <c r="M226" s="207"/>
      <c r="N226" s="207"/>
      <c r="O226" s="207"/>
      <c r="P226" s="207"/>
      <c r="Q226" s="207"/>
      <c r="R226" s="207"/>
      <c r="S226" s="207"/>
      <c r="T226" s="207"/>
      <c r="U226" s="207"/>
      <c r="V226" s="254"/>
      <c r="W226" s="254"/>
      <c r="X226" s="254"/>
      <c r="Y226" s="206" t="s">
        <v>406</v>
      </c>
      <c r="Z226" s="255">
        <f>Z227+Z232+Z248</f>
        <v>8408232.4299999997</v>
      </c>
      <c r="AA226" s="255">
        <f>AA227+AA232+AA248</f>
        <v>4088709.98</v>
      </c>
      <c r="AB226" s="255">
        <f>AB227+AB232+AB248</f>
        <v>4089029.98</v>
      </c>
      <c r="AC226" s="502" t="s">
        <v>406</v>
      </c>
      <c r="AD226" s="503"/>
    </row>
    <row r="227" spans="1:30" ht="18.600000000000001" customHeight="1" x14ac:dyDescent="0.3">
      <c r="A227" s="415" t="s">
        <v>162</v>
      </c>
      <c r="B227" s="207" t="s">
        <v>15</v>
      </c>
      <c r="C227" s="207" t="s">
        <v>143</v>
      </c>
      <c r="D227" s="207" t="s">
        <v>122</v>
      </c>
      <c r="E227" s="207"/>
      <c r="F227" s="207"/>
      <c r="G227" s="207"/>
      <c r="H227" s="207"/>
      <c r="I227" s="207"/>
      <c r="J227" s="207"/>
      <c r="K227" s="207"/>
      <c r="L227" s="207"/>
      <c r="M227" s="207"/>
      <c r="N227" s="207"/>
      <c r="O227" s="207"/>
      <c r="P227" s="207"/>
      <c r="Q227" s="207"/>
      <c r="R227" s="207"/>
      <c r="S227" s="207"/>
      <c r="T227" s="207"/>
      <c r="U227" s="207"/>
      <c r="V227" s="254"/>
      <c r="W227" s="254"/>
      <c r="X227" s="254"/>
      <c r="Y227" s="206" t="s">
        <v>162</v>
      </c>
      <c r="Z227" s="255">
        <f>Z228+Z230</f>
        <v>1770322.73</v>
      </c>
      <c r="AA227" s="255">
        <f>AA228+AA230</f>
        <v>1487409.98</v>
      </c>
      <c r="AB227" s="255">
        <f>AB228+AB230</f>
        <v>1487729.98</v>
      </c>
      <c r="AC227" s="502" t="s">
        <v>162</v>
      </c>
      <c r="AD227" s="503"/>
    </row>
    <row r="228" spans="1:30" ht="65.25" customHeight="1" x14ac:dyDescent="0.3">
      <c r="A228" s="402" t="s">
        <v>407</v>
      </c>
      <c r="B228" s="208" t="s">
        <v>15</v>
      </c>
      <c r="C228" s="208" t="s">
        <v>143</v>
      </c>
      <c r="D228" s="208" t="s">
        <v>122</v>
      </c>
      <c r="E228" s="208" t="s">
        <v>679</v>
      </c>
      <c r="F228" s="208"/>
      <c r="G228" s="208"/>
      <c r="H228" s="208"/>
      <c r="I228" s="208"/>
      <c r="J228" s="208"/>
      <c r="K228" s="208"/>
      <c r="L228" s="208"/>
      <c r="M228" s="208"/>
      <c r="N228" s="208"/>
      <c r="O228" s="208"/>
      <c r="P228" s="208"/>
      <c r="Q228" s="208"/>
      <c r="R228" s="208"/>
      <c r="S228" s="208"/>
      <c r="T228" s="208"/>
      <c r="U228" s="208"/>
      <c r="V228" s="250"/>
      <c r="W228" s="250"/>
      <c r="X228" s="250"/>
      <c r="Y228" s="203" t="s">
        <v>407</v>
      </c>
      <c r="Z228" s="280">
        <f>Z229</f>
        <v>1655122.73</v>
      </c>
      <c r="AA228" s="280">
        <f>AA229</f>
        <v>1372209.98</v>
      </c>
      <c r="AB228" s="280">
        <f>AB229</f>
        <v>1372209.98</v>
      </c>
      <c r="AC228" s="350" t="s">
        <v>407</v>
      </c>
      <c r="AD228" s="503"/>
    </row>
    <row r="229" spans="1:30" ht="69.75" customHeight="1" x14ac:dyDescent="0.3">
      <c r="A229" s="400" t="s">
        <v>408</v>
      </c>
      <c r="B229" s="185" t="s">
        <v>15</v>
      </c>
      <c r="C229" s="185" t="s">
        <v>143</v>
      </c>
      <c r="D229" s="185" t="s">
        <v>122</v>
      </c>
      <c r="E229" s="208" t="s">
        <v>679</v>
      </c>
      <c r="F229" s="185"/>
      <c r="G229" s="185"/>
      <c r="H229" s="185"/>
      <c r="I229" s="185"/>
      <c r="J229" s="185"/>
      <c r="K229" s="185"/>
      <c r="L229" s="185"/>
      <c r="M229" s="185"/>
      <c r="N229" s="185"/>
      <c r="O229" s="185"/>
      <c r="P229" s="185"/>
      <c r="Q229" s="185"/>
      <c r="R229" s="185"/>
      <c r="S229" s="185"/>
      <c r="T229" s="185" t="s">
        <v>409</v>
      </c>
      <c r="U229" s="185"/>
      <c r="V229" s="186"/>
      <c r="W229" s="186"/>
      <c r="X229" s="186"/>
      <c r="Y229" s="184" t="s">
        <v>408</v>
      </c>
      <c r="Z229" s="253">
        <f>1372209.98+282912.75</f>
        <v>1655122.73</v>
      </c>
      <c r="AA229" s="253">
        <v>1372209.98</v>
      </c>
      <c r="AB229" s="253">
        <v>1372209.98</v>
      </c>
      <c r="AC229" s="504" t="s">
        <v>408</v>
      </c>
      <c r="AD229" s="503"/>
    </row>
    <row r="230" spans="1:30" ht="112.5" customHeight="1" x14ac:dyDescent="0.3">
      <c r="A230" s="405" t="s">
        <v>485</v>
      </c>
      <c r="B230" s="185" t="s">
        <v>15</v>
      </c>
      <c r="C230" s="185" t="s">
        <v>143</v>
      </c>
      <c r="D230" s="185" t="s">
        <v>122</v>
      </c>
      <c r="E230" s="208" t="s">
        <v>680</v>
      </c>
      <c r="F230" s="185"/>
      <c r="G230" s="185"/>
      <c r="H230" s="185"/>
      <c r="I230" s="185"/>
      <c r="J230" s="185"/>
      <c r="K230" s="185"/>
      <c r="L230" s="185"/>
      <c r="M230" s="185"/>
      <c r="N230" s="185"/>
      <c r="O230" s="185"/>
      <c r="P230" s="185"/>
      <c r="Q230" s="185"/>
      <c r="R230" s="185"/>
      <c r="S230" s="185"/>
      <c r="T230" s="185"/>
      <c r="U230" s="185"/>
      <c r="V230" s="186"/>
      <c r="W230" s="186"/>
      <c r="X230" s="186"/>
      <c r="Y230" s="184"/>
      <c r="Z230" s="253">
        <f>Z231</f>
        <v>115200</v>
      </c>
      <c r="AA230" s="253">
        <f>AA231</f>
        <v>115200</v>
      </c>
      <c r="AB230" s="253">
        <f>AB231</f>
        <v>115520</v>
      </c>
      <c r="AC230" s="504"/>
      <c r="AD230" s="503"/>
    </row>
    <row r="231" spans="1:30" ht="129" customHeight="1" x14ac:dyDescent="0.3">
      <c r="A231" s="403" t="s">
        <v>486</v>
      </c>
      <c r="B231" s="185" t="s">
        <v>15</v>
      </c>
      <c r="C231" s="185" t="s">
        <v>143</v>
      </c>
      <c r="D231" s="185" t="s">
        <v>122</v>
      </c>
      <c r="E231" s="208" t="s">
        <v>680</v>
      </c>
      <c r="F231" s="185"/>
      <c r="G231" s="185"/>
      <c r="H231" s="185"/>
      <c r="I231" s="185"/>
      <c r="J231" s="185"/>
      <c r="K231" s="185"/>
      <c r="L231" s="185"/>
      <c r="M231" s="185"/>
      <c r="N231" s="185"/>
      <c r="O231" s="185"/>
      <c r="P231" s="185"/>
      <c r="Q231" s="185"/>
      <c r="R231" s="185"/>
      <c r="S231" s="185"/>
      <c r="T231" s="185" t="s">
        <v>409</v>
      </c>
      <c r="U231" s="185"/>
      <c r="V231" s="186"/>
      <c r="W231" s="186"/>
      <c r="X231" s="186"/>
      <c r="Y231" s="184"/>
      <c r="Z231" s="253">
        <v>115200</v>
      </c>
      <c r="AA231" s="253">
        <v>115200</v>
      </c>
      <c r="AB231" s="253">
        <v>115520</v>
      </c>
      <c r="AC231" s="504"/>
      <c r="AD231" s="503"/>
    </row>
    <row r="232" spans="1:30" ht="19.5" customHeight="1" x14ac:dyDescent="0.3">
      <c r="A232" s="415" t="s">
        <v>163</v>
      </c>
      <c r="B232" s="207" t="s">
        <v>15</v>
      </c>
      <c r="C232" s="207" t="s">
        <v>143</v>
      </c>
      <c r="D232" s="207" t="s">
        <v>123</v>
      </c>
      <c r="E232" s="207"/>
      <c r="F232" s="207"/>
      <c r="G232" s="207"/>
      <c r="H232" s="207"/>
      <c r="I232" s="207"/>
      <c r="J232" s="207"/>
      <c r="K232" s="207"/>
      <c r="L232" s="207"/>
      <c r="M232" s="207"/>
      <c r="N232" s="207"/>
      <c r="O232" s="207"/>
      <c r="P232" s="207"/>
      <c r="Q232" s="207"/>
      <c r="R232" s="207"/>
      <c r="S232" s="207"/>
      <c r="T232" s="207"/>
      <c r="U232" s="207"/>
      <c r="V232" s="254"/>
      <c r="W232" s="254"/>
      <c r="X232" s="254"/>
      <c r="Y232" s="206" t="s">
        <v>163</v>
      </c>
      <c r="Z232" s="255">
        <f>Z233+Z239+Z241+Z243+Z246+Z235+Z237</f>
        <v>3197957.7</v>
      </c>
      <c r="AA232" s="255">
        <f>AA233+AA239+AA241+AA243+AA246+AA235</f>
        <v>880000</v>
      </c>
      <c r="AB232" s="255">
        <f>AB233+AB239+AB241+AB243+AB246+AB235</f>
        <v>880000</v>
      </c>
      <c r="AC232" s="502" t="s">
        <v>163</v>
      </c>
      <c r="AD232" s="503"/>
    </row>
    <row r="233" spans="1:30" ht="111" customHeight="1" x14ac:dyDescent="0.3">
      <c r="A233" s="402" t="s">
        <v>681</v>
      </c>
      <c r="B233" s="208" t="s">
        <v>15</v>
      </c>
      <c r="C233" s="208" t="s">
        <v>143</v>
      </c>
      <c r="D233" s="208" t="s">
        <v>123</v>
      </c>
      <c r="E233" s="208" t="s">
        <v>682</v>
      </c>
      <c r="F233" s="208"/>
      <c r="G233" s="208"/>
      <c r="H233" s="208"/>
      <c r="I233" s="208"/>
      <c r="J233" s="208"/>
      <c r="K233" s="208"/>
      <c r="L233" s="208"/>
      <c r="M233" s="208"/>
      <c r="N233" s="208"/>
      <c r="O233" s="208"/>
      <c r="P233" s="208"/>
      <c r="Q233" s="208"/>
      <c r="R233" s="208"/>
      <c r="S233" s="208"/>
      <c r="T233" s="208"/>
      <c r="U233" s="208"/>
      <c r="V233" s="250"/>
      <c r="W233" s="250"/>
      <c r="X233" s="250"/>
      <c r="Y233" s="203" t="s">
        <v>410</v>
      </c>
      <c r="Z233" s="280">
        <f>Z234</f>
        <v>21005.699999999997</v>
      </c>
      <c r="AA233" s="280">
        <f>AA234</f>
        <v>100000</v>
      </c>
      <c r="AB233" s="280">
        <f>AB234</f>
        <v>100000</v>
      </c>
      <c r="AC233" s="350" t="s">
        <v>410</v>
      </c>
      <c r="AD233" s="503"/>
    </row>
    <row r="234" spans="1:30" ht="64.5" customHeight="1" x14ac:dyDescent="0.3">
      <c r="A234" s="400" t="s">
        <v>411</v>
      </c>
      <c r="B234" s="185" t="s">
        <v>15</v>
      </c>
      <c r="C234" s="185" t="s">
        <v>143</v>
      </c>
      <c r="D234" s="185" t="s">
        <v>123</v>
      </c>
      <c r="E234" s="208" t="s">
        <v>682</v>
      </c>
      <c r="F234" s="185"/>
      <c r="G234" s="185"/>
      <c r="H234" s="185"/>
      <c r="I234" s="185"/>
      <c r="J234" s="185"/>
      <c r="K234" s="185"/>
      <c r="L234" s="185"/>
      <c r="M234" s="185"/>
      <c r="N234" s="185"/>
      <c r="O234" s="185"/>
      <c r="P234" s="185"/>
      <c r="Q234" s="185"/>
      <c r="R234" s="185"/>
      <c r="S234" s="185"/>
      <c r="T234" s="185" t="s">
        <v>290</v>
      </c>
      <c r="U234" s="185"/>
      <c r="V234" s="186"/>
      <c r="W234" s="186"/>
      <c r="X234" s="186"/>
      <c r="Y234" s="184" t="s">
        <v>411</v>
      </c>
      <c r="Z234" s="253">
        <f>30000+70000-78994.3</f>
        <v>21005.699999999997</v>
      </c>
      <c r="AA234" s="253">
        <v>100000</v>
      </c>
      <c r="AB234" s="253">
        <v>100000</v>
      </c>
      <c r="AC234" s="504" t="s">
        <v>411</v>
      </c>
      <c r="AD234" s="503"/>
    </row>
    <row r="235" spans="1:30" ht="81.75" customHeight="1" x14ac:dyDescent="0.3">
      <c r="A235" s="431" t="s">
        <v>683</v>
      </c>
      <c r="B235" s="185" t="s">
        <v>15</v>
      </c>
      <c r="C235" s="185" t="s">
        <v>143</v>
      </c>
      <c r="D235" s="185" t="s">
        <v>123</v>
      </c>
      <c r="E235" s="208" t="s">
        <v>961</v>
      </c>
      <c r="F235" s="185"/>
      <c r="G235" s="185"/>
      <c r="H235" s="185"/>
      <c r="I235" s="185"/>
      <c r="J235" s="185"/>
      <c r="K235" s="185"/>
      <c r="L235" s="185"/>
      <c r="M235" s="185"/>
      <c r="N235" s="185"/>
      <c r="O235" s="185"/>
      <c r="P235" s="185"/>
      <c r="Q235" s="185"/>
      <c r="R235" s="185"/>
      <c r="S235" s="185"/>
      <c r="T235" s="185"/>
      <c r="U235" s="185"/>
      <c r="V235" s="186"/>
      <c r="W235" s="186"/>
      <c r="X235" s="186"/>
      <c r="Y235" s="184"/>
      <c r="Z235" s="253">
        <f>Z236</f>
        <v>1328608</v>
      </c>
      <c r="AA235" s="253">
        <f>AA236</f>
        <v>100000</v>
      </c>
      <c r="AB235" s="253">
        <f>AB236</f>
        <v>100000</v>
      </c>
      <c r="AC235" s="504"/>
      <c r="AD235" s="503"/>
    </row>
    <row r="236" spans="1:30" ht="48" customHeight="1" x14ac:dyDescent="0.3">
      <c r="A236" s="432" t="s">
        <v>413</v>
      </c>
      <c r="B236" s="185" t="s">
        <v>15</v>
      </c>
      <c r="C236" s="185" t="s">
        <v>143</v>
      </c>
      <c r="D236" s="185" t="s">
        <v>123</v>
      </c>
      <c r="E236" s="208" t="s">
        <v>961</v>
      </c>
      <c r="F236" s="185"/>
      <c r="G236" s="185"/>
      <c r="H236" s="185"/>
      <c r="I236" s="185"/>
      <c r="J236" s="185"/>
      <c r="K236" s="185"/>
      <c r="L236" s="185"/>
      <c r="M236" s="185"/>
      <c r="N236" s="185"/>
      <c r="O236" s="185"/>
      <c r="P236" s="185"/>
      <c r="Q236" s="185"/>
      <c r="R236" s="185"/>
      <c r="S236" s="185"/>
      <c r="T236" s="185" t="s">
        <v>409</v>
      </c>
      <c r="U236" s="185"/>
      <c r="V236" s="186"/>
      <c r="W236" s="186"/>
      <c r="X236" s="186"/>
      <c r="Y236" s="184"/>
      <c r="Z236" s="253">
        <f>1000000+328608</f>
        <v>1328608</v>
      </c>
      <c r="AA236" s="253">
        <v>100000</v>
      </c>
      <c r="AB236" s="253">
        <v>100000</v>
      </c>
      <c r="AC236" s="504"/>
      <c r="AD236" s="503"/>
    </row>
    <row r="237" spans="1:30" ht="66.75" customHeight="1" x14ac:dyDescent="0.3">
      <c r="A237" s="402" t="s">
        <v>962</v>
      </c>
      <c r="B237" s="185" t="s">
        <v>15</v>
      </c>
      <c r="C237" s="185" t="s">
        <v>143</v>
      </c>
      <c r="D237" s="185" t="s">
        <v>123</v>
      </c>
      <c r="E237" s="208" t="s">
        <v>961</v>
      </c>
      <c r="F237" s="185"/>
      <c r="G237" s="185"/>
      <c r="H237" s="185"/>
      <c r="I237" s="185"/>
      <c r="J237" s="185"/>
      <c r="K237" s="185"/>
      <c r="L237" s="185"/>
      <c r="M237" s="185"/>
      <c r="N237" s="185"/>
      <c r="O237" s="185"/>
      <c r="P237" s="185"/>
      <c r="Q237" s="185"/>
      <c r="R237" s="185"/>
      <c r="S237" s="185"/>
      <c r="T237" s="185"/>
      <c r="U237" s="185"/>
      <c r="V237" s="186"/>
      <c r="W237" s="186"/>
      <c r="X237" s="186"/>
      <c r="Y237" s="184"/>
      <c r="Z237" s="253">
        <f>Z238</f>
        <v>807344</v>
      </c>
      <c r="AA237" s="253">
        <v>0</v>
      </c>
      <c r="AB237" s="253">
        <v>0</v>
      </c>
      <c r="AC237" s="504"/>
      <c r="AD237" s="503"/>
    </row>
    <row r="238" spans="1:30" ht="51" customHeight="1" x14ac:dyDescent="0.3">
      <c r="A238" s="432" t="s">
        <v>413</v>
      </c>
      <c r="B238" s="185" t="s">
        <v>15</v>
      </c>
      <c r="C238" s="185" t="s">
        <v>143</v>
      </c>
      <c r="D238" s="185" t="s">
        <v>123</v>
      </c>
      <c r="E238" s="208" t="s">
        <v>961</v>
      </c>
      <c r="F238" s="185"/>
      <c r="G238" s="185"/>
      <c r="H238" s="185"/>
      <c r="I238" s="185"/>
      <c r="J238" s="185"/>
      <c r="K238" s="185"/>
      <c r="L238" s="185"/>
      <c r="M238" s="185"/>
      <c r="N238" s="185"/>
      <c r="O238" s="185"/>
      <c r="P238" s="185"/>
      <c r="Q238" s="185"/>
      <c r="R238" s="185"/>
      <c r="S238" s="185"/>
      <c r="T238" s="185" t="s">
        <v>409</v>
      </c>
      <c r="U238" s="185"/>
      <c r="V238" s="186"/>
      <c r="W238" s="186"/>
      <c r="X238" s="186"/>
      <c r="Y238" s="184"/>
      <c r="Z238" s="253">
        <v>807344</v>
      </c>
      <c r="AA238" s="253">
        <v>0</v>
      </c>
      <c r="AB238" s="253">
        <v>0</v>
      </c>
      <c r="AC238" s="504"/>
      <c r="AD238" s="503"/>
    </row>
    <row r="239" spans="1:30" ht="81.75" hidden="1" customHeight="1" x14ac:dyDescent="0.3">
      <c r="A239" s="431" t="s">
        <v>683</v>
      </c>
      <c r="B239" s="260" t="s">
        <v>15</v>
      </c>
      <c r="C239" s="260" t="s">
        <v>143</v>
      </c>
      <c r="D239" s="260" t="s">
        <v>123</v>
      </c>
      <c r="E239" s="260" t="s">
        <v>684</v>
      </c>
      <c r="F239" s="260"/>
      <c r="G239" s="260"/>
      <c r="H239" s="260"/>
      <c r="I239" s="260"/>
      <c r="J239" s="260"/>
      <c r="K239" s="260"/>
      <c r="L239" s="260"/>
      <c r="M239" s="260"/>
      <c r="N239" s="260"/>
      <c r="O239" s="260"/>
      <c r="P239" s="260"/>
      <c r="Q239" s="260"/>
      <c r="R239" s="260"/>
      <c r="S239" s="260"/>
      <c r="T239" s="260"/>
      <c r="U239" s="260"/>
      <c r="V239" s="261"/>
      <c r="W239" s="261"/>
      <c r="X239" s="261"/>
      <c r="Y239" s="259" t="s">
        <v>412</v>
      </c>
      <c r="Z239" s="344">
        <f>Z240</f>
        <v>0</v>
      </c>
      <c r="AA239" s="344">
        <f>AA240</f>
        <v>0</v>
      </c>
      <c r="AB239" s="344">
        <f>AB240</f>
        <v>0</v>
      </c>
      <c r="AC239" s="350" t="s">
        <v>412</v>
      </c>
      <c r="AD239" s="503"/>
    </row>
    <row r="240" spans="1:30" ht="46.5" hidden="1" customHeight="1" x14ac:dyDescent="0.3">
      <c r="A240" s="432" t="s">
        <v>413</v>
      </c>
      <c r="B240" s="345" t="s">
        <v>15</v>
      </c>
      <c r="C240" s="345" t="s">
        <v>143</v>
      </c>
      <c r="D240" s="345" t="s">
        <v>123</v>
      </c>
      <c r="E240" s="260" t="s">
        <v>684</v>
      </c>
      <c r="F240" s="345"/>
      <c r="G240" s="345"/>
      <c r="H240" s="345"/>
      <c r="I240" s="345"/>
      <c r="J240" s="345"/>
      <c r="K240" s="345"/>
      <c r="L240" s="345"/>
      <c r="M240" s="345"/>
      <c r="N240" s="345"/>
      <c r="O240" s="345"/>
      <c r="P240" s="345"/>
      <c r="Q240" s="345"/>
      <c r="R240" s="345"/>
      <c r="S240" s="345"/>
      <c r="T240" s="345" t="s">
        <v>409</v>
      </c>
      <c r="U240" s="346"/>
      <c r="V240" s="347"/>
      <c r="W240" s="347"/>
      <c r="X240" s="347"/>
      <c r="Y240" s="348" t="s">
        <v>413</v>
      </c>
      <c r="Z240" s="349">
        <f>50000+450000+500000-1000000</f>
        <v>0</v>
      </c>
      <c r="AA240" s="349">
        <f>100000-100000</f>
        <v>0</v>
      </c>
      <c r="AB240" s="349">
        <f>100000-100000</f>
        <v>0</v>
      </c>
      <c r="AC240" s="504" t="s">
        <v>413</v>
      </c>
      <c r="AD240" s="503"/>
    </row>
    <row r="241" spans="1:30" ht="0.75" hidden="1" customHeight="1" x14ac:dyDescent="0.3">
      <c r="A241" s="402" t="s">
        <v>414</v>
      </c>
      <c r="B241" s="208" t="s">
        <v>15</v>
      </c>
      <c r="C241" s="208" t="s">
        <v>143</v>
      </c>
      <c r="D241" s="208" t="s">
        <v>123</v>
      </c>
      <c r="E241" s="208" t="s">
        <v>685</v>
      </c>
      <c r="F241" s="208"/>
      <c r="G241" s="208"/>
      <c r="H241" s="208"/>
      <c r="I241" s="208"/>
      <c r="J241" s="208"/>
      <c r="K241" s="208"/>
      <c r="L241" s="208"/>
      <c r="M241" s="208"/>
      <c r="N241" s="208"/>
      <c r="O241" s="208"/>
      <c r="P241" s="208"/>
      <c r="Q241" s="208"/>
      <c r="R241" s="208"/>
      <c r="S241" s="208"/>
      <c r="T241" s="208"/>
      <c r="U241" s="208"/>
      <c r="V241" s="250"/>
      <c r="W241" s="250"/>
      <c r="X241" s="250"/>
      <c r="Y241" s="203" t="s">
        <v>414</v>
      </c>
      <c r="Z241" s="280">
        <f>Z242</f>
        <v>0</v>
      </c>
      <c r="AA241" s="280">
        <f>AA242</f>
        <v>0</v>
      </c>
      <c r="AB241" s="280">
        <f>AB242</f>
        <v>0</v>
      </c>
      <c r="AC241" s="350" t="s">
        <v>414</v>
      </c>
      <c r="AD241" s="503"/>
    </row>
    <row r="242" spans="1:30" ht="27" hidden="1" customHeight="1" x14ac:dyDescent="0.3">
      <c r="A242" s="400" t="s">
        <v>415</v>
      </c>
      <c r="B242" s="185" t="s">
        <v>15</v>
      </c>
      <c r="C242" s="185" t="s">
        <v>143</v>
      </c>
      <c r="D242" s="185" t="s">
        <v>123</v>
      </c>
      <c r="E242" s="208" t="s">
        <v>685</v>
      </c>
      <c r="F242" s="185"/>
      <c r="G242" s="185"/>
      <c r="H242" s="185"/>
      <c r="I242" s="185"/>
      <c r="J242" s="185"/>
      <c r="K242" s="185"/>
      <c r="L242" s="185"/>
      <c r="M242" s="185"/>
      <c r="N242" s="185"/>
      <c r="O242" s="185"/>
      <c r="P242" s="185"/>
      <c r="Q242" s="185"/>
      <c r="R242" s="185"/>
      <c r="S242" s="185"/>
      <c r="T242" s="185" t="s">
        <v>290</v>
      </c>
      <c r="U242" s="185"/>
      <c r="V242" s="186"/>
      <c r="W242" s="186"/>
      <c r="X242" s="186"/>
      <c r="Y242" s="184" t="s">
        <v>415</v>
      </c>
      <c r="Z242" s="253">
        <f>50000-50000</f>
        <v>0</v>
      </c>
      <c r="AA242" s="253">
        <v>0</v>
      </c>
      <c r="AB242" s="253">
        <v>0</v>
      </c>
      <c r="AC242" s="504" t="s">
        <v>415</v>
      </c>
      <c r="AD242" s="503"/>
    </row>
    <row r="243" spans="1:30" ht="33" customHeight="1" x14ac:dyDescent="0.3">
      <c r="A243" s="402" t="s">
        <v>241</v>
      </c>
      <c r="B243" s="208" t="s">
        <v>15</v>
      </c>
      <c r="C243" s="208" t="s">
        <v>143</v>
      </c>
      <c r="D243" s="208" t="s">
        <v>123</v>
      </c>
      <c r="E243" s="208" t="s">
        <v>686</v>
      </c>
      <c r="F243" s="276"/>
      <c r="G243" s="276"/>
      <c r="H243" s="276"/>
      <c r="I243" s="276"/>
      <c r="J243" s="276"/>
      <c r="K243" s="276"/>
      <c r="L243" s="276"/>
      <c r="M243" s="276"/>
      <c r="N243" s="276"/>
      <c r="O243" s="276"/>
      <c r="P243" s="276"/>
      <c r="Q243" s="276"/>
      <c r="R243" s="276"/>
      <c r="S243" s="276"/>
      <c r="T243" s="276"/>
      <c r="U243" s="208"/>
      <c r="V243" s="250"/>
      <c r="W243" s="250"/>
      <c r="X243" s="250"/>
      <c r="Y243" s="203" t="s">
        <v>241</v>
      </c>
      <c r="Z243" s="280">
        <f>Z245+Z244</f>
        <v>621000</v>
      </c>
      <c r="AA243" s="280">
        <f>AA245+AA244</f>
        <v>500000</v>
      </c>
      <c r="AB243" s="280">
        <f>AB245+AB244</f>
        <v>500000</v>
      </c>
      <c r="AC243" s="350" t="s">
        <v>241</v>
      </c>
      <c r="AD243" s="503"/>
    </row>
    <row r="244" spans="1:30" ht="51.75" customHeight="1" x14ac:dyDescent="0.3">
      <c r="A244" s="402" t="s">
        <v>838</v>
      </c>
      <c r="B244" s="185" t="s">
        <v>15</v>
      </c>
      <c r="C244" s="185" t="s">
        <v>143</v>
      </c>
      <c r="D244" s="185" t="s">
        <v>123</v>
      </c>
      <c r="E244" s="208" t="s">
        <v>686</v>
      </c>
      <c r="F244" s="185"/>
      <c r="G244" s="185"/>
      <c r="H244" s="185"/>
      <c r="I244" s="185"/>
      <c r="J244" s="185"/>
      <c r="K244" s="185"/>
      <c r="L244" s="185"/>
      <c r="M244" s="185"/>
      <c r="N244" s="185"/>
      <c r="O244" s="185"/>
      <c r="P244" s="185"/>
      <c r="Q244" s="185"/>
      <c r="R244" s="185"/>
      <c r="S244" s="185"/>
      <c r="T244" s="185" t="s">
        <v>290</v>
      </c>
      <c r="U244" s="208"/>
      <c r="V244" s="250"/>
      <c r="W244" s="250"/>
      <c r="X244" s="250"/>
      <c r="Y244" s="203"/>
      <c r="Z244" s="280">
        <f>300000-95000</f>
        <v>205000</v>
      </c>
      <c r="AA244" s="280">
        <v>300000</v>
      </c>
      <c r="AB244" s="280">
        <v>300000</v>
      </c>
      <c r="AC244" s="350"/>
      <c r="AD244" s="503"/>
    </row>
    <row r="245" spans="1:30" ht="49.5" customHeight="1" x14ac:dyDescent="0.3">
      <c r="A245" s="400" t="s">
        <v>416</v>
      </c>
      <c r="B245" s="185" t="s">
        <v>15</v>
      </c>
      <c r="C245" s="185" t="s">
        <v>143</v>
      </c>
      <c r="D245" s="185" t="s">
        <v>123</v>
      </c>
      <c r="E245" s="208" t="s">
        <v>686</v>
      </c>
      <c r="F245" s="185"/>
      <c r="G245" s="185"/>
      <c r="H245" s="185"/>
      <c r="I245" s="185"/>
      <c r="J245" s="185"/>
      <c r="K245" s="185"/>
      <c r="L245" s="185"/>
      <c r="M245" s="185"/>
      <c r="N245" s="185"/>
      <c r="O245" s="185"/>
      <c r="P245" s="185"/>
      <c r="Q245" s="185"/>
      <c r="R245" s="185"/>
      <c r="S245" s="185"/>
      <c r="T245" s="185" t="s">
        <v>409</v>
      </c>
      <c r="U245" s="185"/>
      <c r="V245" s="186"/>
      <c r="W245" s="186"/>
      <c r="X245" s="186"/>
      <c r="Y245" s="184" t="s">
        <v>416</v>
      </c>
      <c r="Z245" s="253">
        <f>200000+121000+95000</f>
        <v>416000</v>
      </c>
      <c r="AA245" s="253">
        <v>200000</v>
      </c>
      <c r="AB245" s="253">
        <v>200000</v>
      </c>
      <c r="AC245" s="504" t="s">
        <v>416</v>
      </c>
      <c r="AD245" s="503"/>
    </row>
    <row r="246" spans="1:30" ht="70.5" customHeight="1" x14ac:dyDescent="0.3">
      <c r="A246" s="433" t="s">
        <v>687</v>
      </c>
      <c r="B246" s="185" t="s">
        <v>15</v>
      </c>
      <c r="C246" s="185" t="s">
        <v>143</v>
      </c>
      <c r="D246" s="185" t="s">
        <v>123</v>
      </c>
      <c r="E246" s="208" t="s">
        <v>688</v>
      </c>
      <c r="F246" s="185"/>
      <c r="G246" s="185"/>
      <c r="H246" s="185"/>
      <c r="I246" s="185"/>
      <c r="J246" s="185"/>
      <c r="K246" s="185"/>
      <c r="L246" s="185"/>
      <c r="M246" s="185"/>
      <c r="N246" s="185"/>
      <c r="O246" s="185"/>
      <c r="P246" s="185"/>
      <c r="Q246" s="185"/>
      <c r="R246" s="185"/>
      <c r="S246" s="185"/>
      <c r="T246" s="185"/>
      <c r="U246" s="185"/>
      <c r="V246" s="186"/>
      <c r="W246" s="186"/>
      <c r="X246" s="186"/>
      <c r="Y246" s="184"/>
      <c r="Z246" s="253">
        <f>Z247</f>
        <v>420000</v>
      </c>
      <c r="AA246" s="253">
        <f>AA247</f>
        <v>180000</v>
      </c>
      <c r="AB246" s="253">
        <f>AB247</f>
        <v>180000</v>
      </c>
      <c r="AC246" s="504"/>
      <c r="AD246" s="503"/>
    </row>
    <row r="247" spans="1:30" ht="68.25" customHeight="1" x14ac:dyDescent="0.3">
      <c r="A247" s="417" t="s">
        <v>873</v>
      </c>
      <c r="B247" s="185" t="s">
        <v>15</v>
      </c>
      <c r="C247" s="185" t="s">
        <v>143</v>
      </c>
      <c r="D247" s="185" t="s">
        <v>123</v>
      </c>
      <c r="E247" s="208" t="s">
        <v>688</v>
      </c>
      <c r="F247" s="185"/>
      <c r="G247" s="185"/>
      <c r="H247" s="185"/>
      <c r="I247" s="185"/>
      <c r="J247" s="185"/>
      <c r="K247" s="185"/>
      <c r="L247" s="185"/>
      <c r="M247" s="185"/>
      <c r="N247" s="185"/>
      <c r="O247" s="185"/>
      <c r="P247" s="185"/>
      <c r="Q247" s="185"/>
      <c r="R247" s="185"/>
      <c r="S247" s="185"/>
      <c r="T247" s="185" t="s">
        <v>409</v>
      </c>
      <c r="U247" s="185"/>
      <c r="V247" s="186"/>
      <c r="W247" s="186"/>
      <c r="X247" s="186"/>
      <c r="Y247" s="184"/>
      <c r="Z247" s="253">
        <f>180000+240000</f>
        <v>420000</v>
      </c>
      <c r="AA247" s="253">
        <v>180000</v>
      </c>
      <c r="AB247" s="253">
        <v>180000</v>
      </c>
      <c r="AC247" s="504"/>
      <c r="AD247" s="503"/>
    </row>
    <row r="248" spans="1:30" ht="18.600000000000001" customHeight="1" x14ac:dyDescent="0.3">
      <c r="A248" s="415" t="s">
        <v>164</v>
      </c>
      <c r="B248" s="207" t="s">
        <v>15</v>
      </c>
      <c r="C248" s="207" t="s">
        <v>143</v>
      </c>
      <c r="D248" s="207" t="s">
        <v>136</v>
      </c>
      <c r="E248" s="207"/>
      <c r="F248" s="207"/>
      <c r="G248" s="207"/>
      <c r="H248" s="207"/>
      <c r="I248" s="207"/>
      <c r="J248" s="207"/>
      <c r="K248" s="207"/>
      <c r="L248" s="207"/>
      <c r="M248" s="207"/>
      <c r="N248" s="207"/>
      <c r="O248" s="207"/>
      <c r="P248" s="207"/>
      <c r="Q248" s="207"/>
      <c r="R248" s="207"/>
      <c r="S248" s="207"/>
      <c r="T248" s="207"/>
      <c r="U248" s="207"/>
      <c r="V248" s="254"/>
      <c r="W248" s="254"/>
      <c r="X248" s="254"/>
      <c r="Y248" s="206" t="s">
        <v>164</v>
      </c>
      <c r="Z248" s="255">
        <f>Z249+Z251</f>
        <v>3439952</v>
      </c>
      <c r="AA248" s="255">
        <f>AA249+AA251</f>
        <v>1721300</v>
      </c>
      <c r="AB248" s="255">
        <f>AB249+AB251</f>
        <v>1721300</v>
      </c>
      <c r="AC248" s="502" t="s">
        <v>164</v>
      </c>
      <c r="AD248" s="503"/>
    </row>
    <row r="249" spans="1:30" ht="144" customHeight="1" x14ac:dyDescent="0.3">
      <c r="A249" s="402" t="s">
        <v>929</v>
      </c>
      <c r="B249" s="185" t="s">
        <v>15</v>
      </c>
      <c r="C249" s="185" t="s">
        <v>143</v>
      </c>
      <c r="D249" s="185" t="s">
        <v>136</v>
      </c>
      <c r="E249" s="208" t="s">
        <v>690</v>
      </c>
      <c r="F249" s="185"/>
      <c r="G249" s="185"/>
      <c r="H249" s="185"/>
      <c r="I249" s="185"/>
      <c r="J249" s="185"/>
      <c r="K249" s="185"/>
      <c r="L249" s="185"/>
      <c r="M249" s="185"/>
      <c r="N249" s="185"/>
      <c r="O249" s="185"/>
      <c r="P249" s="185"/>
      <c r="Q249" s="185"/>
      <c r="R249" s="185"/>
      <c r="S249" s="185"/>
      <c r="T249" s="185"/>
      <c r="U249" s="208"/>
      <c r="V249" s="250"/>
      <c r="W249" s="250"/>
      <c r="X249" s="250"/>
      <c r="Y249" s="203" t="s">
        <v>229</v>
      </c>
      <c r="Z249" s="280">
        <f>Z250</f>
        <v>3439952</v>
      </c>
      <c r="AA249" s="280">
        <f>AA250</f>
        <v>1721300</v>
      </c>
      <c r="AB249" s="280">
        <f>AB250</f>
        <v>1721300</v>
      </c>
      <c r="AC249" s="350" t="s">
        <v>229</v>
      </c>
      <c r="AD249" s="503"/>
    </row>
    <row r="250" spans="1:30" ht="33.75" customHeight="1" x14ac:dyDescent="0.3">
      <c r="A250" s="523" t="s">
        <v>854</v>
      </c>
      <c r="B250" s="268" t="s">
        <v>15</v>
      </c>
      <c r="C250" s="268" t="s">
        <v>143</v>
      </c>
      <c r="D250" s="268" t="s">
        <v>136</v>
      </c>
      <c r="E250" s="268" t="s">
        <v>690</v>
      </c>
      <c r="F250" s="268"/>
      <c r="G250" s="268"/>
      <c r="H250" s="268"/>
      <c r="I250" s="268"/>
      <c r="J250" s="268"/>
      <c r="K250" s="268"/>
      <c r="L250" s="268"/>
      <c r="M250" s="268"/>
      <c r="N250" s="268"/>
      <c r="O250" s="268"/>
      <c r="P250" s="268"/>
      <c r="Q250" s="268"/>
      <c r="R250" s="268"/>
      <c r="S250" s="268"/>
      <c r="T250" s="268" t="s">
        <v>366</v>
      </c>
      <c r="U250" s="262"/>
      <c r="V250" s="263"/>
      <c r="W250" s="263"/>
      <c r="X250" s="263"/>
      <c r="Y250" s="522" t="s">
        <v>417</v>
      </c>
      <c r="Z250" s="264">
        <f>1721300-20+1721280-2608</f>
        <v>3439952</v>
      </c>
      <c r="AA250" s="253">
        <v>1721300</v>
      </c>
      <c r="AB250" s="253">
        <v>1721300</v>
      </c>
      <c r="AC250" s="515" t="s">
        <v>417</v>
      </c>
      <c r="AD250" s="516"/>
    </row>
    <row r="251" spans="1:30" ht="255" hidden="1" customHeight="1" x14ac:dyDescent="0.3">
      <c r="A251" s="402" t="s">
        <v>689</v>
      </c>
      <c r="B251" s="208" t="s">
        <v>15</v>
      </c>
      <c r="C251" s="208" t="s">
        <v>143</v>
      </c>
      <c r="D251" s="208" t="s">
        <v>136</v>
      </c>
      <c r="E251" s="208" t="s">
        <v>690</v>
      </c>
      <c r="F251" s="208"/>
      <c r="G251" s="208"/>
      <c r="H251" s="208"/>
      <c r="I251" s="208"/>
      <c r="J251" s="208"/>
      <c r="K251" s="208"/>
      <c r="L251" s="208"/>
      <c r="M251" s="208"/>
      <c r="N251" s="208"/>
      <c r="O251" s="208"/>
      <c r="P251" s="208"/>
      <c r="Q251" s="208"/>
      <c r="R251" s="208"/>
      <c r="S251" s="208"/>
      <c r="T251" s="208"/>
      <c r="U251" s="208"/>
      <c r="V251" s="250"/>
      <c r="W251" s="250"/>
      <c r="X251" s="250"/>
      <c r="Y251" s="203" t="s">
        <v>230</v>
      </c>
      <c r="Z251" s="280">
        <f>Z252</f>
        <v>0</v>
      </c>
      <c r="AA251" s="280">
        <f>AA252</f>
        <v>0</v>
      </c>
      <c r="AB251" s="280">
        <f>AB252</f>
        <v>0</v>
      </c>
      <c r="AC251" s="350" t="s">
        <v>230</v>
      </c>
      <c r="AD251" s="503"/>
    </row>
    <row r="252" spans="1:30" ht="167.25" hidden="1" customHeight="1" x14ac:dyDescent="0.3">
      <c r="A252" s="403" t="s">
        <v>418</v>
      </c>
      <c r="B252" s="185" t="s">
        <v>15</v>
      </c>
      <c r="C252" s="185" t="s">
        <v>143</v>
      </c>
      <c r="D252" s="185" t="s">
        <v>136</v>
      </c>
      <c r="E252" s="208" t="s">
        <v>690</v>
      </c>
      <c r="F252" s="185"/>
      <c r="G252" s="185"/>
      <c r="H252" s="185"/>
      <c r="I252" s="185"/>
      <c r="J252" s="185"/>
      <c r="K252" s="185"/>
      <c r="L252" s="185"/>
      <c r="M252" s="185"/>
      <c r="N252" s="185"/>
      <c r="O252" s="185"/>
      <c r="P252" s="185"/>
      <c r="Q252" s="185"/>
      <c r="R252" s="185"/>
      <c r="S252" s="185"/>
      <c r="T252" s="185" t="s">
        <v>366</v>
      </c>
      <c r="U252" s="185"/>
      <c r="V252" s="186"/>
      <c r="W252" s="186"/>
      <c r="X252" s="186"/>
      <c r="Y252" s="204" t="s">
        <v>418</v>
      </c>
      <c r="Z252" s="253">
        <v>0</v>
      </c>
      <c r="AA252" s="253">
        <v>0</v>
      </c>
      <c r="AB252" s="253">
        <v>0</v>
      </c>
      <c r="AC252" s="190" t="s">
        <v>418</v>
      </c>
      <c r="AD252" s="503"/>
    </row>
    <row r="253" spans="1:30" ht="18.600000000000001" customHeight="1" x14ac:dyDescent="0.3">
      <c r="A253" s="415" t="s">
        <v>419</v>
      </c>
      <c r="B253" s="207" t="s">
        <v>15</v>
      </c>
      <c r="C253" s="207" t="s">
        <v>128</v>
      </c>
      <c r="D253" s="207" t="s">
        <v>133</v>
      </c>
      <c r="E253" s="207"/>
      <c r="F253" s="207"/>
      <c r="G253" s="207"/>
      <c r="H253" s="207"/>
      <c r="I253" s="207"/>
      <c r="J253" s="207"/>
      <c r="K253" s="207"/>
      <c r="L253" s="207"/>
      <c r="M253" s="207"/>
      <c r="N253" s="207"/>
      <c r="O253" s="207"/>
      <c r="P253" s="207"/>
      <c r="Q253" s="207"/>
      <c r="R253" s="207"/>
      <c r="S253" s="207"/>
      <c r="T253" s="207"/>
      <c r="U253" s="207"/>
      <c r="V253" s="254"/>
      <c r="W253" s="254"/>
      <c r="X253" s="254"/>
      <c r="Y253" s="206" t="s">
        <v>419</v>
      </c>
      <c r="Z253" s="255">
        <f>Z254+Z259</f>
        <v>1656998.0000000002</v>
      </c>
      <c r="AA253" s="255">
        <f>AA254+AA259</f>
        <v>2828700</v>
      </c>
      <c r="AB253" s="255">
        <f>AB254+AB259</f>
        <v>750000</v>
      </c>
      <c r="AC253" s="502" t="s">
        <v>419</v>
      </c>
      <c r="AD253" s="503"/>
    </row>
    <row r="254" spans="1:30" ht="18.600000000000001" customHeight="1" x14ac:dyDescent="0.3">
      <c r="A254" s="415" t="s">
        <v>119</v>
      </c>
      <c r="B254" s="207" t="s">
        <v>15</v>
      </c>
      <c r="C254" s="207" t="s">
        <v>128</v>
      </c>
      <c r="D254" s="207" t="s">
        <v>122</v>
      </c>
      <c r="E254" s="207"/>
      <c r="F254" s="207"/>
      <c r="G254" s="207"/>
      <c r="H254" s="207"/>
      <c r="I254" s="207"/>
      <c r="J254" s="207"/>
      <c r="K254" s="207"/>
      <c r="L254" s="207"/>
      <c r="M254" s="207"/>
      <c r="N254" s="207"/>
      <c r="O254" s="207"/>
      <c r="P254" s="207"/>
      <c r="Q254" s="207"/>
      <c r="R254" s="207"/>
      <c r="S254" s="207"/>
      <c r="T254" s="207"/>
      <c r="U254" s="207"/>
      <c r="V254" s="254"/>
      <c r="W254" s="254"/>
      <c r="X254" s="254"/>
      <c r="Y254" s="206" t="s">
        <v>119</v>
      </c>
      <c r="Z254" s="255">
        <f>Z255+Z257</f>
        <v>650000</v>
      </c>
      <c r="AA254" s="255">
        <f>AA255+AA257</f>
        <v>1428700</v>
      </c>
      <c r="AB254" s="255">
        <f>AB255+AB257</f>
        <v>550000</v>
      </c>
      <c r="AC254" s="502" t="s">
        <v>119</v>
      </c>
      <c r="AD254" s="503"/>
    </row>
    <row r="255" spans="1:30" ht="98.25" customHeight="1" x14ac:dyDescent="0.3">
      <c r="A255" s="402" t="s">
        <v>691</v>
      </c>
      <c r="B255" s="208" t="s">
        <v>15</v>
      </c>
      <c r="C255" s="208" t="s">
        <v>128</v>
      </c>
      <c r="D255" s="208" t="s">
        <v>122</v>
      </c>
      <c r="E255" s="208" t="s">
        <v>692</v>
      </c>
      <c r="F255" s="208"/>
      <c r="G255" s="208"/>
      <c r="H255" s="208"/>
      <c r="I255" s="208"/>
      <c r="J255" s="208"/>
      <c r="K255" s="208"/>
      <c r="L255" s="208"/>
      <c r="M255" s="208"/>
      <c r="N255" s="208"/>
      <c r="O255" s="208"/>
      <c r="P255" s="208"/>
      <c r="Q255" s="208"/>
      <c r="R255" s="208"/>
      <c r="S255" s="208"/>
      <c r="T255" s="208"/>
      <c r="U255" s="208"/>
      <c r="V255" s="250"/>
      <c r="W255" s="250"/>
      <c r="X255" s="250"/>
      <c r="Y255" s="203" t="s">
        <v>420</v>
      </c>
      <c r="Z255" s="280">
        <f>Z256</f>
        <v>600000</v>
      </c>
      <c r="AA255" s="280">
        <f>AA256</f>
        <v>1378700</v>
      </c>
      <c r="AB255" s="280">
        <f>AB256</f>
        <v>500000</v>
      </c>
      <c r="AC255" s="350" t="s">
        <v>420</v>
      </c>
      <c r="AD255" s="503"/>
    </row>
    <row r="256" spans="1:30" ht="48" customHeight="1" x14ac:dyDescent="0.3">
      <c r="A256" s="400" t="s">
        <v>421</v>
      </c>
      <c r="B256" s="185" t="s">
        <v>15</v>
      </c>
      <c r="C256" s="185" t="s">
        <v>128</v>
      </c>
      <c r="D256" s="185" t="s">
        <v>122</v>
      </c>
      <c r="E256" s="208" t="s">
        <v>692</v>
      </c>
      <c r="F256" s="185"/>
      <c r="G256" s="185"/>
      <c r="H256" s="185"/>
      <c r="I256" s="185"/>
      <c r="J256" s="185"/>
      <c r="K256" s="185"/>
      <c r="L256" s="185"/>
      <c r="M256" s="185"/>
      <c r="N256" s="185"/>
      <c r="O256" s="185"/>
      <c r="P256" s="185"/>
      <c r="Q256" s="185"/>
      <c r="R256" s="185"/>
      <c r="S256" s="185"/>
      <c r="T256" s="185" t="s">
        <v>290</v>
      </c>
      <c r="U256" s="185"/>
      <c r="V256" s="186"/>
      <c r="W256" s="186"/>
      <c r="X256" s="186"/>
      <c r="Y256" s="184" t="s">
        <v>421</v>
      </c>
      <c r="Z256" s="253">
        <f>998200+380500-778700</f>
        <v>600000</v>
      </c>
      <c r="AA256" s="253">
        <f>998200+380500</f>
        <v>1378700</v>
      </c>
      <c r="AB256" s="253">
        <v>500000</v>
      </c>
      <c r="AC256" s="504" t="s">
        <v>421</v>
      </c>
      <c r="AD256" s="503"/>
    </row>
    <row r="257" spans="1:30" ht="96.75" customHeight="1" x14ac:dyDescent="0.3">
      <c r="A257" s="402" t="s">
        <v>693</v>
      </c>
      <c r="B257" s="208" t="s">
        <v>15</v>
      </c>
      <c r="C257" s="208" t="s">
        <v>128</v>
      </c>
      <c r="D257" s="208" t="s">
        <v>122</v>
      </c>
      <c r="E257" s="208" t="s">
        <v>694</v>
      </c>
      <c r="F257" s="208"/>
      <c r="G257" s="208"/>
      <c r="H257" s="208"/>
      <c r="I257" s="208"/>
      <c r="J257" s="208"/>
      <c r="K257" s="208"/>
      <c r="L257" s="208"/>
      <c r="M257" s="208"/>
      <c r="N257" s="208"/>
      <c r="O257" s="208"/>
      <c r="P257" s="208"/>
      <c r="Q257" s="208"/>
      <c r="R257" s="208"/>
      <c r="S257" s="208"/>
      <c r="T257" s="208"/>
      <c r="U257" s="208"/>
      <c r="V257" s="250"/>
      <c r="W257" s="250"/>
      <c r="X257" s="250"/>
      <c r="Y257" s="203" t="s">
        <v>422</v>
      </c>
      <c r="Z257" s="280">
        <f>Z258</f>
        <v>50000</v>
      </c>
      <c r="AA257" s="280">
        <f>AA258</f>
        <v>50000</v>
      </c>
      <c r="AB257" s="280">
        <f>AB258</f>
        <v>50000</v>
      </c>
      <c r="AC257" s="350" t="s">
        <v>422</v>
      </c>
      <c r="AD257" s="503"/>
    </row>
    <row r="258" spans="1:30" ht="49.5" customHeight="1" x14ac:dyDescent="0.3">
      <c r="A258" s="400" t="s">
        <v>423</v>
      </c>
      <c r="B258" s="185" t="s">
        <v>15</v>
      </c>
      <c r="C258" s="185" t="s">
        <v>128</v>
      </c>
      <c r="D258" s="185" t="s">
        <v>122</v>
      </c>
      <c r="E258" s="208" t="s">
        <v>694</v>
      </c>
      <c r="F258" s="185"/>
      <c r="G258" s="185"/>
      <c r="H258" s="185"/>
      <c r="I258" s="185"/>
      <c r="J258" s="185"/>
      <c r="K258" s="185"/>
      <c r="L258" s="185"/>
      <c r="M258" s="185"/>
      <c r="N258" s="185"/>
      <c r="O258" s="185"/>
      <c r="P258" s="185"/>
      <c r="Q258" s="185"/>
      <c r="R258" s="185"/>
      <c r="S258" s="185"/>
      <c r="T258" s="185" t="s">
        <v>290</v>
      </c>
      <c r="U258" s="185"/>
      <c r="V258" s="186"/>
      <c r="W258" s="186"/>
      <c r="X258" s="186"/>
      <c r="Y258" s="184" t="s">
        <v>423</v>
      </c>
      <c r="Z258" s="253">
        <v>50000</v>
      </c>
      <c r="AA258" s="253">
        <v>50000</v>
      </c>
      <c r="AB258" s="253">
        <v>50000</v>
      </c>
      <c r="AC258" s="504" t="s">
        <v>423</v>
      </c>
      <c r="AD258" s="503"/>
    </row>
    <row r="259" spans="1:30" ht="18.600000000000001" customHeight="1" x14ac:dyDescent="0.3">
      <c r="A259" s="415" t="s">
        <v>166</v>
      </c>
      <c r="B259" s="207" t="s">
        <v>15</v>
      </c>
      <c r="C259" s="207" t="s">
        <v>128</v>
      </c>
      <c r="D259" s="207" t="s">
        <v>132</v>
      </c>
      <c r="E259" s="207"/>
      <c r="F259" s="207"/>
      <c r="G259" s="207"/>
      <c r="H259" s="207"/>
      <c r="I259" s="207"/>
      <c r="J259" s="207"/>
      <c r="K259" s="207"/>
      <c r="L259" s="207"/>
      <c r="M259" s="207"/>
      <c r="N259" s="207"/>
      <c r="O259" s="207"/>
      <c r="P259" s="207"/>
      <c r="Q259" s="207"/>
      <c r="R259" s="207"/>
      <c r="S259" s="207"/>
      <c r="T259" s="207"/>
      <c r="U259" s="207"/>
      <c r="V259" s="254"/>
      <c r="W259" s="254"/>
      <c r="X259" s="254"/>
      <c r="Y259" s="206" t="s">
        <v>166</v>
      </c>
      <c r="Z259" s="255">
        <f>Z260+Z262+Z264</f>
        <v>1006998.0000000002</v>
      </c>
      <c r="AA259" s="255">
        <f>AA260+AA262+AA264</f>
        <v>1400000</v>
      </c>
      <c r="AB259" s="255">
        <f>AB260+AB262+AB264</f>
        <v>200000</v>
      </c>
      <c r="AC259" s="502" t="s">
        <v>166</v>
      </c>
      <c r="AD259" s="503"/>
    </row>
    <row r="260" spans="1:30" ht="83.25" customHeight="1" x14ac:dyDescent="0.3">
      <c r="A260" s="402" t="s">
        <v>695</v>
      </c>
      <c r="B260" s="208" t="s">
        <v>15</v>
      </c>
      <c r="C260" s="208" t="s">
        <v>128</v>
      </c>
      <c r="D260" s="208" t="s">
        <v>132</v>
      </c>
      <c r="E260" s="208" t="s">
        <v>696</v>
      </c>
      <c r="F260" s="208"/>
      <c r="G260" s="208"/>
      <c r="H260" s="208"/>
      <c r="I260" s="208"/>
      <c r="J260" s="208"/>
      <c r="K260" s="208"/>
      <c r="L260" s="208"/>
      <c r="M260" s="208"/>
      <c r="N260" s="208"/>
      <c r="O260" s="208"/>
      <c r="P260" s="208"/>
      <c r="Q260" s="208"/>
      <c r="R260" s="208"/>
      <c r="S260" s="208"/>
      <c r="T260" s="208"/>
      <c r="U260" s="208"/>
      <c r="V260" s="250"/>
      <c r="W260" s="250"/>
      <c r="X260" s="250"/>
      <c r="Y260" s="203" t="s">
        <v>424</v>
      </c>
      <c r="Z260" s="280">
        <f>Z261</f>
        <v>476999</v>
      </c>
      <c r="AA260" s="280">
        <f>AA261</f>
        <v>200000</v>
      </c>
      <c r="AB260" s="280">
        <f>AB261</f>
        <v>100000</v>
      </c>
      <c r="AC260" s="350" t="s">
        <v>424</v>
      </c>
      <c r="AD260" s="503"/>
    </row>
    <row r="261" spans="1:30" ht="33.75" customHeight="1" x14ac:dyDescent="0.3">
      <c r="A261" s="400" t="s">
        <v>425</v>
      </c>
      <c r="B261" s="185" t="s">
        <v>15</v>
      </c>
      <c r="C261" s="185" t="s">
        <v>128</v>
      </c>
      <c r="D261" s="185" t="s">
        <v>132</v>
      </c>
      <c r="E261" s="208" t="s">
        <v>696</v>
      </c>
      <c r="F261" s="185"/>
      <c r="G261" s="185"/>
      <c r="H261" s="185"/>
      <c r="I261" s="185"/>
      <c r="J261" s="185"/>
      <c r="K261" s="185"/>
      <c r="L261" s="185"/>
      <c r="M261" s="185"/>
      <c r="N261" s="185"/>
      <c r="O261" s="185"/>
      <c r="P261" s="185"/>
      <c r="Q261" s="185"/>
      <c r="R261" s="185"/>
      <c r="S261" s="185"/>
      <c r="T261" s="185" t="s">
        <v>290</v>
      </c>
      <c r="U261" s="185"/>
      <c r="V261" s="186"/>
      <c r="W261" s="186"/>
      <c r="X261" s="186"/>
      <c r="Y261" s="184" t="s">
        <v>425</v>
      </c>
      <c r="Z261" s="253">
        <v>476999</v>
      </c>
      <c r="AA261" s="253">
        <v>200000</v>
      </c>
      <c r="AB261" s="253">
        <v>100000</v>
      </c>
      <c r="AC261" s="504" t="s">
        <v>425</v>
      </c>
      <c r="AD261" s="503"/>
    </row>
    <row r="262" spans="1:30" ht="81" customHeight="1" x14ac:dyDescent="0.3">
      <c r="A262" s="402" t="s">
        <v>697</v>
      </c>
      <c r="B262" s="208" t="s">
        <v>15</v>
      </c>
      <c r="C262" s="208" t="s">
        <v>128</v>
      </c>
      <c r="D262" s="208" t="s">
        <v>132</v>
      </c>
      <c r="E262" s="208" t="s">
        <v>698</v>
      </c>
      <c r="F262" s="208"/>
      <c r="G262" s="208"/>
      <c r="H262" s="208"/>
      <c r="I262" s="208"/>
      <c r="J262" s="208"/>
      <c r="K262" s="208"/>
      <c r="L262" s="208"/>
      <c r="M262" s="208"/>
      <c r="N262" s="208"/>
      <c r="O262" s="208"/>
      <c r="P262" s="208"/>
      <c r="Q262" s="208"/>
      <c r="R262" s="208"/>
      <c r="S262" s="208"/>
      <c r="T262" s="208"/>
      <c r="U262" s="208"/>
      <c r="V262" s="250"/>
      <c r="W262" s="250"/>
      <c r="X262" s="250"/>
      <c r="Y262" s="203" t="s">
        <v>426</v>
      </c>
      <c r="Z262" s="280">
        <f>Z263</f>
        <v>529999</v>
      </c>
      <c r="AA262" s="280">
        <f>AA263</f>
        <v>200000</v>
      </c>
      <c r="AB262" s="280">
        <f>AB263</f>
        <v>100000</v>
      </c>
      <c r="AC262" s="350" t="s">
        <v>426</v>
      </c>
      <c r="AD262" s="503"/>
    </row>
    <row r="263" spans="1:30" ht="33" customHeight="1" x14ac:dyDescent="0.3">
      <c r="A263" s="400" t="s">
        <v>427</v>
      </c>
      <c r="B263" s="185" t="s">
        <v>15</v>
      </c>
      <c r="C263" s="185" t="s">
        <v>128</v>
      </c>
      <c r="D263" s="185" t="s">
        <v>132</v>
      </c>
      <c r="E263" s="208" t="s">
        <v>698</v>
      </c>
      <c r="F263" s="185"/>
      <c r="G263" s="185"/>
      <c r="H263" s="185"/>
      <c r="I263" s="185"/>
      <c r="J263" s="185"/>
      <c r="K263" s="185"/>
      <c r="L263" s="185"/>
      <c r="M263" s="185"/>
      <c r="N263" s="185"/>
      <c r="O263" s="185"/>
      <c r="P263" s="185"/>
      <c r="Q263" s="185"/>
      <c r="R263" s="185"/>
      <c r="S263" s="185"/>
      <c r="T263" s="185" t="s">
        <v>290</v>
      </c>
      <c r="U263" s="185"/>
      <c r="V263" s="186"/>
      <c r="W263" s="186"/>
      <c r="X263" s="186"/>
      <c r="Y263" s="184" t="s">
        <v>427</v>
      </c>
      <c r="Z263" s="253">
        <v>529999</v>
      </c>
      <c r="AA263" s="253">
        <v>200000</v>
      </c>
      <c r="AB263" s="253">
        <v>100000</v>
      </c>
      <c r="AC263" s="504" t="s">
        <v>427</v>
      </c>
      <c r="AD263" s="503"/>
    </row>
    <row r="264" spans="1:30" ht="96" customHeight="1" x14ac:dyDescent="0.3">
      <c r="A264" s="402" t="s">
        <v>699</v>
      </c>
      <c r="B264" s="185" t="s">
        <v>15</v>
      </c>
      <c r="C264" s="185" t="s">
        <v>128</v>
      </c>
      <c r="D264" s="185" t="s">
        <v>132</v>
      </c>
      <c r="E264" s="208" t="s">
        <v>700</v>
      </c>
      <c r="F264" s="185"/>
      <c r="G264" s="185"/>
      <c r="H264" s="185"/>
      <c r="I264" s="185"/>
      <c r="J264" s="185"/>
      <c r="K264" s="185"/>
      <c r="L264" s="185"/>
      <c r="M264" s="185"/>
      <c r="N264" s="185"/>
      <c r="O264" s="185"/>
      <c r="P264" s="185"/>
      <c r="Q264" s="185"/>
      <c r="R264" s="185"/>
      <c r="S264" s="185"/>
      <c r="T264" s="185"/>
      <c r="U264" s="208"/>
      <c r="V264" s="250"/>
      <c r="W264" s="250"/>
      <c r="X264" s="250"/>
      <c r="Y264" s="203" t="s">
        <v>428</v>
      </c>
      <c r="Z264" s="280">
        <f>Z265</f>
        <v>2.7648638933897018E-10</v>
      </c>
      <c r="AA264" s="280">
        <f>AA265</f>
        <v>1000000</v>
      </c>
      <c r="AB264" s="280">
        <f>AB265</f>
        <v>0</v>
      </c>
      <c r="AC264" s="350" t="s">
        <v>428</v>
      </c>
      <c r="AD264" s="503"/>
    </row>
    <row r="265" spans="1:30" ht="45.75" customHeight="1" x14ac:dyDescent="0.3">
      <c r="A265" s="438" t="s">
        <v>874</v>
      </c>
      <c r="B265" s="185" t="s">
        <v>15</v>
      </c>
      <c r="C265" s="185" t="s">
        <v>128</v>
      </c>
      <c r="D265" s="185" t="s">
        <v>132</v>
      </c>
      <c r="E265" s="208" t="s">
        <v>700</v>
      </c>
      <c r="F265" s="185"/>
      <c r="G265" s="185"/>
      <c r="H265" s="185"/>
      <c r="I265" s="185"/>
      <c r="J265" s="185"/>
      <c r="K265" s="185"/>
      <c r="L265" s="185"/>
      <c r="M265" s="185"/>
      <c r="N265" s="185"/>
      <c r="O265" s="185"/>
      <c r="P265" s="185"/>
      <c r="Q265" s="185"/>
      <c r="R265" s="185"/>
      <c r="S265" s="185"/>
      <c r="T265" s="185" t="s">
        <v>366</v>
      </c>
      <c r="U265" s="185"/>
      <c r="V265" s="186"/>
      <c r="W265" s="186"/>
      <c r="X265" s="186"/>
      <c r="Y265" s="184" t="s">
        <v>429</v>
      </c>
      <c r="Z265" s="253">
        <f>4003610.7-2000000+2000000-27000-2938162-33653.61-274580.79-200000-280000-120000-130214.3</f>
        <v>2.7648638933897018E-10</v>
      </c>
      <c r="AA265" s="253">
        <v>1000000</v>
      </c>
      <c r="AB265" s="253">
        <v>0</v>
      </c>
      <c r="AC265" s="504" t="s">
        <v>429</v>
      </c>
      <c r="AD265" s="503"/>
    </row>
    <row r="266" spans="1:30" ht="37.5" customHeight="1" x14ac:dyDescent="0.3">
      <c r="A266" s="415" t="s">
        <v>430</v>
      </c>
      <c r="B266" s="207" t="s">
        <v>16</v>
      </c>
      <c r="C266" s="207"/>
      <c r="D266" s="207"/>
      <c r="E266" s="207"/>
      <c r="F266" s="207"/>
      <c r="G266" s="207"/>
      <c r="H266" s="207"/>
      <c r="I266" s="207"/>
      <c r="J266" s="207"/>
      <c r="K266" s="207"/>
      <c r="L266" s="207"/>
      <c r="M266" s="207"/>
      <c r="N266" s="207"/>
      <c r="O266" s="207"/>
      <c r="P266" s="207"/>
      <c r="Q266" s="207"/>
      <c r="R266" s="207"/>
      <c r="S266" s="207"/>
      <c r="T266" s="207"/>
      <c r="U266" s="207"/>
      <c r="V266" s="254"/>
      <c r="W266" s="254"/>
      <c r="X266" s="254"/>
      <c r="Y266" s="206" t="s">
        <v>430</v>
      </c>
      <c r="Z266" s="255">
        <f>Z270+Z352+Z279+Z300+Z346+Z287</f>
        <v>49966592.761</v>
      </c>
      <c r="AA266" s="255">
        <f>AA267+AA270+AA352</f>
        <v>28991270.77</v>
      </c>
      <c r="AB266" s="255">
        <f>AB267+AB270+AB352</f>
        <v>28991270.77</v>
      </c>
      <c r="AC266" s="502" t="s">
        <v>430</v>
      </c>
      <c r="AD266" s="503"/>
    </row>
    <row r="267" spans="1:30" ht="18.75" customHeight="1" x14ac:dyDescent="0.3">
      <c r="A267" s="415" t="s">
        <v>517</v>
      </c>
      <c r="B267" s="207" t="s">
        <v>16</v>
      </c>
      <c r="C267" s="207" t="s">
        <v>133</v>
      </c>
      <c r="D267" s="207" t="s">
        <v>133</v>
      </c>
      <c r="E267" s="207"/>
      <c r="F267" s="207"/>
      <c r="G267" s="207"/>
      <c r="H267" s="207"/>
      <c r="I267" s="207"/>
      <c r="J267" s="207"/>
      <c r="K267" s="207"/>
      <c r="L267" s="207"/>
      <c r="M267" s="207"/>
      <c r="N267" s="207"/>
      <c r="O267" s="207"/>
      <c r="P267" s="207"/>
      <c r="Q267" s="207"/>
      <c r="R267" s="207"/>
      <c r="S267" s="207"/>
      <c r="T267" s="207"/>
      <c r="U267" s="207"/>
      <c r="V267" s="254"/>
      <c r="W267" s="254"/>
      <c r="X267" s="254"/>
      <c r="Y267" s="206"/>
      <c r="Z267" s="255">
        <v>0</v>
      </c>
      <c r="AA267" s="255">
        <f>AA268</f>
        <v>0</v>
      </c>
      <c r="AB267" s="255">
        <f>AB268</f>
        <v>0</v>
      </c>
      <c r="AC267" s="502"/>
      <c r="AD267" s="503"/>
    </row>
    <row r="268" spans="1:30" ht="16.5" customHeight="1" x14ac:dyDescent="0.3">
      <c r="A268" s="415" t="s">
        <v>518</v>
      </c>
      <c r="B268" s="207" t="s">
        <v>16</v>
      </c>
      <c r="C268" s="207" t="s">
        <v>133</v>
      </c>
      <c r="D268" s="207" t="s">
        <v>133</v>
      </c>
      <c r="E268" s="207" t="s">
        <v>842</v>
      </c>
      <c r="F268" s="207"/>
      <c r="G268" s="207"/>
      <c r="H268" s="207"/>
      <c r="I268" s="207"/>
      <c r="J268" s="207"/>
      <c r="K268" s="207"/>
      <c r="L268" s="207"/>
      <c r="M268" s="207"/>
      <c r="N268" s="207"/>
      <c r="O268" s="207"/>
      <c r="P268" s="207"/>
      <c r="Q268" s="207"/>
      <c r="R268" s="207"/>
      <c r="S268" s="207"/>
      <c r="T268" s="207"/>
      <c r="U268" s="207"/>
      <c r="V268" s="254"/>
      <c r="W268" s="254"/>
      <c r="X268" s="254"/>
      <c r="Y268" s="206"/>
      <c r="Z268" s="255">
        <v>0</v>
      </c>
      <c r="AA268" s="255">
        <f>AA269</f>
        <v>0</v>
      </c>
      <c r="AB268" s="255">
        <f>AB269</f>
        <v>0</v>
      </c>
      <c r="AC268" s="502"/>
      <c r="AD268" s="503"/>
    </row>
    <row r="269" spans="1:30" ht="18.75" customHeight="1" x14ac:dyDescent="0.3">
      <c r="A269" s="415" t="s">
        <v>517</v>
      </c>
      <c r="B269" s="207" t="s">
        <v>16</v>
      </c>
      <c r="C269" s="207" t="s">
        <v>133</v>
      </c>
      <c r="D269" s="207" t="s">
        <v>133</v>
      </c>
      <c r="E269" s="207" t="s">
        <v>842</v>
      </c>
      <c r="F269" s="207"/>
      <c r="G269" s="207"/>
      <c r="H269" s="207"/>
      <c r="I269" s="207"/>
      <c r="J269" s="207"/>
      <c r="K269" s="207"/>
      <c r="L269" s="207"/>
      <c r="M269" s="207"/>
      <c r="N269" s="207"/>
      <c r="O269" s="207"/>
      <c r="P269" s="207"/>
      <c r="Q269" s="207"/>
      <c r="R269" s="207"/>
      <c r="S269" s="207"/>
      <c r="T269" s="207" t="s">
        <v>519</v>
      </c>
      <c r="U269" s="207"/>
      <c r="V269" s="254"/>
      <c r="W269" s="254"/>
      <c r="X269" s="254"/>
      <c r="Y269" s="206"/>
      <c r="Z269" s="255">
        <v>0</v>
      </c>
      <c r="AA269" s="255">
        <v>0</v>
      </c>
      <c r="AB269" s="255">
        <v>0</v>
      </c>
      <c r="AC269" s="502"/>
      <c r="AD269" s="503"/>
    </row>
    <row r="270" spans="1:30" ht="22.5" customHeight="1" x14ac:dyDescent="0.3">
      <c r="A270" s="415" t="s">
        <v>285</v>
      </c>
      <c r="B270" s="207" t="s">
        <v>16</v>
      </c>
      <c r="C270" s="207" t="s">
        <v>122</v>
      </c>
      <c r="D270" s="207" t="s">
        <v>133</v>
      </c>
      <c r="E270" s="207"/>
      <c r="F270" s="207"/>
      <c r="G270" s="207"/>
      <c r="H270" s="207"/>
      <c r="I270" s="207"/>
      <c r="J270" s="207"/>
      <c r="K270" s="207"/>
      <c r="L270" s="207"/>
      <c r="M270" s="207"/>
      <c r="N270" s="207"/>
      <c r="O270" s="207"/>
      <c r="P270" s="207"/>
      <c r="Q270" s="207"/>
      <c r="R270" s="207"/>
      <c r="S270" s="207"/>
      <c r="T270" s="207"/>
      <c r="U270" s="207"/>
      <c r="V270" s="254"/>
      <c r="W270" s="254"/>
      <c r="X270" s="254"/>
      <c r="Y270" s="206" t="s">
        <v>285</v>
      </c>
      <c r="Z270" s="255">
        <f>Z271</f>
        <v>11601823.77</v>
      </c>
      <c r="AA270" s="255">
        <f>AA271</f>
        <v>10991270.77</v>
      </c>
      <c r="AB270" s="255">
        <f>AB271</f>
        <v>10991270.77</v>
      </c>
      <c r="AC270" s="502" t="s">
        <v>285</v>
      </c>
      <c r="AD270" s="503"/>
    </row>
    <row r="271" spans="1:30" ht="35.25" customHeight="1" x14ac:dyDescent="0.3">
      <c r="A271" s="415" t="s">
        <v>251</v>
      </c>
      <c r="B271" s="207" t="s">
        <v>16</v>
      </c>
      <c r="C271" s="207" t="s">
        <v>122</v>
      </c>
      <c r="D271" s="207" t="s">
        <v>125</v>
      </c>
      <c r="E271" s="207"/>
      <c r="F271" s="207"/>
      <c r="G271" s="207"/>
      <c r="H271" s="207"/>
      <c r="I271" s="207"/>
      <c r="J271" s="207"/>
      <c r="K271" s="207"/>
      <c r="L271" s="207"/>
      <c r="M271" s="207"/>
      <c r="N271" s="207"/>
      <c r="O271" s="207"/>
      <c r="P271" s="207"/>
      <c r="Q271" s="207"/>
      <c r="R271" s="207"/>
      <c r="S271" s="207"/>
      <c r="T271" s="207"/>
      <c r="U271" s="207"/>
      <c r="V271" s="254"/>
      <c r="W271" s="254"/>
      <c r="X271" s="254"/>
      <c r="Y271" s="206" t="s">
        <v>251</v>
      </c>
      <c r="Z271" s="255">
        <f>Z272+Z276</f>
        <v>11601823.77</v>
      </c>
      <c r="AA271" s="255">
        <f>AA272+AA276</f>
        <v>10991270.77</v>
      </c>
      <c r="AB271" s="255">
        <f>AB272+AB276</f>
        <v>10991270.77</v>
      </c>
      <c r="AC271" s="502" t="s">
        <v>251</v>
      </c>
      <c r="AD271" s="503"/>
    </row>
    <row r="272" spans="1:30" ht="101.25" customHeight="1" x14ac:dyDescent="0.3">
      <c r="A272" s="402" t="s">
        <v>701</v>
      </c>
      <c r="B272" s="208" t="s">
        <v>16</v>
      </c>
      <c r="C272" s="208" t="s">
        <v>122</v>
      </c>
      <c r="D272" s="208" t="s">
        <v>125</v>
      </c>
      <c r="E272" s="208" t="s">
        <v>702</v>
      </c>
      <c r="F272" s="208"/>
      <c r="G272" s="208"/>
      <c r="H272" s="208"/>
      <c r="I272" s="208"/>
      <c r="J272" s="208"/>
      <c r="K272" s="208"/>
      <c r="L272" s="208"/>
      <c r="M272" s="208"/>
      <c r="N272" s="208"/>
      <c r="O272" s="208"/>
      <c r="P272" s="208"/>
      <c r="Q272" s="208"/>
      <c r="R272" s="208"/>
      <c r="S272" s="208"/>
      <c r="T272" s="208"/>
      <c r="U272" s="208"/>
      <c r="V272" s="250"/>
      <c r="W272" s="250"/>
      <c r="X272" s="250"/>
      <c r="Y272" s="203" t="s">
        <v>431</v>
      </c>
      <c r="Z272" s="280">
        <f>Z273+Z274+Z275</f>
        <v>11016270.77</v>
      </c>
      <c r="AA272" s="280">
        <f>AA273+AA274+AA275</f>
        <v>10441270.77</v>
      </c>
      <c r="AB272" s="280">
        <f>AB273+AB274+AB275</f>
        <v>10441270.77</v>
      </c>
      <c r="AC272" s="350" t="s">
        <v>431</v>
      </c>
      <c r="AD272" s="503"/>
    </row>
    <row r="273" spans="1:30" ht="84.75" customHeight="1" x14ac:dyDescent="0.3">
      <c r="A273" s="400" t="s">
        <v>432</v>
      </c>
      <c r="B273" s="185" t="s">
        <v>16</v>
      </c>
      <c r="C273" s="185" t="s">
        <v>122</v>
      </c>
      <c r="D273" s="185" t="s">
        <v>125</v>
      </c>
      <c r="E273" s="208" t="s">
        <v>702</v>
      </c>
      <c r="F273" s="185"/>
      <c r="G273" s="185"/>
      <c r="H273" s="185"/>
      <c r="I273" s="185"/>
      <c r="J273" s="185"/>
      <c r="K273" s="185"/>
      <c r="L273" s="185"/>
      <c r="M273" s="185"/>
      <c r="N273" s="185"/>
      <c r="O273" s="185"/>
      <c r="P273" s="185"/>
      <c r="Q273" s="185"/>
      <c r="R273" s="185"/>
      <c r="S273" s="185"/>
      <c r="T273" s="185" t="s">
        <v>38</v>
      </c>
      <c r="U273" s="185"/>
      <c r="V273" s="186"/>
      <c r="W273" s="186"/>
      <c r="X273" s="186"/>
      <c r="Y273" s="184" t="s">
        <v>432</v>
      </c>
      <c r="Z273" s="253">
        <f>7520736.38+23900+2253142.39+575000</f>
        <v>10372778.77</v>
      </c>
      <c r="AA273" s="253">
        <f>7520736.38+23900+2253142.39</f>
        <v>9797778.7699999996</v>
      </c>
      <c r="AB273" s="253">
        <f>7520736.38+23900+2253142.39</f>
        <v>9797778.7699999996</v>
      </c>
      <c r="AC273" s="504" t="s">
        <v>432</v>
      </c>
      <c r="AD273" s="503"/>
    </row>
    <row r="274" spans="1:30" ht="51.75" customHeight="1" x14ac:dyDescent="0.3">
      <c r="A274" s="400" t="s">
        <v>433</v>
      </c>
      <c r="B274" s="185" t="s">
        <v>16</v>
      </c>
      <c r="C274" s="185" t="s">
        <v>122</v>
      </c>
      <c r="D274" s="185" t="s">
        <v>125</v>
      </c>
      <c r="E274" s="208" t="s">
        <v>702</v>
      </c>
      <c r="F274" s="185"/>
      <c r="G274" s="185"/>
      <c r="H274" s="185"/>
      <c r="I274" s="185"/>
      <c r="J274" s="185"/>
      <c r="K274" s="185"/>
      <c r="L274" s="185"/>
      <c r="M274" s="185"/>
      <c r="N274" s="185"/>
      <c r="O274" s="185"/>
      <c r="P274" s="185"/>
      <c r="Q274" s="185"/>
      <c r="R274" s="185"/>
      <c r="S274" s="185"/>
      <c r="T274" s="185" t="s">
        <v>290</v>
      </c>
      <c r="U274" s="185"/>
      <c r="V274" s="186"/>
      <c r="W274" s="186"/>
      <c r="X274" s="186"/>
      <c r="Y274" s="184" t="s">
        <v>433</v>
      </c>
      <c r="Z274" s="253">
        <f>184200+15000+20000+249700+11000+66800+94792</f>
        <v>641492</v>
      </c>
      <c r="AA274" s="253">
        <f>184200+15000+20000+249700+11000+66800+94792</f>
        <v>641492</v>
      </c>
      <c r="AB274" s="253">
        <f>184200+15000+20000+249700+11000+66800+94792</f>
        <v>641492</v>
      </c>
      <c r="AC274" s="504" t="s">
        <v>433</v>
      </c>
      <c r="AD274" s="503"/>
    </row>
    <row r="275" spans="1:30" ht="30.75" customHeight="1" x14ac:dyDescent="0.3">
      <c r="A275" s="400" t="s">
        <v>434</v>
      </c>
      <c r="B275" s="185" t="s">
        <v>16</v>
      </c>
      <c r="C275" s="185" t="s">
        <v>122</v>
      </c>
      <c r="D275" s="185" t="s">
        <v>125</v>
      </c>
      <c r="E275" s="208" t="s">
        <v>702</v>
      </c>
      <c r="F275" s="185"/>
      <c r="G275" s="185"/>
      <c r="H275" s="185"/>
      <c r="I275" s="185"/>
      <c r="J275" s="185"/>
      <c r="K275" s="185"/>
      <c r="L275" s="185"/>
      <c r="M275" s="185"/>
      <c r="N275" s="185"/>
      <c r="O275" s="185"/>
      <c r="P275" s="185"/>
      <c r="Q275" s="185"/>
      <c r="R275" s="185"/>
      <c r="S275" s="185"/>
      <c r="T275" s="185" t="s">
        <v>244</v>
      </c>
      <c r="U275" s="185"/>
      <c r="V275" s="186"/>
      <c r="W275" s="186"/>
      <c r="X275" s="186"/>
      <c r="Y275" s="184" t="s">
        <v>434</v>
      </c>
      <c r="Z275" s="253">
        <f>2000</f>
        <v>2000</v>
      </c>
      <c r="AA275" s="253">
        <v>2000</v>
      </c>
      <c r="AB275" s="253">
        <v>2000</v>
      </c>
      <c r="AC275" s="504" t="s">
        <v>434</v>
      </c>
      <c r="AD275" s="503"/>
    </row>
    <row r="276" spans="1:30" ht="128.25" customHeight="1" x14ac:dyDescent="0.3">
      <c r="A276" s="402" t="s">
        <v>703</v>
      </c>
      <c r="B276" s="208" t="s">
        <v>16</v>
      </c>
      <c r="C276" s="208" t="s">
        <v>122</v>
      </c>
      <c r="D276" s="208" t="s">
        <v>125</v>
      </c>
      <c r="E276" s="208" t="s">
        <v>704</v>
      </c>
      <c r="F276" s="208"/>
      <c r="G276" s="208"/>
      <c r="H276" s="208"/>
      <c r="I276" s="208"/>
      <c r="J276" s="208"/>
      <c r="K276" s="208"/>
      <c r="L276" s="208"/>
      <c r="M276" s="208"/>
      <c r="N276" s="208"/>
      <c r="O276" s="208"/>
      <c r="P276" s="208"/>
      <c r="Q276" s="208"/>
      <c r="R276" s="208"/>
      <c r="S276" s="208"/>
      <c r="T276" s="208"/>
      <c r="U276" s="208"/>
      <c r="V276" s="250"/>
      <c r="W276" s="250"/>
      <c r="X276" s="250"/>
      <c r="Y276" s="203" t="s">
        <v>435</v>
      </c>
      <c r="Z276" s="280">
        <f>Z277</f>
        <v>585553</v>
      </c>
      <c r="AA276" s="280">
        <f>AA277</f>
        <v>550000</v>
      </c>
      <c r="AB276" s="280">
        <f>AB277</f>
        <v>550000</v>
      </c>
      <c r="AC276" s="350" t="s">
        <v>435</v>
      </c>
      <c r="AD276" s="503"/>
    </row>
    <row r="277" spans="1:30" ht="113.25" customHeight="1" x14ac:dyDescent="0.3">
      <c r="A277" s="403" t="s">
        <v>436</v>
      </c>
      <c r="B277" s="185" t="s">
        <v>16</v>
      </c>
      <c r="C277" s="185" t="s">
        <v>122</v>
      </c>
      <c r="D277" s="185" t="s">
        <v>125</v>
      </c>
      <c r="E277" s="208" t="s">
        <v>704</v>
      </c>
      <c r="F277" s="185"/>
      <c r="G277" s="185"/>
      <c r="H277" s="185"/>
      <c r="I277" s="185"/>
      <c r="J277" s="185"/>
      <c r="K277" s="185"/>
      <c r="L277" s="185"/>
      <c r="M277" s="185"/>
      <c r="N277" s="185"/>
      <c r="O277" s="185"/>
      <c r="P277" s="185"/>
      <c r="Q277" s="185"/>
      <c r="R277" s="185"/>
      <c r="S277" s="185"/>
      <c r="T277" s="185" t="s">
        <v>38</v>
      </c>
      <c r="U277" s="185"/>
      <c r="V277" s="186"/>
      <c r="W277" s="186"/>
      <c r="X277" s="186"/>
      <c r="Y277" s="204" t="s">
        <v>436</v>
      </c>
      <c r="Z277" s="253">
        <f>550000+35553</f>
        <v>585553</v>
      </c>
      <c r="AA277" s="253">
        <v>550000</v>
      </c>
      <c r="AB277" s="253">
        <v>550000</v>
      </c>
      <c r="AC277" s="190" t="s">
        <v>436</v>
      </c>
      <c r="AD277" s="503"/>
    </row>
    <row r="278" spans="1:30" ht="0.75" hidden="1" customHeight="1" x14ac:dyDescent="0.3">
      <c r="A278" s="415" t="s">
        <v>285</v>
      </c>
      <c r="B278" s="207" t="s">
        <v>16</v>
      </c>
      <c r="C278" s="207" t="s">
        <v>122</v>
      </c>
      <c r="D278" s="207" t="s">
        <v>133</v>
      </c>
      <c r="E278" s="207"/>
      <c r="F278" s="207"/>
      <c r="G278" s="207"/>
      <c r="H278" s="207"/>
      <c r="I278" s="207"/>
      <c r="J278" s="207"/>
      <c r="K278" s="207"/>
      <c r="L278" s="207"/>
      <c r="M278" s="207"/>
      <c r="N278" s="207"/>
      <c r="O278" s="207"/>
      <c r="P278" s="207"/>
      <c r="Q278" s="207"/>
      <c r="R278" s="207"/>
      <c r="S278" s="207"/>
      <c r="T278" s="207"/>
      <c r="U278" s="207"/>
      <c r="V278" s="254"/>
      <c r="W278" s="254"/>
      <c r="X278" s="254"/>
      <c r="Y278" s="206" t="s">
        <v>437</v>
      </c>
      <c r="Z278" s="255">
        <f t="shared" ref="Z278:AB280" si="17">Z279</f>
        <v>1640709.9610000001</v>
      </c>
      <c r="AA278" s="255">
        <f t="shared" si="17"/>
        <v>0</v>
      </c>
      <c r="AB278" s="255">
        <f t="shared" si="17"/>
        <v>0</v>
      </c>
      <c r="AC278" s="502" t="s">
        <v>437</v>
      </c>
      <c r="AD278" s="503"/>
    </row>
    <row r="279" spans="1:30" ht="19.5" customHeight="1" x14ac:dyDescent="0.3">
      <c r="A279" s="405" t="s">
        <v>141</v>
      </c>
      <c r="B279" s="188" t="s">
        <v>16</v>
      </c>
      <c r="C279" s="188" t="s">
        <v>122</v>
      </c>
      <c r="D279" s="188" t="s">
        <v>130</v>
      </c>
      <c r="E279" s="188"/>
      <c r="F279" s="188"/>
      <c r="G279" s="188"/>
      <c r="H279" s="188"/>
      <c r="I279" s="188"/>
      <c r="J279" s="188"/>
      <c r="K279" s="188"/>
      <c r="L279" s="188"/>
      <c r="M279" s="188"/>
      <c r="N279" s="188"/>
      <c r="O279" s="188"/>
      <c r="P279" s="188"/>
      <c r="Q279" s="188"/>
      <c r="R279" s="188"/>
      <c r="S279" s="188"/>
      <c r="T279" s="188"/>
      <c r="U279" s="207"/>
      <c r="V279" s="254"/>
      <c r="W279" s="254"/>
      <c r="X279" s="254"/>
      <c r="Y279" s="206" t="s">
        <v>437</v>
      </c>
      <c r="Z279" s="280">
        <f t="shared" si="17"/>
        <v>1640709.9610000001</v>
      </c>
      <c r="AA279" s="255">
        <f t="shared" si="17"/>
        <v>0</v>
      </c>
      <c r="AB279" s="255">
        <f t="shared" si="17"/>
        <v>0</v>
      </c>
      <c r="AC279" s="502" t="s">
        <v>256</v>
      </c>
      <c r="AD279" s="503"/>
    </row>
    <row r="280" spans="1:30" ht="114" customHeight="1" x14ac:dyDescent="0.3">
      <c r="A280" s="403" t="s">
        <v>1231</v>
      </c>
      <c r="B280" s="188" t="s">
        <v>16</v>
      </c>
      <c r="C280" s="188" t="s">
        <v>122</v>
      </c>
      <c r="D280" s="188" t="s">
        <v>130</v>
      </c>
      <c r="E280" s="276" t="s">
        <v>1233</v>
      </c>
      <c r="F280" s="188"/>
      <c r="G280" s="188"/>
      <c r="H280" s="188"/>
      <c r="I280" s="188"/>
      <c r="J280" s="188"/>
      <c r="K280" s="188"/>
      <c r="L280" s="188"/>
      <c r="M280" s="188"/>
      <c r="N280" s="188"/>
      <c r="O280" s="188"/>
      <c r="P280" s="188"/>
      <c r="Q280" s="188"/>
      <c r="R280" s="188"/>
      <c r="S280" s="188"/>
      <c r="T280" s="188"/>
      <c r="U280" s="207"/>
      <c r="V280" s="254"/>
      <c r="W280" s="254"/>
      <c r="X280" s="254"/>
      <c r="Y280" s="206" t="s">
        <v>256</v>
      </c>
      <c r="Z280" s="280">
        <f t="shared" si="17"/>
        <v>1640709.9610000001</v>
      </c>
      <c r="AA280" s="280">
        <f t="shared" si="17"/>
        <v>0</v>
      </c>
      <c r="AB280" s="280">
        <f t="shared" si="17"/>
        <v>0</v>
      </c>
      <c r="AC280" s="350" t="s">
        <v>438</v>
      </c>
      <c r="AD280" s="503"/>
    </row>
    <row r="281" spans="1:30" ht="16.5" customHeight="1" x14ac:dyDescent="0.3">
      <c r="A281" s="534" t="s">
        <v>1232</v>
      </c>
      <c r="B281" s="188" t="s">
        <v>16</v>
      </c>
      <c r="C281" s="188" t="s">
        <v>122</v>
      </c>
      <c r="D281" s="188" t="s">
        <v>130</v>
      </c>
      <c r="E281" s="276" t="s">
        <v>1233</v>
      </c>
      <c r="F281" s="188"/>
      <c r="G281" s="188"/>
      <c r="H281" s="188"/>
      <c r="I281" s="188"/>
      <c r="J281" s="188"/>
      <c r="K281" s="188"/>
      <c r="L281" s="188"/>
      <c r="M281" s="188"/>
      <c r="N281" s="188"/>
      <c r="O281" s="188"/>
      <c r="P281" s="188"/>
      <c r="Q281" s="188"/>
      <c r="R281" s="188"/>
      <c r="S281" s="188"/>
      <c r="T281" s="188" t="s">
        <v>443</v>
      </c>
      <c r="U281" s="208"/>
      <c r="V281" s="250"/>
      <c r="W281" s="250"/>
      <c r="X281" s="250"/>
      <c r="Y281" s="203" t="s">
        <v>438</v>
      </c>
      <c r="Z281" s="280">
        <f>Z283+Z284+Z285+Z286</f>
        <v>1640709.9610000001</v>
      </c>
      <c r="AA281" s="253">
        <v>0</v>
      </c>
      <c r="AB281" s="253">
        <v>0</v>
      </c>
      <c r="AC281" s="504" t="s">
        <v>439</v>
      </c>
      <c r="AD281" s="503"/>
    </row>
    <row r="282" spans="1:30" ht="16.5" customHeight="1" x14ac:dyDescent="0.3">
      <c r="A282" s="402" t="s">
        <v>109</v>
      </c>
      <c r="B282" s="188"/>
      <c r="C282" s="188"/>
      <c r="D282" s="188"/>
      <c r="E282" s="276"/>
      <c r="F282" s="188"/>
      <c r="G282" s="188"/>
      <c r="H282" s="188"/>
      <c r="I282" s="188"/>
      <c r="J282" s="188"/>
      <c r="K282" s="188"/>
      <c r="L282" s="188"/>
      <c r="M282" s="188"/>
      <c r="N282" s="188"/>
      <c r="O282" s="188"/>
      <c r="P282" s="188"/>
      <c r="Q282" s="188"/>
      <c r="R282" s="188"/>
      <c r="S282" s="188"/>
      <c r="T282" s="188"/>
      <c r="U282" s="208"/>
      <c r="V282" s="250"/>
      <c r="W282" s="250"/>
      <c r="X282" s="250"/>
      <c r="Y282" s="203"/>
      <c r="Z282" s="280"/>
      <c r="AA282" s="253"/>
      <c r="AB282" s="253"/>
      <c r="AC282" s="504"/>
      <c r="AD282" s="503"/>
    </row>
    <row r="283" spans="1:30" ht="16.5" customHeight="1" x14ac:dyDescent="0.3">
      <c r="A283" s="402" t="s">
        <v>949</v>
      </c>
      <c r="B283" s="188" t="s">
        <v>16</v>
      </c>
      <c r="C283" s="188" t="s">
        <v>122</v>
      </c>
      <c r="D283" s="188" t="s">
        <v>130</v>
      </c>
      <c r="E283" s="276" t="s">
        <v>1233</v>
      </c>
      <c r="F283" s="188"/>
      <c r="G283" s="188"/>
      <c r="H283" s="188"/>
      <c r="I283" s="188"/>
      <c r="J283" s="188"/>
      <c r="K283" s="188"/>
      <c r="L283" s="188"/>
      <c r="M283" s="188"/>
      <c r="N283" s="188"/>
      <c r="O283" s="188"/>
      <c r="P283" s="188"/>
      <c r="Q283" s="188"/>
      <c r="R283" s="188"/>
      <c r="S283" s="188"/>
      <c r="T283" s="188" t="s">
        <v>443</v>
      </c>
      <c r="U283" s="208"/>
      <c r="V283" s="250"/>
      <c r="W283" s="250"/>
      <c r="X283" s="250"/>
      <c r="Y283" s="203"/>
      <c r="Z283" s="280">
        <v>591859.61100000003</v>
      </c>
      <c r="AA283" s="253">
        <v>0</v>
      </c>
      <c r="AB283" s="253">
        <v>0</v>
      </c>
      <c r="AC283" s="504"/>
      <c r="AD283" s="503"/>
    </row>
    <row r="284" spans="1:30" ht="16.5" customHeight="1" x14ac:dyDescent="0.3">
      <c r="A284" s="439" t="s">
        <v>946</v>
      </c>
      <c r="B284" s="188" t="s">
        <v>16</v>
      </c>
      <c r="C284" s="188" t="s">
        <v>122</v>
      </c>
      <c r="D284" s="188" t="s">
        <v>130</v>
      </c>
      <c r="E284" s="276" t="s">
        <v>1233</v>
      </c>
      <c r="F284" s="188"/>
      <c r="G284" s="188"/>
      <c r="H284" s="188"/>
      <c r="I284" s="188"/>
      <c r="J284" s="188"/>
      <c r="K284" s="188"/>
      <c r="L284" s="188"/>
      <c r="M284" s="188"/>
      <c r="N284" s="188"/>
      <c r="O284" s="188"/>
      <c r="P284" s="188"/>
      <c r="Q284" s="188"/>
      <c r="R284" s="188"/>
      <c r="S284" s="188"/>
      <c r="T284" s="188" t="s">
        <v>443</v>
      </c>
      <c r="U284" s="208"/>
      <c r="V284" s="250"/>
      <c r="W284" s="250"/>
      <c r="X284" s="250"/>
      <c r="Y284" s="203"/>
      <c r="Z284" s="280">
        <v>203000</v>
      </c>
      <c r="AA284" s="253">
        <v>0</v>
      </c>
      <c r="AB284" s="253">
        <v>0</v>
      </c>
      <c r="AC284" s="504"/>
      <c r="AD284" s="503"/>
    </row>
    <row r="285" spans="1:30" ht="16.5" customHeight="1" x14ac:dyDescent="0.3">
      <c r="A285" s="439" t="s">
        <v>951</v>
      </c>
      <c r="B285" s="188" t="s">
        <v>16</v>
      </c>
      <c r="C285" s="188" t="s">
        <v>122</v>
      </c>
      <c r="D285" s="188" t="s">
        <v>130</v>
      </c>
      <c r="E285" s="276" t="s">
        <v>1233</v>
      </c>
      <c r="F285" s="188"/>
      <c r="G285" s="188"/>
      <c r="H285" s="188"/>
      <c r="I285" s="188"/>
      <c r="J285" s="188"/>
      <c r="K285" s="188"/>
      <c r="L285" s="188"/>
      <c r="M285" s="188"/>
      <c r="N285" s="188"/>
      <c r="O285" s="188"/>
      <c r="P285" s="188"/>
      <c r="Q285" s="188"/>
      <c r="R285" s="188"/>
      <c r="S285" s="188"/>
      <c r="T285" s="188" t="s">
        <v>443</v>
      </c>
      <c r="U285" s="208"/>
      <c r="V285" s="250"/>
      <c r="W285" s="250"/>
      <c r="X285" s="250"/>
      <c r="Y285" s="203"/>
      <c r="Z285" s="280">
        <v>279653</v>
      </c>
      <c r="AA285" s="253">
        <v>0</v>
      </c>
      <c r="AB285" s="253">
        <v>0</v>
      </c>
      <c r="AC285" s="504"/>
      <c r="AD285" s="503"/>
    </row>
    <row r="286" spans="1:30" ht="16.5" customHeight="1" x14ac:dyDescent="0.3">
      <c r="A286" s="439" t="s">
        <v>948</v>
      </c>
      <c r="B286" s="188" t="s">
        <v>16</v>
      </c>
      <c r="C286" s="188" t="s">
        <v>122</v>
      </c>
      <c r="D286" s="188" t="s">
        <v>130</v>
      </c>
      <c r="E286" s="276" t="s">
        <v>1233</v>
      </c>
      <c r="F286" s="188"/>
      <c r="G286" s="188"/>
      <c r="H286" s="188"/>
      <c r="I286" s="188"/>
      <c r="J286" s="188"/>
      <c r="K286" s="188"/>
      <c r="L286" s="188"/>
      <c r="M286" s="188"/>
      <c r="N286" s="188"/>
      <c r="O286" s="188"/>
      <c r="P286" s="188"/>
      <c r="Q286" s="188"/>
      <c r="R286" s="188"/>
      <c r="S286" s="188"/>
      <c r="T286" s="188" t="s">
        <v>443</v>
      </c>
      <c r="U286" s="208"/>
      <c r="V286" s="250"/>
      <c r="W286" s="250"/>
      <c r="X286" s="250"/>
      <c r="Y286" s="203"/>
      <c r="Z286" s="280">
        <v>566197.35</v>
      </c>
      <c r="AA286" s="253">
        <v>0</v>
      </c>
      <c r="AB286" s="253">
        <v>0</v>
      </c>
      <c r="AC286" s="504"/>
      <c r="AD286" s="503"/>
    </row>
    <row r="287" spans="1:30" ht="17.25" customHeight="1" x14ac:dyDescent="0.3">
      <c r="A287" s="415" t="s">
        <v>318</v>
      </c>
      <c r="B287" s="188" t="s">
        <v>16</v>
      </c>
      <c r="C287" s="188" t="s">
        <v>136</v>
      </c>
      <c r="D287" s="188" t="s">
        <v>133</v>
      </c>
      <c r="E287" s="276"/>
      <c r="F287" s="188"/>
      <c r="G287" s="188"/>
      <c r="H287" s="188"/>
      <c r="I287" s="188"/>
      <c r="J287" s="188"/>
      <c r="K287" s="188"/>
      <c r="L287" s="188"/>
      <c r="M287" s="188"/>
      <c r="N287" s="188"/>
      <c r="O287" s="188"/>
      <c r="P287" s="188"/>
      <c r="Q287" s="188"/>
      <c r="R287" s="188"/>
      <c r="S287" s="188"/>
      <c r="T287" s="188"/>
      <c r="U287" s="208"/>
      <c r="V287" s="250"/>
      <c r="W287" s="250"/>
      <c r="X287" s="250"/>
      <c r="Y287" s="203"/>
      <c r="Z287" s="280">
        <f>Z288+Z295</f>
        <v>6834000</v>
      </c>
      <c r="AA287" s="253">
        <v>0</v>
      </c>
      <c r="AB287" s="253">
        <v>0</v>
      </c>
      <c r="AC287" s="504"/>
      <c r="AD287" s="503"/>
    </row>
    <row r="288" spans="1:30" ht="16.5" customHeight="1" x14ac:dyDescent="0.3">
      <c r="A288" s="415" t="s">
        <v>676</v>
      </c>
      <c r="B288" s="188" t="s">
        <v>16</v>
      </c>
      <c r="C288" s="188" t="s">
        <v>136</v>
      </c>
      <c r="D288" s="188" t="s">
        <v>127</v>
      </c>
      <c r="E288" s="276"/>
      <c r="F288" s="188"/>
      <c r="G288" s="188"/>
      <c r="H288" s="188"/>
      <c r="I288" s="188"/>
      <c r="J288" s="188"/>
      <c r="K288" s="188"/>
      <c r="L288" s="188"/>
      <c r="M288" s="188"/>
      <c r="N288" s="188"/>
      <c r="O288" s="188"/>
      <c r="P288" s="188"/>
      <c r="Q288" s="188"/>
      <c r="R288" s="188"/>
      <c r="S288" s="188"/>
      <c r="T288" s="188"/>
      <c r="U288" s="208"/>
      <c r="V288" s="250"/>
      <c r="W288" s="250"/>
      <c r="X288" s="250"/>
      <c r="Y288" s="203"/>
      <c r="Z288" s="280">
        <f>Z289</f>
        <v>6484000</v>
      </c>
      <c r="AA288" s="253">
        <v>0</v>
      </c>
      <c r="AB288" s="253">
        <v>0</v>
      </c>
      <c r="AC288" s="504"/>
      <c r="AD288" s="503"/>
    </row>
    <row r="289" spans="1:30" ht="97.5" customHeight="1" x14ac:dyDescent="0.3">
      <c r="A289" s="402" t="s">
        <v>653</v>
      </c>
      <c r="B289" s="188" t="s">
        <v>16</v>
      </c>
      <c r="C289" s="188" t="s">
        <v>136</v>
      </c>
      <c r="D289" s="188" t="s">
        <v>127</v>
      </c>
      <c r="E289" s="276"/>
      <c r="F289" s="188"/>
      <c r="G289" s="188"/>
      <c r="H289" s="188"/>
      <c r="I289" s="188"/>
      <c r="J289" s="188"/>
      <c r="K289" s="188"/>
      <c r="L289" s="188"/>
      <c r="M289" s="188"/>
      <c r="N289" s="188"/>
      <c r="O289" s="188"/>
      <c r="P289" s="188"/>
      <c r="Q289" s="188"/>
      <c r="R289" s="188"/>
      <c r="S289" s="188"/>
      <c r="T289" s="188"/>
      <c r="U289" s="208"/>
      <c r="V289" s="250"/>
      <c r="W289" s="250"/>
      <c r="X289" s="250"/>
      <c r="Y289" s="203"/>
      <c r="Z289" s="280">
        <f>Z290</f>
        <v>6484000</v>
      </c>
      <c r="AA289" s="253">
        <v>0</v>
      </c>
      <c r="AB289" s="253">
        <v>0</v>
      </c>
      <c r="AC289" s="504"/>
      <c r="AD289" s="503"/>
    </row>
    <row r="290" spans="1:30" ht="17.25" customHeight="1" x14ac:dyDescent="0.3">
      <c r="A290" s="402" t="s">
        <v>918</v>
      </c>
      <c r="B290" s="188" t="s">
        <v>16</v>
      </c>
      <c r="C290" s="188" t="s">
        <v>136</v>
      </c>
      <c r="D290" s="188" t="s">
        <v>127</v>
      </c>
      <c r="E290" s="276" t="s">
        <v>601</v>
      </c>
      <c r="F290" s="188"/>
      <c r="G290" s="188"/>
      <c r="H290" s="188"/>
      <c r="I290" s="188"/>
      <c r="J290" s="188"/>
      <c r="K290" s="188"/>
      <c r="L290" s="188"/>
      <c r="M290" s="188"/>
      <c r="N290" s="188"/>
      <c r="O290" s="188"/>
      <c r="P290" s="188"/>
      <c r="Q290" s="188"/>
      <c r="R290" s="188"/>
      <c r="S290" s="188"/>
      <c r="T290" s="188" t="s">
        <v>443</v>
      </c>
      <c r="U290" s="208"/>
      <c r="V290" s="250"/>
      <c r="W290" s="250"/>
      <c r="X290" s="250"/>
      <c r="Y290" s="203"/>
      <c r="Z290" s="280">
        <f>Z292+Z293+Z294</f>
        <v>6484000</v>
      </c>
      <c r="AA290" s="253">
        <v>0</v>
      </c>
      <c r="AB290" s="253">
        <v>0</v>
      </c>
      <c r="AC290" s="504"/>
      <c r="AD290" s="503"/>
    </row>
    <row r="291" spans="1:30" ht="18.75" customHeight="1" x14ac:dyDescent="0.3">
      <c r="A291" s="402" t="s">
        <v>109</v>
      </c>
      <c r="B291" s="188"/>
      <c r="C291" s="188"/>
      <c r="D291" s="188"/>
      <c r="E291" s="276"/>
      <c r="F291" s="188"/>
      <c r="G291" s="188"/>
      <c r="H291" s="188"/>
      <c r="I291" s="188"/>
      <c r="J291" s="188"/>
      <c r="K291" s="188"/>
      <c r="L291" s="188"/>
      <c r="M291" s="188"/>
      <c r="N291" s="188"/>
      <c r="O291" s="188"/>
      <c r="P291" s="188"/>
      <c r="Q291" s="188"/>
      <c r="R291" s="188"/>
      <c r="S291" s="188"/>
      <c r="T291" s="188"/>
      <c r="U291" s="208"/>
      <c r="V291" s="250"/>
      <c r="W291" s="250"/>
      <c r="X291" s="250"/>
      <c r="Y291" s="203"/>
      <c r="Z291" s="280"/>
      <c r="AA291" s="253"/>
      <c r="AB291" s="253"/>
      <c r="AC291" s="504"/>
      <c r="AD291" s="503"/>
    </row>
    <row r="292" spans="1:30" ht="17.25" customHeight="1" x14ac:dyDescent="0.3">
      <c r="A292" s="402" t="s">
        <v>952</v>
      </c>
      <c r="B292" s="188" t="s">
        <v>16</v>
      </c>
      <c r="C292" s="188" t="s">
        <v>136</v>
      </c>
      <c r="D292" s="188" t="s">
        <v>127</v>
      </c>
      <c r="E292" s="276" t="s">
        <v>601</v>
      </c>
      <c r="F292" s="188"/>
      <c r="G292" s="188"/>
      <c r="H292" s="188"/>
      <c r="I292" s="188"/>
      <c r="J292" s="188"/>
      <c r="K292" s="188"/>
      <c r="L292" s="188"/>
      <c r="M292" s="188"/>
      <c r="N292" s="188"/>
      <c r="O292" s="188"/>
      <c r="P292" s="188"/>
      <c r="Q292" s="188"/>
      <c r="R292" s="188"/>
      <c r="S292" s="188"/>
      <c r="T292" s="188" t="s">
        <v>443</v>
      </c>
      <c r="U292" s="208"/>
      <c r="V292" s="250"/>
      <c r="W292" s="250"/>
      <c r="X292" s="250"/>
      <c r="Y292" s="203"/>
      <c r="Z292" s="280">
        <f>790000+2200000+2300000</f>
        <v>5290000</v>
      </c>
      <c r="AA292" s="253">
        <v>0</v>
      </c>
      <c r="AB292" s="253">
        <v>0</v>
      </c>
      <c r="AC292" s="504"/>
      <c r="AD292" s="503"/>
    </row>
    <row r="293" spans="1:30" ht="17.25" customHeight="1" x14ac:dyDescent="0.3">
      <c r="A293" s="402" t="s">
        <v>939</v>
      </c>
      <c r="B293" s="188" t="s">
        <v>16</v>
      </c>
      <c r="C293" s="188" t="s">
        <v>136</v>
      </c>
      <c r="D293" s="188" t="s">
        <v>127</v>
      </c>
      <c r="E293" s="276" t="s">
        <v>601</v>
      </c>
      <c r="F293" s="188"/>
      <c r="G293" s="188"/>
      <c r="H293" s="188"/>
      <c r="I293" s="188"/>
      <c r="J293" s="188"/>
      <c r="K293" s="188"/>
      <c r="L293" s="188"/>
      <c r="M293" s="188"/>
      <c r="N293" s="188"/>
      <c r="O293" s="188"/>
      <c r="P293" s="188"/>
      <c r="Q293" s="188"/>
      <c r="R293" s="188"/>
      <c r="S293" s="188"/>
      <c r="T293" s="188" t="s">
        <v>443</v>
      </c>
      <c r="U293" s="208"/>
      <c r="V293" s="250"/>
      <c r="W293" s="250"/>
      <c r="X293" s="250"/>
      <c r="Y293" s="203"/>
      <c r="Z293" s="280">
        <v>105000</v>
      </c>
      <c r="AA293" s="253">
        <v>0</v>
      </c>
      <c r="AB293" s="253">
        <v>0</v>
      </c>
      <c r="AC293" s="504"/>
      <c r="AD293" s="503"/>
    </row>
    <row r="294" spans="1:30" ht="17.25" customHeight="1" x14ac:dyDescent="0.3">
      <c r="A294" s="402" t="s">
        <v>919</v>
      </c>
      <c r="B294" s="188" t="s">
        <v>16</v>
      </c>
      <c r="C294" s="188" t="s">
        <v>136</v>
      </c>
      <c r="D294" s="188" t="s">
        <v>127</v>
      </c>
      <c r="E294" s="276" t="s">
        <v>601</v>
      </c>
      <c r="F294" s="188"/>
      <c r="G294" s="188"/>
      <c r="H294" s="188"/>
      <c r="I294" s="188"/>
      <c r="J294" s="188"/>
      <c r="K294" s="188"/>
      <c r="L294" s="188"/>
      <c r="M294" s="188"/>
      <c r="N294" s="188"/>
      <c r="O294" s="188"/>
      <c r="P294" s="188"/>
      <c r="Q294" s="188"/>
      <c r="R294" s="188"/>
      <c r="S294" s="188"/>
      <c r="T294" s="188" t="s">
        <v>443</v>
      </c>
      <c r="U294" s="208"/>
      <c r="V294" s="250"/>
      <c r="W294" s="250"/>
      <c r="X294" s="250"/>
      <c r="Y294" s="203"/>
      <c r="Z294" s="280">
        <f>169000+570000+350000</f>
        <v>1089000</v>
      </c>
      <c r="AA294" s="253">
        <v>0</v>
      </c>
      <c r="AB294" s="253">
        <v>0</v>
      </c>
      <c r="AC294" s="504"/>
      <c r="AD294" s="503"/>
    </row>
    <row r="295" spans="1:30" ht="19.5" customHeight="1" x14ac:dyDescent="0.3">
      <c r="A295" s="415" t="s">
        <v>149</v>
      </c>
      <c r="B295" s="188" t="s">
        <v>16</v>
      </c>
      <c r="C295" s="188" t="s">
        <v>136</v>
      </c>
      <c r="D295" s="188" t="s">
        <v>129</v>
      </c>
      <c r="E295" s="276"/>
      <c r="F295" s="188"/>
      <c r="G295" s="188"/>
      <c r="H295" s="188"/>
      <c r="I295" s="188"/>
      <c r="J295" s="188"/>
      <c r="K295" s="188"/>
      <c r="L295" s="188"/>
      <c r="M295" s="188"/>
      <c r="N295" s="188"/>
      <c r="O295" s="188"/>
      <c r="P295" s="188"/>
      <c r="Q295" s="188"/>
      <c r="R295" s="188"/>
      <c r="S295" s="188"/>
      <c r="T295" s="188"/>
      <c r="U295" s="208"/>
      <c r="V295" s="250"/>
      <c r="W295" s="250"/>
      <c r="X295" s="250"/>
      <c r="Y295" s="203"/>
      <c r="Z295" s="280">
        <f>Z297</f>
        <v>350000</v>
      </c>
      <c r="AA295" s="253">
        <v>0</v>
      </c>
      <c r="AB295" s="253">
        <v>0</v>
      </c>
      <c r="AC295" s="504"/>
      <c r="AD295" s="503"/>
    </row>
    <row r="296" spans="1:30" ht="64.5" customHeight="1" x14ac:dyDescent="0.3">
      <c r="A296" s="402" t="s">
        <v>1088</v>
      </c>
      <c r="B296" s="188" t="s">
        <v>16</v>
      </c>
      <c r="C296" s="188" t="s">
        <v>136</v>
      </c>
      <c r="D296" s="188" t="s">
        <v>129</v>
      </c>
      <c r="E296" s="276"/>
      <c r="F296" s="188"/>
      <c r="G296" s="188"/>
      <c r="H296" s="188"/>
      <c r="I296" s="188"/>
      <c r="J296" s="188"/>
      <c r="K296" s="188"/>
      <c r="L296" s="188"/>
      <c r="M296" s="188"/>
      <c r="N296" s="188"/>
      <c r="O296" s="188"/>
      <c r="P296" s="188"/>
      <c r="Q296" s="188"/>
      <c r="R296" s="188"/>
      <c r="S296" s="188"/>
      <c r="T296" s="188"/>
      <c r="U296" s="208"/>
      <c r="V296" s="250"/>
      <c r="W296" s="250"/>
      <c r="X296" s="250"/>
      <c r="Y296" s="203"/>
      <c r="Z296" s="280">
        <f>Z297</f>
        <v>350000</v>
      </c>
      <c r="AA296" s="253">
        <v>0</v>
      </c>
      <c r="AB296" s="253">
        <v>0</v>
      </c>
      <c r="AC296" s="504"/>
      <c r="AD296" s="503"/>
    </row>
    <row r="297" spans="1:30" ht="19.5" customHeight="1" x14ac:dyDescent="0.3">
      <c r="A297" s="402" t="s">
        <v>918</v>
      </c>
      <c r="B297" s="188" t="s">
        <v>16</v>
      </c>
      <c r="C297" s="188" t="s">
        <v>136</v>
      </c>
      <c r="D297" s="188" t="s">
        <v>129</v>
      </c>
      <c r="E297" s="276" t="s">
        <v>1087</v>
      </c>
      <c r="F297" s="188"/>
      <c r="G297" s="188"/>
      <c r="H297" s="188"/>
      <c r="I297" s="188"/>
      <c r="J297" s="188"/>
      <c r="K297" s="188"/>
      <c r="L297" s="188"/>
      <c r="M297" s="188"/>
      <c r="N297" s="188"/>
      <c r="O297" s="188"/>
      <c r="P297" s="188"/>
      <c r="Q297" s="188"/>
      <c r="R297" s="188"/>
      <c r="S297" s="188"/>
      <c r="T297" s="188" t="s">
        <v>443</v>
      </c>
      <c r="U297" s="208"/>
      <c r="V297" s="250"/>
      <c r="W297" s="250"/>
      <c r="X297" s="250"/>
      <c r="Y297" s="203"/>
      <c r="Z297" s="280">
        <v>350000</v>
      </c>
      <c r="AA297" s="253">
        <v>0</v>
      </c>
      <c r="AB297" s="253">
        <v>0</v>
      </c>
      <c r="AC297" s="504"/>
      <c r="AD297" s="503"/>
    </row>
    <row r="298" spans="1:30" ht="18.75" customHeight="1" x14ac:dyDescent="0.3">
      <c r="A298" s="402" t="s">
        <v>109</v>
      </c>
      <c r="B298" s="188"/>
      <c r="C298" s="188"/>
      <c r="D298" s="188"/>
      <c r="E298" s="276"/>
      <c r="F298" s="188"/>
      <c r="G298" s="188"/>
      <c r="H298" s="188"/>
      <c r="I298" s="188"/>
      <c r="J298" s="188"/>
      <c r="K298" s="188"/>
      <c r="L298" s="188"/>
      <c r="M298" s="188"/>
      <c r="N298" s="188"/>
      <c r="O298" s="188"/>
      <c r="P298" s="188"/>
      <c r="Q298" s="188"/>
      <c r="R298" s="188"/>
      <c r="S298" s="188"/>
      <c r="T298" s="188"/>
      <c r="U298" s="208"/>
      <c r="V298" s="250"/>
      <c r="W298" s="250"/>
      <c r="X298" s="250"/>
      <c r="Y298" s="203"/>
      <c r="Z298" s="280"/>
      <c r="AA298" s="253"/>
      <c r="AB298" s="253"/>
      <c r="AC298" s="504"/>
      <c r="AD298" s="503"/>
    </row>
    <row r="299" spans="1:30" ht="20.25" customHeight="1" x14ac:dyDescent="0.3">
      <c r="A299" s="439" t="s">
        <v>951</v>
      </c>
      <c r="B299" s="188" t="s">
        <v>16</v>
      </c>
      <c r="C299" s="188" t="s">
        <v>136</v>
      </c>
      <c r="D299" s="188" t="s">
        <v>129</v>
      </c>
      <c r="E299" s="276" t="s">
        <v>1087</v>
      </c>
      <c r="F299" s="188"/>
      <c r="G299" s="188"/>
      <c r="H299" s="188"/>
      <c r="I299" s="188"/>
      <c r="J299" s="188"/>
      <c r="K299" s="188"/>
      <c r="L299" s="188"/>
      <c r="M299" s="188"/>
      <c r="N299" s="188"/>
      <c r="O299" s="188"/>
      <c r="P299" s="188"/>
      <c r="Q299" s="188"/>
      <c r="R299" s="188"/>
      <c r="S299" s="188"/>
      <c r="T299" s="188" t="s">
        <v>443</v>
      </c>
      <c r="U299" s="208"/>
      <c r="V299" s="250"/>
      <c r="W299" s="250"/>
      <c r="X299" s="250"/>
      <c r="Y299" s="203"/>
      <c r="Z299" s="280">
        <v>350000</v>
      </c>
      <c r="AA299" s="253">
        <v>0</v>
      </c>
      <c r="AB299" s="253">
        <v>0</v>
      </c>
      <c r="AC299" s="504"/>
      <c r="AD299" s="503"/>
    </row>
    <row r="300" spans="1:30" ht="21" customHeight="1" x14ac:dyDescent="0.3">
      <c r="A300" s="415" t="s">
        <v>363</v>
      </c>
      <c r="B300" s="188" t="s">
        <v>16</v>
      </c>
      <c r="C300" s="188" t="s">
        <v>124</v>
      </c>
      <c r="D300" s="188" t="s">
        <v>133</v>
      </c>
      <c r="E300" s="276"/>
      <c r="F300" s="188"/>
      <c r="G300" s="188"/>
      <c r="H300" s="188"/>
      <c r="I300" s="188"/>
      <c r="J300" s="188"/>
      <c r="K300" s="188"/>
      <c r="L300" s="188"/>
      <c r="M300" s="188"/>
      <c r="N300" s="188"/>
      <c r="O300" s="188"/>
      <c r="P300" s="188"/>
      <c r="Q300" s="188"/>
      <c r="R300" s="188"/>
      <c r="S300" s="188"/>
      <c r="T300" s="188"/>
      <c r="U300" s="208"/>
      <c r="V300" s="250"/>
      <c r="W300" s="250"/>
      <c r="X300" s="250"/>
      <c r="Y300" s="203"/>
      <c r="Z300" s="280">
        <f>Z307+Z317+Z301</f>
        <v>11017585.439999999</v>
      </c>
      <c r="AA300" s="280">
        <f t="shared" ref="AA300:AB300" si="18">AA307+AA317+AA301</f>
        <v>0</v>
      </c>
      <c r="AB300" s="280">
        <f t="shared" si="18"/>
        <v>0</v>
      </c>
      <c r="AC300" s="504"/>
      <c r="AD300" s="503"/>
    </row>
    <row r="301" spans="1:30" ht="18.75" customHeight="1" x14ac:dyDescent="0.3">
      <c r="A301" s="414" t="s">
        <v>150</v>
      </c>
      <c r="B301" s="276" t="s">
        <v>16</v>
      </c>
      <c r="C301" s="276" t="s">
        <v>124</v>
      </c>
      <c r="D301" s="276" t="s">
        <v>122</v>
      </c>
      <c r="E301" s="276"/>
      <c r="F301" s="276"/>
      <c r="G301" s="276"/>
      <c r="H301" s="276"/>
      <c r="I301" s="276"/>
      <c r="J301" s="276"/>
      <c r="K301" s="276"/>
      <c r="L301" s="276"/>
      <c r="M301" s="276"/>
      <c r="N301" s="276"/>
      <c r="O301" s="276"/>
      <c r="P301" s="276"/>
      <c r="Q301" s="276"/>
      <c r="R301" s="276"/>
      <c r="S301" s="276"/>
      <c r="T301" s="276"/>
      <c r="U301" s="208"/>
      <c r="V301" s="250"/>
      <c r="W301" s="250"/>
      <c r="X301" s="250"/>
      <c r="Y301" s="203"/>
      <c r="Z301" s="280">
        <f>Z302</f>
        <v>700000</v>
      </c>
      <c r="AA301" s="280">
        <f t="shared" ref="AA301:AB302" si="19">AA302</f>
        <v>0</v>
      </c>
      <c r="AB301" s="280">
        <f t="shared" si="19"/>
        <v>0</v>
      </c>
      <c r="AC301" s="350"/>
      <c r="AD301" s="503"/>
    </row>
    <row r="302" spans="1:30" ht="96" customHeight="1" x14ac:dyDescent="0.3">
      <c r="A302" s="414" t="s">
        <v>878</v>
      </c>
      <c r="B302" s="276" t="s">
        <v>16</v>
      </c>
      <c r="C302" s="276" t="s">
        <v>124</v>
      </c>
      <c r="D302" s="276" t="s">
        <v>122</v>
      </c>
      <c r="E302" s="276" t="s">
        <v>880</v>
      </c>
      <c r="F302" s="276"/>
      <c r="G302" s="276"/>
      <c r="H302" s="276"/>
      <c r="I302" s="276"/>
      <c r="J302" s="276"/>
      <c r="K302" s="276"/>
      <c r="L302" s="276"/>
      <c r="M302" s="276"/>
      <c r="N302" s="276"/>
      <c r="O302" s="276"/>
      <c r="P302" s="276"/>
      <c r="Q302" s="276"/>
      <c r="R302" s="276"/>
      <c r="S302" s="276"/>
      <c r="T302" s="276"/>
      <c r="U302" s="208"/>
      <c r="V302" s="250"/>
      <c r="W302" s="250"/>
      <c r="X302" s="250"/>
      <c r="Y302" s="203"/>
      <c r="Z302" s="280">
        <f>Z303</f>
        <v>700000</v>
      </c>
      <c r="AA302" s="280">
        <f t="shared" si="19"/>
        <v>0</v>
      </c>
      <c r="AB302" s="280">
        <f t="shared" si="19"/>
        <v>0</v>
      </c>
      <c r="AC302" s="350"/>
      <c r="AD302" s="503"/>
    </row>
    <row r="303" spans="1:30" ht="18.75" customHeight="1" x14ac:dyDescent="0.3">
      <c r="A303" s="402" t="s">
        <v>918</v>
      </c>
      <c r="B303" s="276" t="s">
        <v>16</v>
      </c>
      <c r="C303" s="276" t="s">
        <v>124</v>
      </c>
      <c r="D303" s="276" t="s">
        <v>122</v>
      </c>
      <c r="E303" s="276" t="s">
        <v>880</v>
      </c>
      <c r="F303" s="276"/>
      <c r="G303" s="276"/>
      <c r="H303" s="276"/>
      <c r="I303" s="276"/>
      <c r="J303" s="276"/>
      <c r="K303" s="276"/>
      <c r="L303" s="276"/>
      <c r="M303" s="276"/>
      <c r="N303" s="276"/>
      <c r="O303" s="276"/>
      <c r="P303" s="276"/>
      <c r="Q303" s="276"/>
      <c r="R303" s="276"/>
      <c r="S303" s="276"/>
      <c r="T303" s="276" t="s">
        <v>443</v>
      </c>
      <c r="U303" s="208"/>
      <c r="V303" s="250"/>
      <c r="W303" s="250"/>
      <c r="X303" s="250"/>
      <c r="Y303" s="203"/>
      <c r="Z303" s="280">
        <f>Z305+Z306</f>
        <v>700000</v>
      </c>
      <c r="AA303" s="280">
        <f t="shared" ref="AA303:AB303" si="20">AA305+AA306</f>
        <v>0</v>
      </c>
      <c r="AB303" s="280">
        <f t="shared" si="20"/>
        <v>0</v>
      </c>
      <c r="AC303" s="350"/>
      <c r="AD303" s="503"/>
    </row>
    <row r="304" spans="1:30" ht="18.75" customHeight="1" x14ac:dyDescent="0.3">
      <c r="A304" s="402" t="s">
        <v>109</v>
      </c>
      <c r="B304" s="188"/>
      <c r="C304" s="188"/>
      <c r="D304" s="188"/>
      <c r="E304" s="276"/>
      <c r="F304" s="188"/>
      <c r="G304" s="188"/>
      <c r="H304" s="188"/>
      <c r="I304" s="188"/>
      <c r="J304" s="188"/>
      <c r="K304" s="188"/>
      <c r="L304" s="188"/>
      <c r="M304" s="188"/>
      <c r="N304" s="188"/>
      <c r="O304" s="188"/>
      <c r="P304" s="188"/>
      <c r="Q304" s="188"/>
      <c r="R304" s="188"/>
      <c r="S304" s="188"/>
      <c r="T304" s="188"/>
      <c r="U304" s="208"/>
      <c r="V304" s="250"/>
      <c r="W304" s="250"/>
      <c r="X304" s="250"/>
      <c r="Y304" s="203"/>
      <c r="Z304" s="280"/>
      <c r="AA304" s="253"/>
      <c r="AB304" s="253"/>
      <c r="AC304" s="504"/>
      <c r="AD304" s="503"/>
    </row>
    <row r="305" spans="1:30" ht="18.75" customHeight="1" x14ac:dyDescent="0.3">
      <c r="A305" s="414" t="s">
        <v>1234</v>
      </c>
      <c r="B305" s="188" t="s">
        <v>16</v>
      </c>
      <c r="C305" s="188" t="s">
        <v>124</v>
      </c>
      <c r="D305" s="188" t="s">
        <v>122</v>
      </c>
      <c r="E305" s="276" t="s">
        <v>880</v>
      </c>
      <c r="F305" s="188"/>
      <c r="G305" s="188"/>
      <c r="H305" s="188"/>
      <c r="I305" s="188"/>
      <c r="J305" s="188"/>
      <c r="K305" s="188"/>
      <c r="L305" s="188"/>
      <c r="M305" s="188"/>
      <c r="N305" s="188"/>
      <c r="O305" s="188"/>
      <c r="P305" s="188"/>
      <c r="Q305" s="188"/>
      <c r="R305" s="188"/>
      <c r="S305" s="188"/>
      <c r="T305" s="188" t="s">
        <v>443</v>
      </c>
      <c r="U305" s="208"/>
      <c r="V305" s="250"/>
      <c r="W305" s="250"/>
      <c r="X305" s="250"/>
      <c r="Y305" s="203"/>
      <c r="Z305" s="280">
        <v>300000</v>
      </c>
      <c r="AA305" s="253">
        <v>0</v>
      </c>
      <c r="AB305" s="253">
        <v>0</v>
      </c>
      <c r="AC305" s="504"/>
      <c r="AD305" s="503"/>
    </row>
    <row r="306" spans="1:30" ht="20.25" customHeight="1" x14ac:dyDescent="0.3">
      <c r="A306" s="414" t="s">
        <v>951</v>
      </c>
      <c r="B306" s="188" t="s">
        <v>16</v>
      </c>
      <c r="C306" s="188" t="s">
        <v>124</v>
      </c>
      <c r="D306" s="188" t="s">
        <v>122</v>
      </c>
      <c r="E306" s="276" t="s">
        <v>880</v>
      </c>
      <c r="F306" s="188"/>
      <c r="G306" s="188"/>
      <c r="H306" s="188"/>
      <c r="I306" s="188"/>
      <c r="J306" s="188"/>
      <c r="K306" s="188"/>
      <c r="L306" s="188"/>
      <c r="M306" s="188"/>
      <c r="N306" s="188"/>
      <c r="O306" s="188"/>
      <c r="P306" s="188"/>
      <c r="Q306" s="188"/>
      <c r="R306" s="188"/>
      <c r="S306" s="188"/>
      <c r="T306" s="188" t="s">
        <v>443</v>
      </c>
      <c r="U306" s="208"/>
      <c r="V306" s="250"/>
      <c r="W306" s="250"/>
      <c r="X306" s="250"/>
      <c r="Y306" s="203"/>
      <c r="Z306" s="280">
        <v>400000</v>
      </c>
      <c r="AA306" s="253">
        <v>0</v>
      </c>
      <c r="AB306" s="253">
        <v>0</v>
      </c>
      <c r="AC306" s="504"/>
      <c r="AD306" s="503"/>
    </row>
    <row r="307" spans="1:30" ht="19.5" customHeight="1" x14ac:dyDescent="0.3">
      <c r="A307" s="440" t="s">
        <v>151</v>
      </c>
      <c r="B307" s="188" t="s">
        <v>16</v>
      </c>
      <c r="C307" s="188" t="s">
        <v>124</v>
      </c>
      <c r="D307" s="188" t="s">
        <v>132</v>
      </c>
      <c r="E307" s="276" t="s">
        <v>880</v>
      </c>
      <c r="F307" s="188"/>
      <c r="G307" s="188"/>
      <c r="H307" s="188"/>
      <c r="I307" s="188"/>
      <c r="J307" s="188"/>
      <c r="K307" s="188"/>
      <c r="L307" s="188"/>
      <c r="M307" s="188"/>
      <c r="N307" s="188"/>
      <c r="O307" s="188"/>
      <c r="P307" s="188"/>
      <c r="Q307" s="188"/>
      <c r="R307" s="188"/>
      <c r="S307" s="188"/>
      <c r="T307" s="188"/>
      <c r="U307" s="208"/>
      <c r="V307" s="250"/>
      <c r="W307" s="250"/>
      <c r="X307" s="250"/>
      <c r="Y307" s="203"/>
      <c r="Z307" s="280">
        <f>Z308</f>
        <v>8207449.4399999995</v>
      </c>
      <c r="AA307" s="253">
        <v>0</v>
      </c>
      <c r="AB307" s="253">
        <v>0</v>
      </c>
      <c r="AC307" s="504"/>
      <c r="AD307" s="503"/>
    </row>
    <row r="308" spans="1:30" ht="128.25" customHeight="1" x14ac:dyDescent="0.3">
      <c r="A308" s="402" t="s">
        <v>612</v>
      </c>
      <c r="B308" s="188" t="s">
        <v>16</v>
      </c>
      <c r="C308" s="188" t="s">
        <v>124</v>
      </c>
      <c r="D308" s="188" t="s">
        <v>132</v>
      </c>
      <c r="E308" s="276" t="s">
        <v>613</v>
      </c>
      <c r="F308" s="188"/>
      <c r="G308" s="188"/>
      <c r="H308" s="188"/>
      <c r="I308" s="188"/>
      <c r="J308" s="188"/>
      <c r="K308" s="188"/>
      <c r="L308" s="188"/>
      <c r="M308" s="188"/>
      <c r="N308" s="188"/>
      <c r="O308" s="188"/>
      <c r="P308" s="188"/>
      <c r="Q308" s="188"/>
      <c r="R308" s="188"/>
      <c r="S308" s="188"/>
      <c r="T308" s="188"/>
      <c r="U308" s="208"/>
      <c r="V308" s="250"/>
      <c r="W308" s="250"/>
      <c r="X308" s="250"/>
      <c r="Y308" s="203"/>
      <c r="Z308" s="280">
        <f>Z309</f>
        <v>8207449.4399999995</v>
      </c>
      <c r="AA308" s="253">
        <v>0</v>
      </c>
      <c r="AB308" s="253">
        <v>0</v>
      </c>
      <c r="AC308" s="504"/>
      <c r="AD308" s="503"/>
    </row>
    <row r="309" spans="1:30" ht="19.5" customHeight="1" x14ac:dyDescent="0.3">
      <c r="A309" s="402" t="s">
        <v>918</v>
      </c>
      <c r="B309" s="188" t="s">
        <v>16</v>
      </c>
      <c r="C309" s="188" t="s">
        <v>124</v>
      </c>
      <c r="D309" s="188" t="s">
        <v>132</v>
      </c>
      <c r="E309" s="276" t="s">
        <v>613</v>
      </c>
      <c r="F309" s="188"/>
      <c r="G309" s="188"/>
      <c r="H309" s="188"/>
      <c r="I309" s="188"/>
      <c r="J309" s="188"/>
      <c r="K309" s="188"/>
      <c r="L309" s="188"/>
      <c r="M309" s="188"/>
      <c r="N309" s="188"/>
      <c r="O309" s="188"/>
      <c r="P309" s="188"/>
      <c r="Q309" s="188"/>
      <c r="R309" s="188"/>
      <c r="S309" s="188"/>
      <c r="T309" s="188" t="s">
        <v>443</v>
      </c>
      <c r="U309" s="208"/>
      <c r="V309" s="250"/>
      <c r="W309" s="250"/>
      <c r="X309" s="250"/>
      <c r="Y309" s="203"/>
      <c r="Z309" s="280">
        <f>Z311+Z313+Z314+Z316+Z312+Z315</f>
        <v>8207449.4399999995</v>
      </c>
      <c r="AA309" s="253">
        <v>0</v>
      </c>
      <c r="AB309" s="253">
        <v>0</v>
      </c>
      <c r="AC309" s="504"/>
      <c r="AD309" s="503"/>
    </row>
    <row r="310" spans="1:30" ht="18.75" customHeight="1" x14ac:dyDescent="0.3">
      <c r="A310" s="402" t="s">
        <v>109</v>
      </c>
      <c r="B310" s="188"/>
      <c r="C310" s="188"/>
      <c r="D310" s="188"/>
      <c r="E310" s="276"/>
      <c r="F310" s="188"/>
      <c r="G310" s="188"/>
      <c r="H310" s="188"/>
      <c r="I310" s="188"/>
      <c r="J310" s="188"/>
      <c r="K310" s="188"/>
      <c r="L310" s="188"/>
      <c r="M310" s="188"/>
      <c r="N310" s="188"/>
      <c r="O310" s="188"/>
      <c r="P310" s="188"/>
      <c r="Q310" s="188"/>
      <c r="R310" s="188"/>
      <c r="S310" s="188"/>
      <c r="T310" s="188"/>
      <c r="U310" s="208"/>
      <c r="V310" s="250"/>
      <c r="W310" s="250"/>
      <c r="X310" s="250"/>
      <c r="Y310" s="203"/>
      <c r="Z310" s="280"/>
      <c r="AA310" s="253"/>
      <c r="AB310" s="253"/>
      <c r="AC310" s="504"/>
      <c r="AD310" s="503"/>
    </row>
    <row r="311" spans="1:30" ht="17.25" customHeight="1" x14ac:dyDescent="0.3">
      <c r="A311" s="402" t="s">
        <v>919</v>
      </c>
      <c r="B311" s="188" t="s">
        <v>16</v>
      </c>
      <c r="C311" s="188" t="s">
        <v>124</v>
      </c>
      <c r="D311" s="188" t="s">
        <v>132</v>
      </c>
      <c r="E311" s="276" t="s">
        <v>613</v>
      </c>
      <c r="F311" s="188"/>
      <c r="G311" s="188"/>
      <c r="H311" s="188"/>
      <c r="I311" s="188"/>
      <c r="J311" s="188"/>
      <c r="K311" s="188"/>
      <c r="L311" s="188"/>
      <c r="M311" s="188"/>
      <c r="N311" s="188"/>
      <c r="O311" s="188"/>
      <c r="P311" s="188"/>
      <c r="Q311" s="188"/>
      <c r="R311" s="188"/>
      <c r="S311" s="188"/>
      <c r="T311" s="188" t="s">
        <v>443</v>
      </c>
      <c r="U311" s="208"/>
      <c r="V311" s="250"/>
      <c r="W311" s="250"/>
      <c r="X311" s="250"/>
      <c r="Y311" s="203"/>
      <c r="Z311" s="280">
        <f>700000+685000+570000</f>
        <v>1955000</v>
      </c>
      <c r="AA311" s="253">
        <v>0</v>
      </c>
      <c r="AB311" s="253">
        <v>0</v>
      </c>
      <c r="AC311" s="504"/>
      <c r="AD311" s="503"/>
    </row>
    <row r="312" spans="1:30" ht="20.25" customHeight="1" x14ac:dyDescent="0.3">
      <c r="A312" s="402" t="s">
        <v>952</v>
      </c>
      <c r="B312" s="188" t="s">
        <v>16</v>
      </c>
      <c r="C312" s="188" t="s">
        <v>124</v>
      </c>
      <c r="D312" s="188" t="s">
        <v>132</v>
      </c>
      <c r="E312" s="276" t="s">
        <v>1044</v>
      </c>
      <c r="F312" s="188"/>
      <c r="G312" s="188"/>
      <c r="H312" s="188"/>
      <c r="I312" s="188"/>
      <c r="J312" s="188"/>
      <c r="K312" s="188"/>
      <c r="L312" s="188"/>
      <c r="M312" s="188"/>
      <c r="N312" s="188"/>
      <c r="O312" s="188"/>
      <c r="P312" s="188"/>
      <c r="Q312" s="188"/>
      <c r="R312" s="188"/>
      <c r="S312" s="188"/>
      <c r="T312" s="188" t="s">
        <v>443</v>
      </c>
      <c r="U312" s="208"/>
      <c r="V312" s="250"/>
      <c r="W312" s="250"/>
      <c r="X312" s="250"/>
      <c r="Y312" s="203"/>
      <c r="Z312" s="280">
        <v>2981161</v>
      </c>
      <c r="AA312" s="253">
        <v>0</v>
      </c>
      <c r="AB312" s="253">
        <v>0</v>
      </c>
      <c r="AC312" s="504"/>
      <c r="AD312" s="503"/>
    </row>
    <row r="313" spans="1:30" ht="17.25" customHeight="1" x14ac:dyDescent="0.3">
      <c r="A313" s="402" t="s">
        <v>949</v>
      </c>
      <c r="B313" s="188" t="s">
        <v>16</v>
      </c>
      <c r="C313" s="188" t="s">
        <v>124</v>
      </c>
      <c r="D313" s="188" t="s">
        <v>132</v>
      </c>
      <c r="E313" s="276" t="s">
        <v>613</v>
      </c>
      <c r="F313" s="188"/>
      <c r="G313" s="188"/>
      <c r="H313" s="188"/>
      <c r="I313" s="188"/>
      <c r="J313" s="188"/>
      <c r="K313" s="188"/>
      <c r="L313" s="188"/>
      <c r="M313" s="188"/>
      <c r="N313" s="188"/>
      <c r="O313" s="188"/>
      <c r="P313" s="188"/>
      <c r="Q313" s="188"/>
      <c r="R313" s="188"/>
      <c r="S313" s="188"/>
      <c r="T313" s="188" t="s">
        <v>443</v>
      </c>
      <c r="U313" s="208"/>
      <c r="V313" s="250"/>
      <c r="W313" s="250"/>
      <c r="X313" s="250"/>
      <c r="Y313" s="203"/>
      <c r="Z313" s="280">
        <v>79000</v>
      </c>
      <c r="AA313" s="253">
        <v>0</v>
      </c>
      <c r="AB313" s="253">
        <v>0</v>
      </c>
      <c r="AC313" s="504"/>
      <c r="AD313" s="503"/>
    </row>
    <row r="314" spans="1:30" ht="22.5" customHeight="1" x14ac:dyDescent="0.3">
      <c r="A314" s="402" t="s">
        <v>1234</v>
      </c>
      <c r="B314" s="188" t="s">
        <v>16</v>
      </c>
      <c r="C314" s="188" t="s">
        <v>124</v>
      </c>
      <c r="D314" s="188" t="s">
        <v>132</v>
      </c>
      <c r="E314" s="276" t="s">
        <v>613</v>
      </c>
      <c r="F314" s="188"/>
      <c r="G314" s="188"/>
      <c r="H314" s="188"/>
      <c r="I314" s="188"/>
      <c r="J314" s="188"/>
      <c r="K314" s="188"/>
      <c r="L314" s="188"/>
      <c r="M314" s="188"/>
      <c r="N314" s="188"/>
      <c r="O314" s="188"/>
      <c r="P314" s="188"/>
      <c r="Q314" s="188"/>
      <c r="R314" s="188"/>
      <c r="S314" s="188"/>
      <c r="T314" s="188" t="s">
        <v>443</v>
      </c>
      <c r="U314" s="208"/>
      <c r="V314" s="250"/>
      <c r="W314" s="250"/>
      <c r="X314" s="250"/>
      <c r="Y314" s="203"/>
      <c r="Z314" s="280">
        <f>700000+300000</f>
        <v>1000000</v>
      </c>
      <c r="AA314" s="253">
        <v>0</v>
      </c>
      <c r="AB314" s="253">
        <v>0</v>
      </c>
      <c r="AC314" s="504"/>
      <c r="AD314" s="503"/>
    </row>
    <row r="315" spans="1:30" ht="23.25" customHeight="1" x14ac:dyDescent="0.3">
      <c r="A315" s="402" t="s">
        <v>951</v>
      </c>
      <c r="B315" s="188" t="s">
        <v>16</v>
      </c>
      <c r="C315" s="188" t="s">
        <v>124</v>
      </c>
      <c r="D315" s="188" t="s">
        <v>132</v>
      </c>
      <c r="E315" s="276" t="s">
        <v>613</v>
      </c>
      <c r="F315" s="188"/>
      <c r="G315" s="188"/>
      <c r="H315" s="188"/>
      <c r="I315" s="188"/>
      <c r="J315" s="188"/>
      <c r="K315" s="188"/>
      <c r="L315" s="188"/>
      <c r="M315" s="188"/>
      <c r="N315" s="188"/>
      <c r="O315" s="188"/>
      <c r="P315" s="188"/>
      <c r="Q315" s="188"/>
      <c r="R315" s="188"/>
      <c r="S315" s="188"/>
      <c r="T315" s="188" t="s">
        <v>443</v>
      </c>
      <c r="U315" s="208"/>
      <c r="V315" s="250"/>
      <c r="W315" s="250"/>
      <c r="X315" s="250"/>
      <c r="Y315" s="203"/>
      <c r="Z315" s="280">
        <f>800000-43411.56</f>
        <v>756588.44</v>
      </c>
      <c r="AA315" s="253">
        <v>0</v>
      </c>
      <c r="AB315" s="253">
        <v>0</v>
      </c>
      <c r="AC315" s="504"/>
      <c r="AD315" s="503"/>
    </row>
    <row r="316" spans="1:30" ht="18.75" customHeight="1" x14ac:dyDescent="0.3">
      <c r="A316" s="402" t="s">
        <v>939</v>
      </c>
      <c r="B316" s="188" t="s">
        <v>16</v>
      </c>
      <c r="C316" s="188" t="s">
        <v>124</v>
      </c>
      <c r="D316" s="188" t="s">
        <v>132</v>
      </c>
      <c r="E316" s="276" t="s">
        <v>613</v>
      </c>
      <c r="F316" s="188"/>
      <c r="G316" s="188"/>
      <c r="H316" s="188"/>
      <c r="I316" s="188"/>
      <c r="J316" s="188"/>
      <c r="K316" s="188"/>
      <c r="L316" s="188"/>
      <c r="M316" s="188"/>
      <c r="N316" s="188"/>
      <c r="O316" s="188"/>
      <c r="P316" s="188"/>
      <c r="Q316" s="188"/>
      <c r="R316" s="188"/>
      <c r="S316" s="188"/>
      <c r="T316" s="188" t="s">
        <v>443</v>
      </c>
      <c r="U316" s="208"/>
      <c r="V316" s="250"/>
      <c r="W316" s="250"/>
      <c r="X316" s="250"/>
      <c r="Y316" s="203"/>
      <c r="Z316" s="280">
        <f>1085700+350000</f>
        <v>1435700</v>
      </c>
      <c r="AA316" s="253">
        <v>0</v>
      </c>
      <c r="AB316" s="253">
        <v>0</v>
      </c>
      <c r="AC316" s="504"/>
      <c r="AD316" s="503"/>
    </row>
    <row r="317" spans="1:30" ht="19.5" customHeight="1" x14ac:dyDescent="0.3">
      <c r="A317" s="441" t="s">
        <v>152</v>
      </c>
      <c r="B317" s="188" t="s">
        <v>16</v>
      </c>
      <c r="C317" s="188" t="s">
        <v>124</v>
      </c>
      <c r="D317" s="188" t="s">
        <v>123</v>
      </c>
      <c r="E317" s="276"/>
      <c r="F317" s="188"/>
      <c r="G317" s="188"/>
      <c r="H317" s="188"/>
      <c r="I317" s="188"/>
      <c r="J317" s="188"/>
      <c r="K317" s="188"/>
      <c r="L317" s="188"/>
      <c r="M317" s="188"/>
      <c r="N317" s="188"/>
      <c r="O317" s="188"/>
      <c r="P317" s="188"/>
      <c r="Q317" s="188"/>
      <c r="R317" s="188"/>
      <c r="S317" s="188"/>
      <c r="T317" s="188"/>
      <c r="U317" s="208"/>
      <c r="V317" s="250"/>
      <c r="W317" s="250"/>
      <c r="X317" s="250"/>
      <c r="Y317" s="203"/>
      <c r="Z317" s="280">
        <f>Z318+Z342+Z330</f>
        <v>2110136</v>
      </c>
      <c r="AA317" s="253">
        <v>0</v>
      </c>
      <c r="AB317" s="253">
        <v>0</v>
      </c>
      <c r="AC317" s="504"/>
      <c r="AD317" s="503"/>
    </row>
    <row r="318" spans="1:30" ht="116.25" customHeight="1" x14ac:dyDescent="0.3">
      <c r="A318" s="424" t="s">
        <v>944</v>
      </c>
      <c r="B318" s="188" t="s">
        <v>16</v>
      </c>
      <c r="C318" s="188" t="s">
        <v>124</v>
      </c>
      <c r="D318" s="188" t="s">
        <v>123</v>
      </c>
      <c r="E318" s="276" t="s">
        <v>616</v>
      </c>
      <c r="F318" s="188"/>
      <c r="G318" s="188"/>
      <c r="H318" s="188"/>
      <c r="I318" s="188"/>
      <c r="J318" s="188"/>
      <c r="K318" s="188"/>
      <c r="L318" s="188"/>
      <c r="M318" s="188"/>
      <c r="N318" s="188"/>
      <c r="O318" s="188"/>
      <c r="P318" s="188"/>
      <c r="Q318" s="188"/>
      <c r="R318" s="188"/>
      <c r="S318" s="188"/>
      <c r="T318" s="188"/>
      <c r="U318" s="208"/>
      <c r="V318" s="250"/>
      <c r="W318" s="250"/>
      <c r="X318" s="250"/>
      <c r="Y318" s="203"/>
      <c r="Z318" s="280">
        <f>Z319</f>
        <v>820136</v>
      </c>
      <c r="AA318" s="253">
        <v>0</v>
      </c>
      <c r="AB318" s="253">
        <v>0</v>
      </c>
      <c r="AC318" s="504"/>
      <c r="AD318" s="503"/>
    </row>
    <row r="319" spans="1:30" ht="18.75" customHeight="1" x14ac:dyDescent="0.3">
      <c r="A319" s="402" t="s">
        <v>918</v>
      </c>
      <c r="B319" s="188" t="s">
        <v>16</v>
      </c>
      <c r="C319" s="188" t="s">
        <v>124</v>
      </c>
      <c r="D319" s="188" t="s">
        <v>123</v>
      </c>
      <c r="E319" s="276" t="s">
        <v>616</v>
      </c>
      <c r="F319" s="188"/>
      <c r="G319" s="188"/>
      <c r="H319" s="188"/>
      <c r="I319" s="188"/>
      <c r="J319" s="188"/>
      <c r="K319" s="188"/>
      <c r="L319" s="188"/>
      <c r="M319" s="188"/>
      <c r="N319" s="188"/>
      <c r="O319" s="188"/>
      <c r="P319" s="188"/>
      <c r="Q319" s="188"/>
      <c r="R319" s="188"/>
      <c r="S319" s="188"/>
      <c r="T319" s="188" t="s">
        <v>443</v>
      </c>
      <c r="U319" s="208"/>
      <c r="V319" s="250"/>
      <c r="W319" s="250"/>
      <c r="X319" s="250"/>
      <c r="Y319" s="203"/>
      <c r="Z319" s="280">
        <f>Z321+Z322+Z323+Z324+Z325+Z326+Z327+Z328+Z329</f>
        <v>820136</v>
      </c>
      <c r="AA319" s="253">
        <v>0</v>
      </c>
      <c r="AB319" s="253">
        <v>0</v>
      </c>
      <c r="AC319" s="504"/>
      <c r="AD319" s="503"/>
    </row>
    <row r="320" spans="1:30" ht="18.75" x14ac:dyDescent="0.3">
      <c r="A320" s="402" t="s">
        <v>109</v>
      </c>
      <c r="B320" s="188"/>
      <c r="C320" s="188"/>
      <c r="D320" s="188"/>
      <c r="E320" s="276"/>
      <c r="F320" s="188"/>
      <c r="G320" s="188"/>
      <c r="H320" s="188"/>
      <c r="I320" s="188"/>
      <c r="J320" s="188"/>
      <c r="K320" s="188"/>
      <c r="L320" s="188"/>
      <c r="M320" s="188"/>
      <c r="N320" s="188"/>
      <c r="O320" s="188"/>
      <c r="P320" s="188"/>
      <c r="Q320" s="188"/>
      <c r="R320" s="188"/>
      <c r="S320" s="188"/>
      <c r="T320" s="188"/>
      <c r="U320" s="208"/>
      <c r="V320" s="250"/>
      <c r="W320" s="250"/>
      <c r="X320" s="250"/>
      <c r="Y320" s="203"/>
      <c r="Z320" s="280"/>
      <c r="AA320" s="253"/>
      <c r="AB320" s="253"/>
      <c r="AC320" s="504"/>
      <c r="AD320" s="503"/>
    </row>
    <row r="321" spans="1:30" ht="22.5" customHeight="1" x14ac:dyDescent="0.3">
      <c r="A321" s="439" t="s">
        <v>919</v>
      </c>
      <c r="B321" s="188" t="s">
        <v>16</v>
      </c>
      <c r="C321" s="188" t="s">
        <v>124</v>
      </c>
      <c r="D321" s="188" t="s">
        <v>123</v>
      </c>
      <c r="E321" s="276" t="s">
        <v>616</v>
      </c>
      <c r="F321" s="188"/>
      <c r="G321" s="188"/>
      <c r="H321" s="188"/>
      <c r="I321" s="188"/>
      <c r="J321" s="188"/>
      <c r="K321" s="188"/>
      <c r="L321" s="188"/>
      <c r="M321" s="188"/>
      <c r="N321" s="188"/>
      <c r="O321" s="188"/>
      <c r="P321" s="188"/>
      <c r="Q321" s="188"/>
      <c r="R321" s="188"/>
      <c r="S321" s="188"/>
      <c r="T321" s="188" t="s">
        <v>443</v>
      </c>
      <c r="U321" s="208"/>
      <c r="V321" s="250"/>
      <c r="W321" s="250"/>
      <c r="X321" s="250"/>
      <c r="Y321" s="203"/>
      <c r="Z321" s="280">
        <f>148853+100000</f>
        <v>248853</v>
      </c>
      <c r="AA321" s="253">
        <v>0</v>
      </c>
      <c r="AB321" s="253">
        <v>0</v>
      </c>
      <c r="AC321" s="504"/>
      <c r="AD321" s="503"/>
    </row>
    <row r="322" spans="1:30" ht="22.5" customHeight="1" x14ac:dyDescent="0.3">
      <c r="A322" s="439" t="s">
        <v>945</v>
      </c>
      <c r="B322" s="188" t="s">
        <v>16</v>
      </c>
      <c r="C322" s="188" t="s">
        <v>124</v>
      </c>
      <c r="D322" s="188" t="s">
        <v>123</v>
      </c>
      <c r="E322" s="276" t="s">
        <v>616</v>
      </c>
      <c r="F322" s="188"/>
      <c r="G322" s="188"/>
      <c r="H322" s="188"/>
      <c r="I322" s="188"/>
      <c r="J322" s="188"/>
      <c r="K322" s="188"/>
      <c r="L322" s="188"/>
      <c r="M322" s="188"/>
      <c r="N322" s="188"/>
      <c r="O322" s="188"/>
      <c r="P322" s="188"/>
      <c r="Q322" s="188"/>
      <c r="R322" s="188"/>
      <c r="S322" s="188"/>
      <c r="T322" s="188" t="s">
        <v>443</v>
      </c>
      <c r="U322" s="208"/>
      <c r="V322" s="250"/>
      <c r="W322" s="250"/>
      <c r="X322" s="250"/>
      <c r="Y322" s="203"/>
      <c r="Z322" s="280">
        <f>98322+200000</f>
        <v>298322</v>
      </c>
      <c r="AA322" s="253">
        <v>0</v>
      </c>
      <c r="AB322" s="253">
        <v>0</v>
      </c>
      <c r="AC322" s="504"/>
      <c r="AD322" s="503"/>
    </row>
    <row r="323" spans="1:30" ht="22.5" customHeight="1" x14ac:dyDescent="0.3">
      <c r="A323" s="439" t="s">
        <v>946</v>
      </c>
      <c r="B323" s="188" t="s">
        <v>16</v>
      </c>
      <c r="C323" s="188" t="s">
        <v>124</v>
      </c>
      <c r="D323" s="188" t="s">
        <v>123</v>
      </c>
      <c r="E323" s="276" t="s">
        <v>616</v>
      </c>
      <c r="F323" s="188"/>
      <c r="G323" s="188"/>
      <c r="H323" s="188"/>
      <c r="I323" s="188"/>
      <c r="J323" s="188"/>
      <c r="K323" s="188"/>
      <c r="L323" s="188"/>
      <c r="M323" s="188"/>
      <c r="N323" s="188"/>
      <c r="O323" s="188"/>
      <c r="P323" s="188"/>
      <c r="Q323" s="188"/>
      <c r="R323" s="188"/>
      <c r="S323" s="188"/>
      <c r="T323" s="188" t="s">
        <v>443</v>
      </c>
      <c r="U323" s="208"/>
      <c r="V323" s="250"/>
      <c r="W323" s="250"/>
      <c r="X323" s="250"/>
      <c r="Y323" s="203"/>
      <c r="Z323" s="280">
        <v>85417</v>
      </c>
      <c r="AA323" s="253">
        <v>0</v>
      </c>
      <c r="AB323" s="253">
        <v>0</v>
      </c>
      <c r="AC323" s="504"/>
      <c r="AD323" s="503"/>
    </row>
    <row r="324" spans="1:30" ht="21.75" customHeight="1" x14ac:dyDescent="0.3">
      <c r="A324" s="439" t="s">
        <v>947</v>
      </c>
      <c r="B324" s="188" t="s">
        <v>16</v>
      </c>
      <c r="C324" s="188" t="s">
        <v>124</v>
      </c>
      <c r="D324" s="188" t="s">
        <v>123</v>
      </c>
      <c r="E324" s="276" t="s">
        <v>616</v>
      </c>
      <c r="F324" s="188"/>
      <c r="G324" s="188"/>
      <c r="H324" s="188"/>
      <c r="I324" s="188"/>
      <c r="J324" s="188"/>
      <c r="K324" s="188"/>
      <c r="L324" s="188"/>
      <c r="M324" s="188"/>
      <c r="N324" s="188"/>
      <c r="O324" s="188"/>
      <c r="P324" s="188"/>
      <c r="Q324" s="188"/>
      <c r="R324" s="188"/>
      <c r="S324" s="188"/>
      <c r="T324" s="188" t="s">
        <v>443</v>
      </c>
      <c r="U324" s="208"/>
      <c r="V324" s="250"/>
      <c r="W324" s="250"/>
      <c r="X324" s="250"/>
      <c r="Y324" s="203"/>
      <c r="Z324" s="280">
        <v>11757</v>
      </c>
      <c r="AA324" s="253">
        <v>0</v>
      </c>
      <c r="AB324" s="253">
        <v>0</v>
      </c>
      <c r="AC324" s="504"/>
      <c r="AD324" s="503"/>
    </row>
    <row r="325" spans="1:30" ht="20.25" customHeight="1" x14ac:dyDescent="0.3">
      <c r="A325" s="439" t="s">
        <v>948</v>
      </c>
      <c r="B325" s="188" t="s">
        <v>16</v>
      </c>
      <c r="C325" s="188" t="s">
        <v>124</v>
      </c>
      <c r="D325" s="188" t="s">
        <v>123</v>
      </c>
      <c r="E325" s="276" t="s">
        <v>616</v>
      </c>
      <c r="F325" s="188"/>
      <c r="G325" s="188"/>
      <c r="H325" s="188"/>
      <c r="I325" s="188"/>
      <c r="J325" s="188"/>
      <c r="K325" s="188"/>
      <c r="L325" s="188"/>
      <c r="M325" s="188"/>
      <c r="N325" s="188"/>
      <c r="O325" s="188"/>
      <c r="P325" s="188"/>
      <c r="Q325" s="188"/>
      <c r="R325" s="188"/>
      <c r="S325" s="188"/>
      <c r="T325" s="188" t="s">
        <v>443</v>
      </c>
      <c r="U325" s="208"/>
      <c r="V325" s="250"/>
      <c r="W325" s="250"/>
      <c r="X325" s="250"/>
      <c r="Y325" s="203"/>
      <c r="Z325" s="280">
        <v>36755</v>
      </c>
      <c r="AA325" s="253">
        <v>0</v>
      </c>
      <c r="AB325" s="253">
        <v>0</v>
      </c>
      <c r="AC325" s="504"/>
      <c r="AD325" s="503"/>
    </row>
    <row r="326" spans="1:30" ht="20.25" customHeight="1" x14ac:dyDescent="0.3">
      <c r="A326" s="439" t="s">
        <v>949</v>
      </c>
      <c r="B326" s="188" t="s">
        <v>16</v>
      </c>
      <c r="C326" s="188" t="s">
        <v>124</v>
      </c>
      <c r="D326" s="188" t="s">
        <v>123</v>
      </c>
      <c r="E326" s="276" t="s">
        <v>616</v>
      </c>
      <c r="F326" s="188"/>
      <c r="G326" s="188"/>
      <c r="H326" s="188"/>
      <c r="I326" s="188"/>
      <c r="J326" s="188"/>
      <c r="K326" s="188"/>
      <c r="L326" s="188"/>
      <c r="M326" s="188"/>
      <c r="N326" s="188"/>
      <c r="O326" s="188"/>
      <c r="P326" s="188"/>
      <c r="Q326" s="188"/>
      <c r="R326" s="188"/>
      <c r="S326" s="188"/>
      <c r="T326" s="188" t="s">
        <v>443</v>
      </c>
      <c r="U326" s="208"/>
      <c r="V326" s="250"/>
      <c r="W326" s="250"/>
      <c r="X326" s="250"/>
      <c r="Y326" s="203"/>
      <c r="Z326" s="280">
        <v>46757</v>
      </c>
      <c r="AA326" s="253">
        <v>0</v>
      </c>
      <c r="AB326" s="253">
        <v>0</v>
      </c>
      <c r="AC326" s="504"/>
      <c r="AD326" s="503"/>
    </row>
    <row r="327" spans="1:30" ht="24" customHeight="1" x14ac:dyDescent="0.3">
      <c r="A327" s="439" t="s">
        <v>950</v>
      </c>
      <c r="B327" s="188" t="s">
        <v>16</v>
      </c>
      <c r="C327" s="188" t="s">
        <v>124</v>
      </c>
      <c r="D327" s="188" t="s">
        <v>123</v>
      </c>
      <c r="E327" s="276" t="s">
        <v>616</v>
      </c>
      <c r="F327" s="188"/>
      <c r="G327" s="188"/>
      <c r="H327" s="188"/>
      <c r="I327" s="188"/>
      <c r="J327" s="188"/>
      <c r="K327" s="188"/>
      <c r="L327" s="188"/>
      <c r="M327" s="188"/>
      <c r="N327" s="188"/>
      <c r="O327" s="188"/>
      <c r="P327" s="188"/>
      <c r="Q327" s="188"/>
      <c r="R327" s="188"/>
      <c r="S327" s="188"/>
      <c r="T327" s="188" t="s">
        <v>443</v>
      </c>
      <c r="U327" s="208"/>
      <c r="V327" s="250"/>
      <c r="W327" s="250"/>
      <c r="X327" s="250"/>
      <c r="Y327" s="203"/>
      <c r="Z327" s="280">
        <v>36205</v>
      </c>
      <c r="AA327" s="253">
        <v>0</v>
      </c>
      <c r="AB327" s="253">
        <v>0</v>
      </c>
      <c r="AC327" s="504"/>
      <c r="AD327" s="503"/>
    </row>
    <row r="328" spans="1:30" ht="21" customHeight="1" x14ac:dyDescent="0.3">
      <c r="A328" s="439" t="s">
        <v>951</v>
      </c>
      <c r="B328" s="188" t="s">
        <v>16</v>
      </c>
      <c r="C328" s="188" t="s">
        <v>124</v>
      </c>
      <c r="D328" s="188" t="s">
        <v>123</v>
      </c>
      <c r="E328" s="276" t="s">
        <v>616</v>
      </c>
      <c r="F328" s="188"/>
      <c r="G328" s="188"/>
      <c r="H328" s="188"/>
      <c r="I328" s="188"/>
      <c r="J328" s="188"/>
      <c r="K328" s="188"/>
      <c r="L328" s="188"/>
      <c r="M328" s="188"/>
      <c r="N328" s="188"/>
      <c r="O328" s="188"/>
      <c r="P328" s="188"/>
      <c r="Q328" s="188"/>
      <c r="R328" s="188"/>
      <c r="S328" s="188"/>
      <c r="T328" s="188" t="s">
        <v>443</v>
      </c>
      <c r="U328" s="208"/>
      <c r="V328" s="250"/>
      <c r="W328" s="250"/>
      <c r="X328" s="250"/>
      <c r="Y328" s="203"/>
      <c r="Z328" s="280">
        <v>56070</v>
      </c>
      <c r="AA328" s="253">
        <v>0</v>
      </c>
      <c r="AB328" s="253">
        <v>0</v>
      </c>
      <c r="AC328" s="504"/>
      <c r="AD328" s="503"/>
    </row>
    <row r="329" spans="1:30" ht="21" customHeight="1" x14ac:dyDescent="0.3">
      <c r="A329" s="439" t="s">
        <v>952</v>
      </c>
      <c r="B329" s="188" t="s">
        <v>16</v>
      </c>
      <c r="C329" s="188" t="s">
        <v>124</v>
      </c>
      <c r="D329" s="188" t="s">
        <v>123</v>
      </c>
      <c r="E329" s="276" t="s">
        <v>616</v>
      </c>
      <c r="F329" s="188"/>
      <c r="G329" s="188"/>
      <c r="H329" s="188"/>
      <c r="I329" s="188"/>
      <c r="J329" s="188"/>
      <c r="K329" s="188"/>
      <c r="L329" s="188"/>
      <c r="M329" s="188"/>
      <c r="N329" s="188"/>
      <c r="O329" s="188"/>
      <c r="P329" s="188"/>
      <c r="Q329" s="188"/>
      <c r="R329" s="188"/>
      <c r="S329" s="188"/>
      <c r="T329" s="188" t="s">
        <v>443</v>
      </c>
      <c r="U329" s="208"/>
      <c r="V329" s="250"/>
      <c r="W329" s="250"/>
      <c r="X329" s="250"/>
      <c r="Y329" s="203"/>
      <c r="Z329" s="280">
        <f>279864-279864</f>
        <v>0</v>
      </c>
      <c r="AA329" s="253">
        <v>0</v>
      </c>
      <c r="AB329" s="253">
        <v>0</v>
      </c>
      <c r="AC329" s="504"/>
      <c r="AD329" s="503"/>
    </row>
    <row r="330" spans="1:30" ht="67.5" customHeight="1" x14ac:dyDescent="0.3">
      <c r="A330" s="402" t="s">
        <v>617</v>
      </c>
      <c r="B330" s="188" t="s">
        <v>16</v>
      </c>
      <c r="C330" s="188" t="s">
        <v>124</v>
      </c>
      <c r="D330" s="188" t="s">
        <v>123</v>
      </c>
      <c r="E330" s="276"/>
      <c r="F330" s="188"/>
      <c r="G330" s="188"/>
      <c r="H330" s="188"/>
      <c r="I330" s="188"/>
      <c r="J330" s="188"/>
      <c r="K330" s="188"/>
      <c r="L330" s="188"/>
      <c r="M330" s="188"/>
      <c r="N330" s="188"/>
      <c r="O330" s="188"/>
      <c r="P330" s="188"/>
      <c r="Q330" s="188"/>
      <c r="R330" s="188"/>
      <c r="S330" s="188"/>
      <c r="T330" s="188"/>
      <c r="U330" s="208"/>
      <c r="V330" s="250"/>
      <c r="W330" s="250"/>
      <c r="X330" s="250"/>
      <c r="Y330" s="203"/>
      <c r="Z330" s="280">
        <f>Z333+Z334+Z335+Z336+Z337+Z338+Z339+Z340+Z341</f>
        <v>1010000</v>
      </c>
      <c r="AA330" s="253">
        <v>0</v>
      </c>
      <c r="AB330" s="253">
        <v>0</v>
      </c>
      <c r="AC330" s="504"/>
      <c r="AD330" s="503"/>
    </row>
    <row r="331" spans="1:30" ht="20.25" customHeight="1" x14ac:dyDescent="0.3">
      <c r="A331" s="402" t="s">
        <v>918</v>
      </c>
      <c r="B331" s="188" t="s">
        <v>16</v>
      </c>
      <c r="C331" s="188" t="s">
        <v>124</v>
      </c>
      <c r="D331" s="188" t="s">
        <v>123</v>
      </c>
      <c r="E331" s="276"/>
      <c r="F331" s="188"/>
      <c r="G331" s="188"/>
      <c r="H331" s="188"/>
      <c r="I331" s="188"/>
      <c r="J331" s="188"/>
      <c r="K331" s="188"/>
      <c r="L331" s="188"/>
      <c r="M331" s="188"/>
      <c r="N331" s="188"/>
      <c r="O331" s="188"/>
      <c r="P331" s="188"/>
      <c r="Q331" s="188"/>
      <c r="R331" s="188"/>
      <c r="S331" s="188"/>
      <c r="T331" s="188"/>
      <c r="U331" s="208"/>
      <c r="V331" s="250"/>
      <c r="W331" s="250"/>
      <c r="X331" s="250"/>
      <c r="Y331" s="203"/>
      <c r="Z331" s="280"/>
      <c r="AA331" s="253">
        <v>0</v>
      </c>
      <c r="AB331" s="253">
        <v>0</v>
      </c>
      <c r="AC331" s="504"/>
      <c r="AD331" s="503"/>
    </row>
    <row r="332" spans="1:30" ht="19.5" customHeight="1" x14ac:dyDescent="0.3">
      <c r="A332" s="402" t="s">
        <v>109</v>
      </c>
      <c r="B332" s="188"/>
      <c r="C332" s="188"/>
      <c r="D332" s="188"/>
      <c r="E332" s="276"/>
      <c r="F332" s="188"/>
      <c r="G332" s="188"/>
      <c r="H332" s="188"/>
      <c r="I332" s="188"/>
      <c r="J332" s="188"/>
      <c r="K332" s="188"/>
      <c r="L332" s="188"/>
      <c r="M332" s="188"/>
      <c r="N332" s="188"/>
      <c r="O332" s="188"/>
      <c r="P332" s="188"/>
      <c r="Q332" s="188"/>
      <c r="R332" s="188"/>
      <c r="S332" s="188"/>
      <c r="T332" s="188"/>
      <c r="U332" s="208"/>
      <c r="V332" s="250"/>
      <c r="W332" s="250"/>
      <c r="X332" s="250"/>
      <c r="Y332" s="203"/>
      <c r="Z332" s="280"/>
      <c r="AA332" s="253"/>
      <c r="AB332" s="253"/>
      <c r="AC332" s="504"/>
      <c r="AD332" s="503"/>
    </row>
    <row r="333" spans="1:30" ht="22.5" customHeight="1" x14ac:dyDescent="0.3">
      <c r="A333" s="439" t="s">
        <v>919</v>
      </c>
      <c r="B333" s="188" t="s">
        <v>16</v>
      </c>
      <c r="C333" s="188" t="s">
        <v>124</v>
      </c>
      <c r="D333" s="188" t="s">
        <v>123</v>
      </c>
      <c r="E333" s="276" t="s">
        <v>618</v>
      </c>
      <c r="F333" s="188"/>
      <c r="G333" s="188"/>
      <c r="H333" s="188"/>
      <c r="I333" s="188"/>
      <c r="J333" s="188"/>
      <c r="K333" s="188"/>
      <c r="L333" s="188"/>
      <c r="M333" s="188"/>
      <c r="N333" s="188"/>
      <c r="O333" s="188"/>
      <c r="P333" s="188"/>
      <c r="Q333" s="188"/>
      <c r="R333" s="188"/>
      <c r="S333" s="188"/>
      <c r="T333" s="188" t="s">
        <v>443</v>
      </c>
      <c r="U333" s="208"/>
      <c r="V333" s="250"/>
      <c r="W333" s="250"/>
      <c r="X333" s="250"/>
      <c r="Y333" s="203"/>
      <c r="Z333" s="280">
        <f>50000+60000</f>
        <v>110000</v>
      </c>
      <c r="AA333" s="253">
        <v>0</v>
      </c>
      <c r="AB333" s="253">
        <v>0</v>
      </c>
      <c r="AC333" s="504"/>
      <c r="AD333" s="503"/>
    </row>
    <row r="334" spans="1:30" ht="20.25" customHeight="1" x14ac:dyDescent="0.3">
      <c r="A334" s="439" t="s">
        <v>945</v>
      </c>
      <c r="B334" s="188" t="s">
        <v>16</v>
      </c>
      <c r="C334" s="188" t="s">
        <v>124</v>
      </c>
      <c r="D334" s="188" t="s">
        <v>123</v>
      </c>
      <c r="E334" s="276" t="s">
        <v>618</v>
      </c>
      <c r="F334" s="188"/>
      <c r="G334" s="188"/>
      <c r="H334" s="188"/>
      <c r="I334" s="188"/>
      <c r="J334" s="188"/>
      <c r="K334" s="188"/>
      <c r="L334" s="188"/>
      <c r="M334" s="188"/>
      <c r="N334" s="188"/>
      <c r="O334" s="188"/>
      <c r="P334" s="188"/>
      <c r="Q334" s="188"/>
      <c r="R334" s="188"/>
      <c r="S334" s="188"/>
      <c r="T334" s="188" t="s">
        <v>443</v>
      </c>
      <c r="U334" s="208"/>
      <c r="V334" s="250"/>
      <c r="W334" s="250"/>
      <c r="X334" s="250"/>
      <c r="Y334" s="203"/>
      <c r="Z334" s="280">
        <f>50000+100000</f>
        <v>150000</v>
      </c>
      <c r="AA334" s="253">
        <v>0</v>
      </c>
      <c r="AB334" s="253">
        <v>0</v>
      </c>
      <c r="AC334" s="504"/>
      <c r="AD334" s="503"/>
    </row>
    <row r="335" spans="1:30" ht="18.75" customHeight="1" x14ac:dyDescent="0.3">
      <c r="A335" s="439" t="s">
        <v>946</v>
      </c>
      <c r="B335" s="188" t="s">
        <v>16</v>
      </c>
      <c r="C335" s="188" t="s">
        <v>124</v>
      </c>
      <c r="D335" s="188" t="s">
        <v>123</v>
      </c>
      <c r="E335" s="276" t="s">
        <v>618</v>
      </c>
      <c r="F335" s="188"/>
      <c r="G335" s="188"/>
      <c r="H335" s="188"/>
      <c r="I335" s="188"/>
      <c r="J335" s="188"/>
      <c r="K335" s="188"/>
      <c r="L335" s="188"/>
      <c r="M335" s="188"/>
      <c r="N335" s="188"/>
      <c r="O335" s="188"/>
      <c r="P335" s="188"/>
      <c r="Q335" s="188"/>
      <c r="R335" s="188"/>
      <c r="S335" s="188"/>
      <c r="T335" s="188" t="s">
        <v>443</v>
      </c>
      <c r="U335" s="208"/>
      <c r="V335" s="250"/>
      <c r="W335" s="250"/>
      <c r="X335" s="250"/>
      <c r="Y335" s="203"/>
      <c r="Z335" s="280">
        <f>25000+100000</f>
        <v>125000</v>
      </c>
      <c r="AA335" s="253">
        <v>0</v>
      </c>
      <c r="AB335" s="253">
        <v>0</v>
      </c>
      <c r="AC335" s="504"/>
      <c r="AD335" s="503"/>
    </row>
    <row r="336" spans="1:30" ht="21" customHeight="1" x14ac:dyDescent="0.3">
      <c r="A336" s="439" t="s">
        <v>947</v>
      </c>
      <c r="B336" s="188" t="s">
        <v>16</v>
      </c>
      <c r="C336" s="188" t="s">
        <v>124</v>
      </c>
      <c r="D336" s="188" t="s">
        <v>123</v>
      </c>
      <c r="E336" s="276" t="s">
        <v>618</v>
      </c>
      <c r="F336" s="188"/>
      <c r="G336" s="188"/>
      <c r="H336" s="188"/>
      <c r="I336" s="188"/>
      <c r="J336" s="188"/>
      <c r="K336" s="188"/>
      <c r="L336" s="188"/>
      <c r="M336" s="188"/>
      <c r="N336" s="188"/>
      <c r="O336" s="188"/>
      <c r="P336" s="188"/>
      <c r="Q336" s="188"/>
      <c r="R336" s="188"/>
      <c r="S336" s="188"/>
      <c r="T336" s="188" t="s">
        <v>443</v>
      </c>
      <c r="U336" s="208"/>
      <c r="V336" s="250"/>
      <c r="W336" s="250"/>
      <c r="X336" s="250"/>
      <c r="Y336" s="203"/>
      <c r="Z336" s="280">
        <f>10000+40000</f>
        <v>50000</v>
      </c>
      <c r="AA336" s="253">
        <v>0</v>
      </c>
      <c r="AB336" s="253">
        <v>0</v>
      </c>
      <c r="AC336" s="504"/>
      <c r="AD336" s="503"/>
    </row>
    <row r="337" spans="1:30" ht="22.5" customHeight="1" x14ac:dyDescent="0.3">
      <c r="A337" s="439" t="s">
        <v>948</v>
      </c>
      <c r="B337" s="188" t="s">
        <v>16</v>
      </c>
      <c r="C337" s="188" t="s">
        <v>124</v>
      </c>
      <c r="D337" s="188" t="s">
        <v>123</v>
      </c>
      <c r="E337" s="276" t="s">
        <v>618</v>
      </c>
      <c r="F337" s="188"/>
      <c r="G337" s="188"/>
      <c r="H337" s="188"/>
      <c r="I337" s="188"/>
      <c r="J337" s="188"/>
      <c r="K337" s="188"/>
      <c r="L337" s="188"/>
      <c r="M337" s="188"/>
      <c r="N337" s="188"/>
      <c r="O337" s="188"/>
      <c r="P337" s="188"/>
      <c r="Q337" s="188"/>
      <c r="R337" s="188"/>
      <c r="S337" s="188"/>
      <c r="T337" s="188" t="s">
        <v>443</v>
      </c>
      <c r="U337" s="208"/>
      <c r="V337" s="250"/>
      <c r="W337" s="250"/>
      <c r="X337" s="250"/>
      <c r="Y337" s="203"/>
      <c r="Z337" s="280">
        <f>15000+70000</f>
        <v>85000</v>
      </c>
      <c r="AA337" s="253">
        <v>0</v>
      </c>
      <c r="AB337" s="253">
        <v>0</v>
      </c>
      <c r="AC337" s="504"/>
      <c r="AD337" s="503"/>
    </row>
    <row r="338" spans="1:30" ht="21" customHeight="1" x14ac:dyDescent="0.3">
      <c r="A338" s="439" t="s">
        <v>949</v>
      </c>
      <c r="B338" s="188" t="s">
        <v>16</v>
      </c>
      <c r="C338" s="188" t="s">
        <v>124</v>
      </c>
      <c r="D338" s="188" t="s">
        <v>123</v>
      </c>
      <c r="E338" s="276" t="s">
        <v>618</v>
      </c>
      <c r="F338" s="188"/>
      <c r="G338" s="188"/>
      <c r="H338" s="188"/>
      <c r="I338" s="188"/>
      <c r="J338" s="188"/>
      <c r="K338" s="188"/>
      <c r="L338" s="188"/>
      <c r="M338" s="188"/>
      <c r="N338" s="188"/>
      <c r="O338" s="188"/>
      <c r="P338" s="188"/>
      <c r="Q338" s="188"/>
      <c r="R338" s="188"/>
      <c r="S338" s="188"/>
      <c r="T338" s="188" t="s">
        <v>443</v>
      </c>
      <c r="U338" s="208"/>
      <c r="V338" s="250"/>
      <c r="W338" s="250"/>
      <c r="X338" s="250"/>
      <c r="Y338" s="203"/>
      <c r="Z338" s="280">
        <f>25000+50000</f>
        <v>75000</v>
      </c>
      <c r="AA338" s="253">
        <v>0</v>
      </c>
      <c r="AB338" s="253">
        <v>0</v>
      </c>
      <c r="AC338" s="504"/>
      <c r="AD338" s="503"/>
    </row>
    <row r="339" spans="1:30" ht="20.25" customHeight="1" x14ac:dyDescent="0.3">
      <c r="A339" s="439" t="s">
        <v>950</v>
      </c>
      <c r="B339" s="188" t="s">
        <v>16</v>
      </c>
      <c r="C339" s="188" t="s">
        <v>124</v>
      </c>
      <c r="D339" s="188" t="s">
        <v>123</v>
      </c>
      <c r="E339" s="276" t="s">
        <v>618</v>
      </c>
      <c r="F339" s="188"/>
      <c r="G339" s="188"/>
      <c r="H339" s="188"/>
      <c r="I339" s="188"/>
      <c r="J339" s="188"/>
      <c r="K339" s="188"/>
      <c r="L339" s="188"/>
      <c r="M339" s="188"/>
      <c r="N339" s="188"/>
      <c r="O339" s="188"/>
      <c r="P339" s="188"/>
      <c r="Q339" s="188"/>
      <c r="R339" s="188"/>
      <c r="S339" s="188"/>
      <c r="T339" s="188" t="s">
        <v>443</v>
      </c>
      <c r="U339" s="208"/>
      <c r="V339" s="250"/>
      <c r="W339" s="250"/>
      <c r="X339" s="250"/>
      <c r="Y339" s="203"/>
      <c r="Z339" s="280">
        <f>50000+50000</f>
        <v>100000</v>
      </c>
      <c r="AA339" s="253">
        <v>0</v>
      </c>
      <c r="AB339" s="253">
        <v>0</v>
      </c>
      <c r="AC339" s="504"/>
      <c r="AD339" s="503"/>
    </row>
    <row r="340" spans="1:30" ht="20.25" customHeight="1" x14ac:dyDescent="0.3">
      <c r="A340" s="439" t="s">
        <v>951</v>
      </c>
      <c r="B340" s="188" t="s">
        <v>16</v>
      </c>
      <c r="C340" s="188" t="s">
        <v>124</v>
      </c>
      <c r="D340" s="188" t="s">
        <v>123</v>
      </c>
      <c r="E340" s="276" t="s">
        <v>618</v>
      </c>
      <c r="F340" s="188"/>
      <c r="G340" s="188"/>
      <c r="H340" s="188"/>
      <c r="I340" s="188"/>
      <c r="J340" s="188"/>
      <c r="K340" s="188"/>
      <c r="L340" s="188"/>
      <c r="M340" s="188"/>
      <c r="N340" s="188"/>
      <c r="O340" s="188"/>
      <c r="P340" s="188"/>
      <c r="Q340" s="188"/>
      <c r="R340" s="188"/>
      <c r="S340" s="188"/>
      <c r="T340" s="188" t="s">
        <v>443</v>
      </c>
      <c r="U340" s="208"/>
      <c r="V340" s="250"/>
      <c r="W340" s="250"/>
      <c r="X340" s="250"/>
      <c r="Y340" s="203"/>
      <c r="Z340" s="280">
        <f>25000+40000</f>
        <v>65000</v>
      </c>
      <c r="AA340" s="253">
        <v>0</v>
      </c>
      <c r="AB340" s="253">
        <v>0</v>
      </c>
      <c r="AC340" s="504"/>
      <c r="AD340" s="503"/>
    </row>
    <row r="341" spans="1:30" ht="21" customHeight="1" x14ac:dyDescent="0.3">
      <c r="A341" s="439" t="s">
        <v>952</v>
      </c>
      <c r="B341" s="188" t="s">
        <v>16</v>
      </c>
      <c r="C341" s="188" t="s">
        <v>124</v>
      </c>
      <c r="D341" s="188" t="s">
        <v>123</v>
      </c>
      <c r="E341" s="276" t="s">
        <v>618</v>
      </c>
      <c r="F341" s="188"/>
      <c r="G341" s="188"/>
      <c r="H341" s="188"/>
      <c r="I341" s="188"/>
      <c r="J341" s="188"/>
      <c r="K341" s="188"/>
      <c r="L341" s="188"/>
      <c r="M341" s="188"/>
      <c r="N341" s="188"/>
      <c r="O341" s="188"/>
      <c r="P341" s="188"/>
      <c r="Q341" s="188"/>
      <c r="R341" s="188"/>
      <c r="S341" s="188"/>
      <c r="T341" s="188" t="s">
        <v>443</v>
      </c>
      <c r="U341" s="208"/>
      <c r="V341" s="250"/>
      <c r="W341" s="250"/>
      <c r="X341" s="250"/>
      <c r="Y341" s="203"/>
      <c r="Z341" s="280">
        <f>50000+200000</f>
        <v>250000</v>
      </c>
      <c r="AA341" s="253">
        <v>0</v>
      </c>
      <c r="AB341" s="253">
        <v>0</v>
      </c>
      <c r="AC341" s="504"/>
      <c r="AD341" s="503"/>
    </row>
    <row r="342" spans="1:30" ht="65.25" customHeight="1" x14ac:dyDescent="0.3">
      <c r="A342" s="402" t="s">
        <v>870</v>
      </c>
      <c r="B342" s="188" t="s">
        <v>16</v>
      </c>
      <c r="C342" s="188" t="s">
        <v>124</v>
      </c>
      <c r="D342" s="188" t="s">
        <v>123</v>
      </c>
      <c r="E342" s="276" t="s">
        <v>623</v>
      </c>
      <c r="F342" s="188"/>
      <c r="G342" s="188"/>
      <c r="H342" s="188"/>
      <c r="I342" s="188"/>
      <c r="J342" s="188"/>
      <c r="K342" s="188"/>
      <c r="L342" s="188"/>
      <c r="M342" s="188"/>
      <c r="N342" s="188"/>
      <c r="O342" s="188"/>
      <c r="P342" s="188"/>
      <c r="Q342" s="188"/>
      <c r="R342" s="188"/>
      <c r="S342" s="188"/>
      <c r="T342" s="188"/>
      <c r="U342" s="208"/>
      <c r="V342" s="250"/>
      <c r="W342" s="250"/>
      <c r="X342" s="250"/>
      <c r="Y342" s="203"/>
      <c r="Z342" s="280">
        <f>Z343</f>
        <v>280000</v>
      </c>
      <c r="AA342" s="253">
        <v>0</v>
      </c>
      <c r="AB342" s="253">
        <v>0</v>
      </c>
      <c r="AC342" s="504"/>
      <c r="AD342" s="503"/>
    </row>
    <row r="343" spans="1:30" ht="16.5" customHeight="1" x14ac:dyDescent="0.3">
      <c r="A343" s="402" t="s">
        <v>918</v>
      </c>
      <c r="B343" s="188" t="s">
        <v>16</v>
      </c>
      <c r="C343" s="188" t="s">
        <v>124</v>
      </c>
      <c r="D343" s="188" t="s">
        <v>123</v>
      </c>
      <c r="E343" s="276" t="s">
        <v>623</v>
      </c>
      <c r="F343" s="188"/>
      <c r="G343" s="188"/>
      <c r="H343" s="188"/>
      <c r="I343" s="188"/>
      <c r="J343" s="188"/>
      <c r="K343" s="188"/>
      <c r="L343" s="188"/>
      <c r="M343" s="188"/>
      <c r="N343" s="188"/>
      <c r="O343" s="188"/>
      <c r="P343" s="188"/>
      <c r="Q343" s="188"/>
      <c r="R343" s="188"/>
      <c r="S343" s="188"/>
      <c r="T343" s="188" t="s">
        <v>443</v>
      </c>
      <c r="U343" s="208"/>
      <c r="V343" s="250"/>
      <c r="W343" s="250"/>
      <c r="X343" s="250"/>
      <c r="Y343" s="203"/>
      <c r="Z343" s="280">
        <f>Z345</f>
        <v>280000</v>
      </c>
      <c r="AA343" s="253">
        <v>0</v>
      </c>
      <c r="AB343" s="253">
        <v>0</v>
      </c>
      <c r="AC343" s="504"/>
      <c r="AD343" s="503"/>
    </row>
    <row r="344" spans="1:30" ht="23.25" customHeight="1" x14ac:dyDescent="0.3">
      <c r="A344" s="402" t="s">
        <v>109</v>
      </c>
      <c r="B344" s="188"/>
      <c r="C344" s="188"/>
      <c r="D344" s="188"/>
      <c r="E344" s="276"/>
      <c r="F344" s="188"/>
      <c r="G344" s="188"/>
      <c r="H344" s="188"/>
      <c r="I344" s="188"/>
      <c r="J344" s="188"/>
      <c r="K344" s="188"/>
      <c r="L344" s="188"/>
      <c r="M344" s="188"/>
      <c r="N344" s="188"/>
      <c r="O344" s="188"/>
      <c r="P344" s="188"/>
      <c r="Q344" s="188"/>
      <c r="R344" s="188"/>
      <c r="S344" s="188"/>
      <c r="T344" s="188"/>
      <c r="U344" s="208"/>
      <c r="V344" s="250"/>
      <c r="W344" s="250"/>
      <c r="X344" s="250"/>
      <c r="Y344" s="203"/>
      <c r="Z344" s="280"/>
      <c r="AA344" s="253"/>
      <c r="AB344" s="253"/>
      <c r="AC344" s="504"/>
      <c r="AD344" s="503"/>
    </row>
    <row r="345" spans="1:30" ht="19.5" customHeight="1" x14ac:dyDescent="0.3">
      <c r="A345" s="439" t="s">
        <v>952</v>
      </c>
      <c r="B345" s="188" t="s">
        <v>16</v>
      </c>
      <c r="C345" s="188" t="s">
        <v>124</v>
      </c>
      <c r="D345" s="188" t="s">
        <v>123</v>
      </c>
      <c r="E345" s="276" t="s">
        <v>623</v>
      </c>
      <c r="F345" s="188"/>
      <c r="G345" s="188"/>
      <c r="H345" s="188"/>
      <c r="I345" s="188"/>
      <c r="J345" s="188"/>
      <c r="K345" s="188"/>
      <c r="L345" s="188"/>
      <c r="M345" s="188"/>
      <c r="N345" s="188"/>
      <c r="O345" s="188"/>
      <c r="P345" s="188"/>
      <c r="Q345" s="188"/>
      <c r="R345" s="188"/>
      <c r="S345" s="188"/>
      <c r="T345" s="188" t="s">
        <v>443</v>
      </c>
      <c r="U345" s="208"/>
      <c r="V345" s="250"/>
      <c r="W345" s="250"/>
      <c r="X345" s="250"/>
      <c r="Y345" s="203"/>
      <c r="Z345" s="280">
        <v>280000</v>
      </c>
      <c r="AA345" s="253">
        <v>0</v>
      </c>
      <c r="AB345" s="253">
        <v>0</v>
      </c>
      <c r="AC345" s="504"/>
      <c r="AD345" s="503"/>
    </row>
    <row r="346" spans="1:30" ht="15.75" customHeight="1" x14ac:dyDescent="0.3">
      <c r="A346" s="415" t="s">
        <v>395</v>
      </c>
      <c r="B346" s="188" t="s">
        <v>16</v>
      </c>
      <c r="C346" s="188" t="s">
        <v>126</v>
      </c>
      <c r="D346" s="188" t="s">
        <v>122</v>
      </c>
      <c r="E346" s="276"/>
      <c r="F346" s="188"/>
      <c r="G346" s="188"/>
      <c r="H346" s="188"/>
      <c r="I346" s="188"/>
      <c r="J346" s="188"/>
      <c r="K346" s="188"/>
      <c r="L346" s="188"/>
      <c r="M346" s="188"/>
      <c r="N346" s="188"/>
      <c r="O346" s="188"/>
      <c r="P346" s="188"/>
      <c r="Q346" s="188"/>
      <c r="R346" s="188"/>
      <c r="S346" s="188"/>
      <c r="T346" s="188"/>
      <c r="U346" s="208"/>
      <c r="V346" s="250"/>
      <c r="W346" s="250"/>
      <c r="X346" s="250"/>
      <c r="Y346" s="203"/>
      <c r="Z346" s="280">
        <f>Z347</f>
        <v>872473.59000000008</v>
      </c>
      <c r="AA346" s="253">
        <v>0</v>
      </c>
      <c r="AB346" s="253">
        <v>0</v>
      </c>
      <c r="AC346" s="504"/>
      <c r="AD346" s="503"/>
    </row>
    <row r="347" spans="1:30" ht="99.75" customHeight="1" x14ac:dyDescent="0.3">
      <c r="A347" s="402" t="s">
        <v>643</v>
      </c>
      <c r="B347" s="188" t="s">
        <v>16</v>
      </c>
      <c r="C347" s="188" t="s">
        <v>126</v>
      </c>
      <c r="D347" s="188" t="s">
        <v>122</v>
      </c>
      <c r="E347" s="276" t="s">
        <v>644</v>
      </c>
      <c r="F347" s="188"/>
      <c r="G347" s="188"/>
      <c r="H347" s="188"/>
      <c r="I347" s="188"/>
      <c r="J347" s="188"/>
      <c r="K347" s="188"/>
      <c r="L347" s="188"/>
      <c r="M347" s="188"/>
      <c r="N347" s="188"/>
      <c r="O347" s="188"/>
      <c r="P347" s="188"/>
      <c r="Q347" s="188"/>
      <c r="R347" s="188"/>
      <c r="S347" s="188"/>
      <c r="T347" s="188"/>
      <c r="U347" s="208"/>
      <c r="V347" s="250"/>
      <c r="W347" s="250"/>
      <c r="X347" s="250"/>
      <c r="Y347" s="203"/>
      <c r="Z347" s="280">
        <f>Z348</f>
        <v>872473.59000000008</v>
      </c>
      <c r="AA347" s="253">
        <v>0</v>
      </c>
      <c r="AB347" s="253">
        <v>0</v>
      </c>
      <c r="AC347" s="504"/>
      <c r="AD347" s="503"/>
    </row>
    <row r="348" spans="1:30" ht="19.5" customHeight="1" x14ac:dyDescent="0.3">
      <c r="A348" s="402" t="s">
        <v>918</v>
      </c>
      <c r="B348" s="188" t="s">
        <v>16</v>
      </c>
      <c r="C348" s="188" t="s">
        <v>126</v>
      </c>
      <c r="D348" s="188" t="s">
        <v>122</v>
      </c>
      <c r="E348" s="276" t="s">
        <v>644</v>
      </c>
      <c r="F348" s="188"/>
      <c r="G348" s="188"/>
      <c r="H348" s="188"/>
      <c r="I348" s="188"/>
      <c r="J348" s="188"/>
      <c r="K348" s="188"/>
      <c r="L348" s="188"/>
      <c r="M348" s="188"/>
      <c r="N348" s="188"/>
      <c r="O348" s="188"/>
      <c r="P348" s="188"/>
      <c r="Q348" s="188"/>
      <c r="R348" s="188"/>
      <c r="S348" s="188"/>
      <c r="T348" s="188" t="s">
        <v>443</v>
      </c>
      <c r="U348" s="208"/>
      <c r="V348" s="250"/>
      <c r="W348" s="250"/>
      <c r="X348" s="250"/>
      <c r="Y348" s="203"/>
      <c r="Z348" s="280">
        <f>Z350+Z351</f>
        <v>872473.59000000008</v>
      </c>
      <c r="AA348" s="253">
        <v>0</v>
      </c>
      <c r="AB348" s="253">
        <v>0</v>
      </c>
      <c r="AC348" s="504"/>
      <c r="AD348" s="503"/>
    </row>
    <row r="349" spans="1:30" ht="18.75" customHeight="1" x14ac:dyDescent="0.3">
      <c r="A349" s="402" t="s">
        <v>109</v>
      </c>
      <c r="B349" s="188"/>
      <c r="C349" s="188"/>
      <c r="D349" s="188"/>
      <c r="E349" s="276"/>
      <c r="F349" s="188"/>
      <c r="G349" s="188"/>
      <c r="H349" s="188"/>
      <c r="I349" s="188"/>
      <c r="J349" s="188"/>
      <c r="K349" s="188"/>
      <c r="L349" s="188"/>
      <c r="M349" s="188"/>
      <c r="N349" s="188"/>
      <c r="O349" s="188"/>
      <c r="P349" s="188"/>
      <c r="Q349" s="188"/>
      <c r="R349" s="188"/>
      <c r="S349" s="188"/>
      <c r="T349" s="188"/>
      <c r="U349" s="208"/>
      <c r="V349" s="250"/>
      <c r="W349" s="250"/>
      <c r="X349" s="250"/>
      <c r="Y349" s="203"/>
      <c r="Z349" s="280"/>
      <c r="AA349" s="253"/>
      <c r="AB349" s="253"/>
      <c r="AC349" s="504"/>
      <c r="AD349" s="503"/>
    </row>
    <row r="350" spans="1:30" ht="19.5" customHeight="1" x14ac:dyDescent="0.3">
      <c r="A350" s="439" t="s">
        <v>950</v>
      </c>
      <c r="B350" s="188" t="s">
        <v>16</v>
      </c>
      <c r="C350" s="188" t="s">
        <v>126</v>
      </c>
      <c r="D350" s="188" t="s">
        <v>122</v>
      </c>
      <c r="E350" s="276" t="s">
        <v>644</v>
      </c>
      <c r="F350" s="188"/>
      <c r="G350" s="188"/>
      <c r="H350" s="188"/>
      <c r="I350" s="188"/>
      <c r="J350" s="188"/>
      <c r="K350" s="188"/>
      <c r="L350" s="188"/>
      <c r="M350" s="188"/>
      <c r="N350" s="188"/>
      <c r="O350" s="188"/>
      <c r="P350" s="188"/>
      <c r="Q350" s="188"/>
      <c r="R350" s="188"/>
      <c r="S350" s="188"/>
      <c r="T350" s="188" t="s">
        <v>443</v>
      </c>
      <c r="U350" s="208"/>
      <c r="V350" s="250"/>
      <c r="W350" s="250"/>
      <c r="X350" s="250"/>
      <c r="Y350" s="203"/>
      <c r="Z350" s="280">
        <v>572490</v>
      </c>
      <c r="AA350" s="253">
        <v>0</v>
      </c>
      <c r="AB350" s="253">
        <v>0</v>
      </c>
      <c r="AC350" s="504"/>
      <c r="AD350" s="503"/>
    </row>
    <row r="351" spans="1:30" ht="18.75" customHeight="1" x14ac:dyDescent="0.3">
      <c r="A351" s="439" t="s">
        <v>949</v>
      </c>
      <c r="B351" s="188" t="s">
        <v>16</v>
      </c>
      <c r="C351" s="188" t="s">
        <v>126</v>
      </c>
      <c r="D351" s="188" t="s">
        <v>122</v>
      </c>
      <c r="E351" s="276" t="s">
        <v>644</v>
      </c>
      <c r="F351" s="188"/>
      <c r="G351" s="188"/>
      <c r="H351" s="188"/>
      <c r="I351" s="188"/>
      <c r="J351" s="188"/>
      <c r="K351" s="188"/>
      <c r="L351" s="188"/>
      <c r="M351" s="188"/>
      <c r="N351" s="188"/>
      <c r="O351" s="188"/>
      <c r="P351" s="188"/>
      <c r="Q351" s="188"/>
      <c r="R351" s="188"/>
      <c r="S351" s="188"/>
      <c r="T351" s="188" t="s">
        <v>443</v>
      </c>
      <c r="U351" s="208"/>
      <c r="V351" s="250"/>
      <c r="W351" s="250"/>
      <c r="X351" s="250"/>
      <c r="Y351" s="203"/>
      <c r="Z351" s="280">
        <v>299983.59000000003</v>
      </c>
      <c r="AA351" s="253">
        <v>0</v>
      </c>
      <c r="AB351" s="253">
        <v>0</v>
      </c>
      <c r="AC351" s="504"/>
      <c r="AD351" s="503"/>
    </row>
    <row r="352" spans="1:30" ht="37.5" customHeight="1" x14ac:dyDescent="0.3">
      <c r="A352" s="415" t="s">
        <v>835</v>
      </c>
      <c r="B352" s="207" t="s">
        <v>16</v>
      </c>
      <c r="C352" s="207" t="s">
        <v>131</v>
      </c>
      <c r="D352" s="207" t="s">
        <v>133</v>
      </c>
      <c r="E352" s="207"/>
      <c r="F352" s="207"/>
      <c r="G352" s="207"/>
      <c r="H352" s="207"/>
      <c r="I352" s="207"/>
      <c r="J352" s="207"/>
      <c r="K352" s="207"/>
      <c r="L352" s="207"/>
      <c r="M352" s="207"/>
      <c r="N352" s="207"/>
      <c r="O352" s="207"/>
      <c r="P352" s="207"/>
      <c r="Q352" s="207"/>
      <c r="R352" s="207"/>
      <c r="S352" s="207"/>
      <c r="T352" s="207"/>
      <c r="U352" s="207"/>
      <c r="V352" s="254"/>
      <c r="W352" s="254"/>
      <c r="X352" s="254"/>
      <c r="Y352" s="206" t="s">
        <v>440</v>
      </c>
      <c r="Z352" s="255">
        <f t="shared" ref="Z352:AB354" si="21">Z353</f>
        <v>18000000</v>
      </c>
      <c r="AA352" s="255">
        <f t="shared" si="21"/>
        <v>18000000</v>
      </c>
      <c r="AB352" s="255">
        <f t="shared" si="21"/>
        <v>18000000</v>
      </c>
      <c r="AC352" s="502" t="s">
        <v>440</v>
      </c>
      <c r="AD352" s="503"/>
    </row>
    <row r="353" spans="1:30" ht="34.5" customHeight="1" x14ac:dyDescent="0.3">
      <c r="A353" s="415" t="s">
        <v>169</v>
      </c>
      <c r="B353" s="207" t="s">
        <v>16</v>
      </c>
      <c r="C353" s="207" t="s">
        <v>131</v>
      </c>
      <c r="D353" s="207" t="s">
        <v>122</v>
      </c>
      <c r="E353" s="207"/>
      <c r="F353" s="207"/>
      <c r="G353" s="207"/>
      <c r="H353" s="207"/>
      <c r="I353" s="207"/>
      <c r="J353" s="207"/>
      <c r="K353" s="207"/>
      <c r="L353" s="207"/>
      <c r="M353" s="207"/>
      <c r="N353" s="207"/>
      <c r="O353" s="207"/>
      <c r="P353" s="207"/>
      <c r="Q353" s="207"/>
      <c r="R353" s="207"/>
      <c r="S353" s="207"/>
      <c r="T353" s="207"/>
      <c r="U353" s="207"/>
      <c r="V353" s="254"/>
      <c r="W353" s="254"/>
      <c r="X353" s="254"/>
      <c r="Y353" s="206" t="s">
        <v>169</v>
      </c>
      <c r="Z353" s="255">
        <f t="shared" si="21"/>
        <v>18000000</v>
      </c>
      <c r="AA353" s="255">
        <f t="shared" si="21"/>
        <v>18000000</v>
      </c>
      <c r="AB353" s="255">
        <f t="shared" si="21"/>
        <v>18000000</v>
      </c>
      <c r="AC353" s="502" t="s">
        <v>169</v>
      </c>
      <c r="AD353" s="503"/>
    </row>
    <row r="354" spans="1:30" ht="112.5" customHeight="1" x14ac:dyDescent="0.3">
      <c r="A354" s="405" t="s">
        <v>705</v>
      </c>
      <c r="B354" s="208" t="s">
        <v>16</v>
      </c>
      <c r="C354" s="208" t="s">
        <v>131</v>
      </c>
      <c r="D354" s="208" t="s">
        <v>122</v>
      </c>
      <c r="E354" s="208" t="s">
        <v>706</v>
      </c>
      <c r="F354" s="208"/>
      <c r="G354" s="208"/>
      <c r="H354" s="208"/>
      <c r="I354" s="208"/>
      <c r="J354" s="208"/>
      <c r="K354" s="208"/>
      <c r="L354" s="208"/>
      <c r="M354" s="208"/>
      <c r="N354" s="208"/>
      <c r="O354" s="208"/>
      <c r="P354" s="208"/>
      <c r="Q354" s="208"/>
      <c r="R354" s="208"/>
      <c r="S354" s="208"/>
      <c r="T354" s="208"/>
      <c r="U354" s="208"/>
      <c r="V354" s="250"/>
      <c r="W354" s="250"/>
      <c r="X354" s="250"/>
      <c r="Y354" s="205" t="s">
        <v>441</v>
      </c>
      <c r="Z354" s="280">
        <f t="shared" si="21"/>
        <v>18000000</v>
      </c>
      <c r="AA354" s="280">
        <f t="shared" si="21"/>
        <v>18000000</v>
      </c>
      <c r="AB354" s="280">
        <f t="shared" si="21"/>
        <v>18000000</v>
      </c>
      <c r="AC354" s="509" t="s">
        <v>441</v>
      </c>
      <c r="AD354" s="503"/>
    </row>
    <row r="355" spans="1:30" ht="49.5" customHeight="1" x14ac:dyDescent="0.3">
      <c r="A355" s="403" t="s">
        <v>707</v>
      </c>
      <c r="B355" s="185" t="s">
        <v>16</v>
      </c>
      <c r="C355" s="185" t="s">
        <v>131</v>
      </c>
      <c r="D355" s="185" t="s">
        <v>122</v>
      </c>
      <c r="E355" s="208" t="s">
        <v>706</v>
      </c>
      <c r="F355" s="185"/>
      <c r="G355" s="185"/>
      <c r="H355" s="185"/>
      <c r="I355" s="185"/>
      <c r="J355" s="185"/>
      <c r="K355" s="185"/>
      <c r="L355" s="185"/>
      <c r="M355" s="185"/>
      <c r="N355" s="185"/>
      <c r="O355" s="185"/>
      <c r="P355" s="185"/>
      <c r="Q355" s="185"/>
      <c r="R355" s="185"/>
      <c r="S355" s="185"/>
      <c r="T355" s="185" t="s">
        <v>443</v>
      </c>
      <c r="U355" s="185"/>
      <c r="V355" s="186"/>
      <c r="W355" s="186"/>
      <c r="X355" s="186"/>
      <c r="Y355" s="204" t="s">
        <v>442</v>
      </c>
      <c r="Z355" s="253">
        <v>18000000</v>
      </c>
      <c r="AA355" s="253">
        <v>18000000</v>
      </c>
      <c r="AB355" s="253">
        <v>18000000</v>
      </c>
      <c r="AC355" s="190" t="s">
        <v>442</v>
      </c>
      <c r="AD355" s="503"/>
    </row>
    <row r="356" spans="1:30" ht="33.75" customHeight="1" x14ac:dyDescent="0.3">
      <c r="A356" s="415" t="s">
        <v>836</v>
      </c>
      <c r="B356" s="207" t="s">
        <v>18</v>
      </c>
      <c r="C356" s="207"/>
      <c r="D356" s="207"/>
      <c r="E356" s="207"/>
      <c r="F356" s="207"/>
      <c r="G356" s="207"/>
      <c r="H356" s="207"/>
      <c r="I356" s="207"/>
      <c r="J356" s="207"/>
      <c r="K356" s="207"/>
      <c r="L356" s="207"/>
      <c r="M356" s="207"/>
      <c r="N356" s="207"/>
      <c r="O356" s="207"/>
      <c r="P356" s="207"/>
      <c r="Q356" s="207"/>
      <c r="R356" s="207"/>
      <c r="S356" s="207"/>
      <c r="T356" s="207"/>
      <c r="U356" s="207"/>
      <c r="V356" s="254"/>
      <c r="W356" s="254"/>
      <c r="X356" s="254"/>
      <c r="Y356" s="206" t="s">
        <v>444</v>
      </c>
      <c r="Z356" s="255">
        <f>Z357+Z422</f>
        <v>414430232.60000002</v>
      </c>
      <c r="AA356" s="255">
        <f>AA357+AA422</f>
        <v>406334539.33999997</v>
      </c>
      <c r="AB356" s="255">
        <f>AB357+AB422</f>
        <v>401076253.61000001</v>
      </c>
      <c r="AC356" s="502" t="s">
        <v>444</v>
      </c>
      <c r="AD356" s="503"/>
    </row>
    <row r="357" spans="1:30" ht="18.600000000000001" customHeight="1" x14ac:dyDescent="0.3">
      <c r="A357" s="415" t="s">
        <v>382</v>
      </c>
      <c r="B357" s="207" t="s">
        <v>18</v>
      </c>
      <c r="C357" s="207" t="s">
        <v>138</v>
      </c>
      <c r="D357" s="207" t="s">
        <v>133</v>
      </c>
      <c r="E357" s="207"/>
      <c r="F357" s="207"/>
      <c r="G357" s="207"/>
      <c r="H357" s="207"/>
      <c r="I357" s="207"/>
      <c r="J357" s="207"/>
      <c r="K357" s="207"/>
      <c r="L357" s="207"/>
      <c r="M357" s="207"/>
      <c r="N357" s="207"/>
      <c r="O357" s="207"/>
      <c r="P357" s="207"/>
      <c r="Q357" s="207"/>
      <c r="R357" s="207"/>
      <c r="S357" s="207"/>
      <c r="T357" s="207"/>
      <c r="U357" s="207"/>
      <c r="V357" s="254"/>
      <c r="W357" s="254"/>
      <c r="X357" s="254"/>
      <c r="Y357" s="206" t="s">
        <v>382</v>
      </c>
      <c r="Z357" s="255">
        <f>Z358+Z371+Z400+Z411</f>
        <v>383388357.63</v>
      </c>
      <c r="AA357" s="255">
        <f>AA358+AA371+AA400+AA411</f>
        <v>377979031.33999997</v>
      </c>
      <c r="AB357" s="255">
        <f>AB358+AB371+AB400+AB411</f>
        <v>372720745.61000001</v>
      </c>
      <c r="AC357" s="502" t="s">
        <v>382</v>
      </c>
      <c r="AD357" s="503"/>
    </row>
    <row r="358" spans="1:30" ht="18.600000000000001" customHeight="1" x14ac:dyDescent="0.3">
      <c r="A358" s="415" t="s">
        <v>155</v>
      </c>
      <c r="B358" s="207" t="s">
        <v>18</v>
      </c>
      <c r="C358" s="207" t="s">
        <v>138</v>
      </c>
      <c r="D358" s="207" t="s">
        <v>122</v>
      </c>
      <c r="E358" s="207"/>
      <c r="F358" s="207"/>
      <c r="G358" s="207"/>
      <c r="H358" s="207"/>
      <c r="I358" s="207"/>
      <c r="J358" s="207"/>
      <c r="K358" s="207"/>
      <c r="L358" s="207"/>
      <c r="M358" s="207"/>
      <c r="N358" s="207"/>
      <c r="O358" s="207"/>
      <c r="P358" s="207"/>
      <c r="Q358" s="207"/>
      <c r="R358" s="207"/>
      <c r="S358" s="207"/>
      <c r="T358" s="207"/>
      <c r="U358" s="207"/>
      <c r="V358" s="254"/>
      <c r="W358" s="254"/>
      <c r="X358" s="254"/>
      <c r="Y358" s="206" t="s">
        <v>155</v>
      </c>
      <c r="Z358" s="255">
        <f>Z359+Z363+Z365+Z367+Z369+Z361</f>
        <v>97408580.539999992</v>
      </c>
      <c r="AA358" s="255">
        <f>AA359+AA363+AA365+AA367+AA369</f>
        <v>94466256.439999998</v>
      </c>
      <c r="AB358" s="255">
        <f>AB359+AB363+AB365+AB367+AB369</f>
        <v>89808043.680000007</v>
      </c>
      <c r="AC358" s="502" t="s">
        <v>155</v>
      </c>
      <c r="AD358" s="503"/>
    </row>
    <row r="359" spans="1:30" ht="113.25" customHeight="1" x14ac:dyDescent="0.3">
      <c r="A359" s="508" t="s">
        <v>909</v>
      </c>
      <c r="B359" s="208" t="s">
        <v>18</v>
      </c>
      <c r="C359" s="208" t="s">
        <v>138</v>
      </c>
      <c r="D359" s="208" t="s">
        <v>122</v>
      </c>
      <c r="E359" s="208" t="s">
        <v>908</v>
      </c>
      <c r="F359" s="208"/>
      <c r="G359" s="208"/>
      <c r="H359" s="208"/>
      <c r="I359" s="208"/>
      <c r="J359" s="208"/>
      <c r="K359" s="208"/>
      <c r="L359" s="208"/>
      <c r="M359" s="208"/>
      <c r="N359" s="208"/>
      <c r="O359" s="208"/>
      <c r="P359" s="208"/>
      <c r="Q359" s="208"/>
      <c r="R359" s="208"/>
      <c r="S359" s="208"/>
      <c r="T359" s="208"/>
      <c r="U359" s="207"/>
      <c r="V359" s="254"/>
      <c r="W359" s="254"/>
      <c r="X359" s="254"/>
      <c r="Y359" s="206"/>
      <c r="Z359" s="280">
        <f>Z360</f>
        <v>75000</v>
      </c>
      <c r="AA359" s="280">
        <f>AA360</f>
        <v>500000</v>
      </c>
      <c r="AB359" s="280">
        <f>AB360</f>
        <v>500000</v>
      </c>
      <c r="AC359" s="502"/>
      <c r="AD359" s="503"/>
    </row>
    <row r="360" spans="1:30" ht="66" customHeight="1" x14ac:dyDescent="0.3">
      <c r="A360" s="400" t="s">
        <v>907</v>
      </c>
      <c r="B360" s="185" t="s">
        <v>18</v>
      </c>
      <c r="C360" s="185" t="s">
        <v>138</v>
      </c>
      <c r="D360" s="185" t="s">
        <v>122</v>
      </c>
      <c r="E360" s="208" t="s">
        <v>908</v>
      </c>
      <c r="F360" s="185"/>
      <c r="G360" s="185"/>
      <c r="H360" s="185"/>
      <c r="I360" s="185"/>
      <c r="J360" s="185"/>
      <c r="K360" s="185"/>
      <c r="L360" s="185"/>
      <c r="M360" s="185"/>
      <c r="N360" s="185"/>
      <c r="O360" s="185"/>
      <c r="P360" s="185"/>
      <c r="Q360" s="185"/>
      <c r="R360" s="185"/>
      <c r="S360" s="185"/>
      <c r="T360" s="185" t="s">
        <v>309</v>
      </c>
      <c r="U360" s="207"/>
      <c r="V360" s="254"/>
      <c r="W360" s="254"/>
      <c r="X360" s="254"/>
      <c r="Y360" s="206"/>
      <c r="Z360" s="280">
        <f>150000-100000+25000</f>
        <v>75000</v>
      </c>
      <c r="AA360" s="280">
        <v>500000</v>
      </c>
      <c r="AB360" s="280">
        <v>500000</v>
      </c>
      <c r="AC360" s="502"/>
      <c r="AD360" s="503"/>
    </row>
    <row r="361" spans="1:30" ht="95.25" customHeight="1" x14ac:dyDescent="0.3">
      <c r="A361" s="402" t="s">
        <v>930</v>
      </c>
      <c r="B361" s="208" t="s">
        <v>18</v>
      </c>
      <c r="C361" s="208" t="s">
        <v>138</v>
      </c>
      <c r="D361" s="208" t="s">
        <v>122</v>
      </c>
      <c r="E361" s="208" t="s">
        <v>931</v>
      </c>
      <c r="F361" s="208"/>
      <c r="G361" s="208"/>
      <c r="H361" s="208"/>
      <c r="I361" s="208"/>
      <c r="J361" s="208"/>
      <c r="K361" s="208"/>
      <c r="L361" s="208"/>
      <c r="M361" s="208"/>
      <c r="N361" s="208"/>
      <c r="O361" s="208"/>
      <c r="P361" s="208"/>
      <c r="Q361" s="208"/>
      <c r="R361" s="208"/>
      <c r="S361" s="208"/>
      <c r="T361" s="208"/>
      <c r="U361" s="207"/>
      <c r="V361" s="254"/>
      <c r="W361" s="254"/>
      <c r="X361" s="254"/>
      <c r="Y361" s="206"/>
      <c r="Z361" s="280">
        <f>Z362</f>
        <v>230419.99999999997</v>
      </c>
      <c r="AA361" s="280">
        <v>0</v>
      </c>
      <c r="AB361" s="280">
        <v>0</v>
      </c>
      <c r="AC361" s="502"/>
      <c r="AD361" s="503"/>
    </row>
    <row r="362" spans="1:30" ht="48.75" customHeight="1" x14ac:dyDescent="0.3">
      <c r="A362" s="400" t="s">
        <v>453</v>
      </c>
      <c r="B362" s="185" t="s">
        <v>18</v>
      </c>
      <c r="C362" s="185" t="s">
        <v>138</v>
      </c>
      <c r="D362" s="185" t="s">
        <v>122</v>
      </c>
      <c r="E362" s="208" t="s">
        <v>931</v>
      </c>
      <c r="F362" s="185"/>
      <c r="G362" s="185"/>
      <c r="H362" s="185"/>
      <c r="I362" s="185"/>
      <c r="J362" s="185"/>
      <c r="K362" s="185"/>
      <c r="L362" s="185"/>
      <c r="M362" s="185"/>
      <c r="N362" s="185"/>
      <c r="O362" s="185"/>
      <c r="P362" s="185"/>
      <c r="Q362" s="185"/>
      <c r="R362" s="185"/>
      <c r="S362" s="185"/>
      <c r="T362" s="185" t="s">
        <v>309</v>
      </c>
      <c r="U362" s="207"/>
      <c r="V362" s="254"/>
      <c r="W362" s="254"/>
      <c r="X362" s="254"/>
      <c r="Y362" s="206"/>
      <c r="Z362" s="280">
        <f>500000-132055.04-137524.96</f>
        <v>230419.99999999997</v>
      </c>
      <c r="AA362" s="280">
        <v>0</v>
      </c>
      <c r="AB362" s="280">
        <v>0</v>
      </c>
      <c r="AC362" s="502"/>
      <c r="AD362" s="503"/>
    </row>
    <row r="363" spans="1:30" ht="81" customHeight="1" x14ac:dyDescent="0.3">
      <c r="A363" s="402" t="s">
        <v>708</v>
      </c>
      <c r="B363" s="208" t="s">
        <v>18</v>
      </c>
      <c r="C363" s="208" t="s">
        <v>138</v>
      </c>
      <c r="D363" s="208" t="s">
        <v>122</v>
      </c>
      <c r="E363" s="208" t="s">
        <v>709</v>
      </c>
      <c r="F363" s="208"/>
      <c r="G363" s="208"/>
      <c r="H363" s="208"/>
      <c r="I363" s="208"/>
      <c r="J363" s="208"/>
      <c r="K363" s="208"/>
      <c r="L363" s="208"/>
      <c r="M363" s="208"/>
      <c r="N363" s="208"/>
      <c r="O363" s="208"/>
      <c r="P363" s="208"/>
      <c r="Q363" s="208"/>
      <c r="R363" s="208"/>
      <c r="S363" s="208"/>
      <c r="T363" s="208"/>
      <c r="U363" s="208"/>
      <c r="V363" s="250"/>
      <c r="W363" s="250"/>
      <c r="X363" s="250"/>
      <c r="Y363" s="203" t="s">
        <v>445</v>
      </c>
      <c r="Z363" s="280">
        <f>Z364</f>
        <v>49500247.439999998</v>
      </c>
      <c r="AA363" s="280">
        <f>AA364</f>
        <v>46268159.439999998</v>
      </c>
      <c r="AB363" s="280">
        <f>AB364</f>
        <v>45268159.439999998</v>
      </c>
      <c r="AC363" s="350" t="s">
        <v>445</v>
      </c>
      <c r="AD363" s="503"/>
    </row>
    <row r="364" spans="1:30" ht="64.5" customHeight="1" x14ac:dyDescent="0.3">
      <c r="A364" s="400" t="s">
        <v>446</v>
      </c>
      <c r="B364" s="185" t="s">
        <v>18</v>
      </c>
      <c r="C364" s="185" t="s">
        <v>138</v>
      </c>
      <c r="D364" s="185" t="s">
        <v>122</v>
      </c>
      <c r="E364" s="208" t="s">
        <v>709</v>
      </c>
      <c r="F364" s="185"/>
      <c r="G364" s="185"/>
      <c r="H364" s="185"/>
      <c r="I364" s="185"/>
      <c r="J364" s="185"/>
      <c r="K364" s="185"/>
      <c r="L364" s="185"/>
      <c r="M364" s="185"/>
      <c r="N364" s="185"/>
      <c r="O364" s="185"/>
      <c r="P364" s="185"/>
      <c r="Q364" s="185"/>
      <c r="R364" s="185"/>
      <c r="S364" s="185"/>
      <c r="T364" s="185" t="s">
        <v>309</v>
      </c>
      <c r="U364" s="185"/>
      <c r="V364" s="186"/>
      <c r="W364" s="186"/>
      <c r="X364" s="186"/>
      <c r="Y364" s="184" t="s">
        <v>446</v>
      </c>
      <c r="Z364" s="253">
        <f>45268159.44+3000000+1232088</f>
        <v>49500247.439999998</v>
      </c>
      <c r="AA364" s="253">
        <f>45268159.44+1000000</f>
        <v>46268159.439999998</v>
      </c>
      <c r="AB364" s="253">
        <v>45268159.439999998</v>
      </c>
      <c r="AC364" s="504" t="s">
        <v>446</v>
      </c>
      <c r="AD364" s="503"/>
    </row>
    <row r="365" spans="1:30" ht="65.25" customHeight="1" x14ac:dyDescent="0.3">
      <c r="A365" s="402" t="s">
        <v>710</v>
      </c>
      <c r="B365" s="208" t="s">
        <v>18</v>
      </c>
      <c r="C365" s="208" t="s">
        <v>138</v>
      </c>
      <c r="D365" s="208" t="s">
        <v>122</v>
      </c>
      <c r="E365" s="208" t="s">
        <v>711</v>
      </c>
      <c r="F365" s="208"/>
      <c r="G365" s="208"/>
      <c r="H365" s="208"/>
      <c r="I365" s="208"/>
      <c r="J365" s="208"/>
      <c r="K365" s="208"/>
      <c r="L365" s="208"/>
      <c r="M365" s="208"/>
      <c r="N365" s="208"/>
      <c r="O365" s="208"/>
      <c r="P365" s="208"/>
      <c r="Q365" s="208"/>
      <c r="R365" s="208"/>
      <c r="S365" s="208"/>
      <c r="T365" s="208"/>
      <c r="U365" s="208"/>
      <c r="V365" s="250"/>
      <c r="W365" s="250"/>
      <c r="X365" s="250"/>
      <c r="Y365" s="203" t="s">
        <v>447</v>
      </c>
      <c r="Z365" s="280">
        <f>Z366</f>
        <v>5238276</v>
      </c>
      <c r="AA365" s="280">
        <f>AA366</f>
        <v>5000000</v>
      </c>
      <c r="AB365" s="280">
        <f>AB366</f>
        <v>1341787.24</v>
      </c>
      <c r="AC365" s="350" t="s">
        <v>447</v>
      </c>
      <c r="AD365" s="503"/>
    </row>
    <row r="366" spans="1:30" ht="48.75" customHeight="1" x14ac:dyDescent="0.3">
      <c r="A366" s="400" t="s">
        <v>448</v>
      </c>
      <c r="B366" s="185" t="s">
        <v>18</v>
      </c>
      <c r="C366" s="185" t="s">
        <v>138</v>
      </c>
      <c r="D366" s="185" t="s">
        <v>122</v>
      </c>
      <c r="E366" s="208" t="s">
        <v>711</v>
      </c>
      <c r="F366" s="185"/>
      <c r="G366" s="185"/>
      <c r="H366" s="185"/>
      <c r="I366" s="185"/>
      <c r="J366" s="185"/>
      <c r="K366" s="185"/>
      <c r="L366" s="185"/>
      <c r="M366" s="185"/>
      <c r="N366" s="185"/>
      <c r="O366" s="185"/>
      <c r="P366" s="185"/>
      <c r="Q366" s="185"/>
      <c r="R366" s="185"/>
      <c r="S366" s="185"/>
      <c r="T366" s="185" t="s">
        <v>309</v>
      </c>
      <c r="U366" s="185"/>
      <c r="V366" s="186"/>
      <c r="W366" s="186"/>
      <c r="X366" s="186"/>
      <c r="Y366" s="184" t="s">
        <v>448</v>
      </c>
      <c r="Z366" s="253">
        <f>3200000+3000000+3000000-961724-3000000</f>
        <v>5238276</v>
      </c>
      <c r="AA366" s="253">
        <v>5000000</v>
      </c>
      <c r="AB366" s="253">
        <f>500000+841787.24</f>
        <v>1341787.24</v>
      </c>
      <c r="AC366" s="504" t="s">
        <v>448</v>
      </c>
      <c r="AD366" s="503"/>
    </row>
    <row r="367" spans="1:30" ht="176.25" customHeight="1" x14ac:dyDescent="0.3">
      <c r="A367" s="427" t="s">
        <v>890</v>
      </c>
      <c r="B367" s="210" t="s">
        <v>18</v>
      </c>
      <c r="C367" s="210" t="s">
        <v>138</v>
      </c>
      <c r="D367" s="210" t="s">
        <v>122</v>
      </c>
      <c r="E367" s="210" t="s">
        <v>824</v>
      </c>
      <c r="F367" s="208"/>
      <c r="G367" s="208"/>
      <c r="H367" s="208"/>
      <c r="I367" s="208"/>
      <c r="J367" s="208"/>
      <c r="K367" s="208"/>
      <c r="L367" s="208"/>
      <c r="M367" s="208"/>
      <c r="N367" s="208"/>
      <c r="O367" s="208"/>
      <c r="P367" s="208"/>
      <c r="Q367" s="208"/>
      <c r="R367" s="208"/>
      <c r="S367" s="208"/>
      <c r="T367" s="208"/>
      <c r="U367" s="208"/>
      <c r="V367" s="250"/>
      <c r="W367" s="250"/>
      <c r="X367" s="250"/>
      <c r="Y367" s="205" t="s">
        <v>235</v>
      </c>
      <c r="Z367" s="280">
        <f>Z368</f>
        <v>42364637.100000001</v>
      </c>
      <c r="AA367" s="280">
        <f>AA368</f>
        <v>42378097</v>
      </c>
      <c r="AB367" s="280">
        <f>AB368</f>
        <v>42378097</v>
      </c>
      <c r="AC367" s="509" t="s">
        <v>235</v>
      </c>
      <c r="AD367" s="503"/>
    </row>
    <row r="368" spans="1:30" ht="36" customHeight="1" thickBot="1" x14ac:dyDescent="0.35">
      <c r="A368" s="403" t="s">
        <v>827</v>
      </c>
      <c r="B368" s="185" t="s">
        <v>18</v>
      </c>
      <c r="C368" s="185" t="s">
        <v>138</v>
      </c>
      <c r="D368" s="185" t="s">
        <v>122</v>
      </c>
      <c r="E368" s="210" t="s">
        <v>824</v>
      </c>
      <c r="F368" s="185"/>
      <c r="G368" s="185"/>
      <c r="H368" s="185"/>
      <c r="I368" s="185"/>
      <c r="J368" s="185"/>
      <c r="K368" s="185"/>
      <c r="L368" s="185"/>
      <c r="M368" s="185"/>
      <c r="N368" s="185"/>
      <c r="O368" s="185"/>
      <c r="P368" s="185"/>
      <c r="Q368" s="185"/>
      <c r="R368" s="185"/>
      <c r="S368" s="185"/>
      <c r="T368" s="185" t="s">
        <v>309</v>
      </c>
      <c r="U368" s="185"/>
      <c r="V368" s="186"/>
      <c r="W368" s="186"/>
      <c r="X368" s="186"/>
      <c r="Y368" s="204" t="s">
        <v>449</v>
      </c>
      <c r="Z368" s="253">
        <f>42378097-13459.9</f>
        <v>42364637.100000001</v>
      </c>
      <c r="AA368" s="253">
        <v>42378097</v>
      </c>
      <c r="AB368" s="253">
        <v>42378097</v>
      </c>
      <c r="AC368" s="190" t="s">
        <v>449</v>
      </c>
      <c r="AD368" s="503"/>
    </row>
    <row r="369" spans="1:30" ht="67.5" customHeight="1" thickBot="1" x14ac:dyDescent="0.35">
      <c r="A369" s="428" t="s">
        <v>687</v>
      </c>
      <c r="B369" s="185" t="s">
        <v>18</v>
      </c>
      <c r="C369" s="185" t="s">
        <v>138</v>
      </c>
      <c r="D369" s="185" t="s">
        <v>122</v>
      </c>
      <c r="E369" s="208" t="s">
        <v>688</v>
      </c>
      <c r="F369" s="185"/>
      <c r="G369" s="185"/>
      <c r="H369" s="185"/>
      <c r="I369" s="185"/>
      <c r="J369" s="185"/>
      <c r="K369" s="185"/>
      <c r="L369" s="185"/>
      <c r="M369" s="185"/>
      <c r="N369" s="185"/>
      <c r="O369" s="185"/>
      <c r="P369" s="185"/>
      <c r="Q369" s="185"/>
      <c r="R369" s="185"/>
      <c r="S369" s="185"/>
      <c r="T369" s="185"/>
      <c r="U369" s="185"/>
      <c r="V369" s="186"/>
      <c r="W369" s="186"/>
      <c r="X369" s="186"/>
      <c r="Y369" s="204"/>
      <c r="Z369" s="253">
        <f>Z370</f>
        <v>0</v>
      </c>
      <c r="AA369" s="253">
        <f>AA370</f>
        <v>320000</v>
      </c>
      <c r="AB369" s="253">
        <f>AB370</f>
        <v>320000</v>
      </c>
      <c r="AC369" s="190"/>
      <c r="AD369" s="503"/>
    </row>
    <row r="370" spans="1:30" ht="82.5" customHeight="1" x14ac:dyDescent="0.3">
      <c r="A370" s="535" t="s">
        <v>875</v>
      </c>
      <c r="B370" s="262" t="s">
        <v>18</v>
      </c>
      <c r="C370" s="262" t="s">
        <v>138</v>
      </c>
      <c r="D370" s="262" t="s">
        <v>122</v>
      </c>
      <c r="E370" s="268" t="s">
        <v>688</v>
      </c>
      <c r="F370" s="262"/>
      <c r="G370" s="262"/>
      <c r="H370" s="262"/>
      <c r="I370" s="262"/>
      <c r="J370" s="262"/>
      <c r="K370" s="262"/>
      <c r="L370" s="262"/>
      <c r="M370" s="262"/>
      <c r="N370" s="262"/>
      <c r="O370" s="262"/>
      <c r="P370" s="262"/>
      <c r="Q370" s="262"/>
      <c r="R370" s="262"/>
      <c r="S370" s="262"/>
      <c r="T370" s="262" t="s">
        <v>309</v>
      </c>
      <c r="U370" s="262"/>
      <c r="V370" s="263"/>
      <c r="W370" s="263"/>
      <c r="X370" s="263"/>
      <c r="Y370" s="479"/>
      <c r="Z370" s="264">
        <f>320000-80000-7000-80000-153000</f>
        <v>0</v>
      </c>
      <c r="AA370" s="253">
        <v>320000</v>
      </c>
      <c r="AB370" s="253">
        <v>320000</v>
      </c>
      <c r="AC370" s="190"/>
      <c r="AD370" s="503"/>
    </row>
    <row r="371" spans="1:30" ht="18.600000000000001" customHeight="1" x14ac:dyDescent="0.3">
      <c r="A371" s="415" t="s">
        <v>156</v>
      </c>
      <c r="B371" s="207" t="s">
        <v>18</v>
      </c>
      <c r="C371" s="207" t="s">
        <v>138</v>
      </c>
      <c r="D371" s="207" t="s">
        <v>132</v>
      </c>
      <c r="E371" s="207"/>
      <c r="F371" s="207"/>
      <c r="G371" s="207"/>
      <c r="H371" s="207"/>
      <c r="I371" s="207"/>
      <c r="J371" s="207"/>
      <c r="K371" s="207"/>
      <c r="L371" s="207"/>
      <c r="M371" s="207"/>
      <c r="N371" s="207"/>
      <c r="O371" s="207"/>
      <c r="P371" s="207"/>
      <c r="Q371" s="207"/>
      <c r="R371" s="207"/>
      <c r="S371" s="207"/>
      <c r="T371" s="207"/>
      <c r="U371" s="207"/>
      <c r="V371" s="254"/>
      <c r="W371" s="254"/>
      <c r="X371" s="254"/>
      <c r="Y371" s="206" t="s">
        <v>156</v>
      </c>
      <c r="Z371" s="255">
        <f>Z372+Z376+Z378+Z380+Z382+Z384+Z386+Z388+Z390+Z392+Z394+Z396+Z398+Z374</f>
        <v>257537601.36999997</v>
      </c>
      <c r="AA371" s="255">
        <f>AA372+AA376+AA378+AA380+AA382+AA384+AA386+AA388+AA390+AA392+AA394+AA396+AA398</f>
        <v>252579280.69999999</v>
      </c>
      <c r="AB371" s="255">
        <f>AB372+AB376+AB378+AB380+AB382+AB384+AB386+AB388+AB390+AB392+AB394+AB396+AB398</f>
        <v>251897066.65000001</v>
      </c>
      <c r="AC371" s="502" t="s">
        <v>156</v>
      </c>
      <c r="AD371" s="503"/>
    </row>
    <row r="372" spans="1:30" ht="110.25" customHeight="1" x14ac:dyDescent="0.3">
      <c r="A372" s="508" t="s">
        <v>909</v>
      </c>
      <c r="B372" s="208" t="s">
        <v>18</v>
      </c>
      <c r="C372" s="208" t="s">
        <v>138</v>
      </c>
      <c r="D372" s="208" t="s">
        <v>132</v>
      </c>
      <c r="E372" s="208" t="s">
        <v>908</v>
      </c>
      <c r="F372" s="208"/>
      <c r="G372" s="208"/>
      <c r="H372" s="208"/>
      <c r="I372" s="208"/>
      <c r="J372" s="208"/>
      <c r="K372" s="208"/>
      <c r="L372" s="208"/>
      <c r="M372" s="208"/>
      <c r="N372" s="208"/>
      <c r="O372" s="208"/>
      <c r="P372" s="208"/>
      <c r="Q372" s="208"/>
      <c r="R372" s="208"/>
      <c r="S372" s="208"/>
      <c r="T372" s="208"/>
      <c r="U372" s="208"/>
      <c r="V372" s="250"/>
      <c r="W372" s="250"/>
      <c r="X372" s="250"/>
      <c r="Y372" s="203" t="s">
        <v>452</v>
      </c>
      <c r="Z372" s="280">
        <f>Z373</f>
        <v>300600</v>
      </c>
      <c r="AA372" s="280">
        <f>AA373</f>
        <v>50000</v>
      </c>
      <c r="AB372" s="280">
        <f>AB373</f>
        <v>50000</v>
      </c>
      <c r="AC372" s="350" t="s">
        <v>452</v>
      </c>
      <c r="AD372" s="503"/>
    </row>
    <row r="373" spans="1:30" ht="68.25" customHeight="1" x14ac:dyDescent="0.3">
      <c r="A373" s="400" t="s">
        <v>907</v>
      </c>
      <c r="B373" s="185" t="s">
        <v>18</v>
      </c>
      <c r="C373" s="185" t="s">
        <v>138</v>
      </c>
      <c r="D373" s="185" t="s">
        <v>132</v>
      </c>
      <c r="E373" s="208" t="s">
        <v>908</v>
      </c>
      <c r="F373" s="185"/>
      <c r="G373" s="185"/>
      <c r="H373" s="185"/>
      <c r="I373" s="185"/>
      <c r="J373" s="185"/>
      <c r="K373" s="185"/>
      <c r="L373" s="185"/>
      <c r="M373" s="185"/>
      <c r="N373" s="185"/>
      <c r="O373" s="185"/>
      <c r="P373" s="185"/>
      <c r="Q373" s="185"/>
      <c r="R373" s="185"/>
      <c r="S373" s="185"/>
      <c r="T373" s="185" t="s">
        <v>309</v>
      </c>
      <c r="U373" s="185"/>
      <c r="V373" s="186"/>
      <c r="W373" s="186"/>
      <c r="X373" s="186"/>
      <c r="Y373" s="184" t="s">
        <v>453</v>
      </c>
      <c r="Z373" s="253">
        <f>500000-199400</f>
        <v>300600</v>
      </c>
      <c r="AA373" s="253">
        <v>50000</v>
      </c>
      <c r="AB373" s="253">
        <v>50000</v>
      </c>
      <c r="AC373" s="504" t="s">
        <v>453</v>
      </c>
      <c r="AD373" s="503"/>
    </row>
    <row r="374" spans="1:30" ht="97.5" customHeight="1" x14ac:dyDescent="0.3">
      <c r="A374" s="402" t="s">
        <v>930</v>
      </c>
      <c r="B374" s="208" t="s">
        <v>18</v>
      </c>
      <c r="C374" s="208" t="s">
        <v>138</v>
      </c>
      <c r="D374" s="208" t="s">
        <v>132</v>
      </c>
      <c r="E374" s="208" t="s">
        <v>931</v>
      </c>
      <c r="F374" s="208"/>
      <c r="G374" s="208"/>
      <c r="H374" s="208"/>
      <c r="I374" s="208"/>
      <c r="J374" s="208"/>
      <c r="K374" s="208"/>
      <c r="L374" s="208"/>
      <c r="M374" s="208"/>
      <c r="N374" s="208"/>
      <c r="O374" s="208"/>
      <c r="P374" s="208"/>
      <c r="Q374" s="208"/>
      <c r="R374" s="208"/>
      <c r="S374" s="208"/>
      <c r="T374" s="208"/>
      <c r="U374" s="185"/>
      <c r="V374" s="186"/>
      <c r="W374" s="186"/>
      <c r="X374" s="186"/>
      <c r="Y374" s="184"/>
      <c r="Z374" s="253">
        <f>Z375</f>
        <v>1838903.9200000002</v>
      </c>
      <c r="AA374" s="253">
        <v>0</v>
      </c>
      <c r="AB374" s="253">
        <v>0</v>
      </c>
      <c r="AC374" s="504"/>
      <c r="AD374" s="503"/>
    </row>
    <row r="375" spans="1:30" ht="49.5" customHeight="1" x14ac:dyDescent="0.3">
      <c r="A375" s="400" t="s">
        <v>453</v>
      </c>
      <c r="B375" s="185" t="s">
        <v>18</v>
      </c>
      <c r="C375" s="185" t="s">
        <v>138</v>
      </c>
      <c r="D375" s="185" t="s">
        <v>132</v>
      </c>
      <c r="E375" s="208" t="s">
        <v>931</v>
      </c>
      <c r="F375" s="185"/>
      <c r="G375" s="185"/>
      <c r="H375" s="185"/>
      <c r="I375" s="185"/>
      <c r="J375" s="185"/>
      <c r="K375" s="185"/>
      <c r="L375" s="185"/>
      <c r="M375" s="185"/>
      <c r="N375" s="185"/>
      <c r="O375" s="185"/>
      <c r="P375" s="185"/>
      <c r="Q375" s="185"/>
      <c r="R375" s="185"/>
      <c r="S375" s="185"/>
      <c r="T375" s="185" t="s">
        <v>309</v>
      </c>
      <c r="U375" s="185"/>
      <c r="V375" s="186"/>
      <c r="W375" s="186"/>
      <c r="X375" s="186"/>
      <c r="Y375" s="184"/>
      <c r="Z375" s="253">
        <f>1000000+631371.66+207532.26</f>
        <v>1838903.9200000002</v>
      </c>
      <c r="AA375" s="253">
        <v>0</v>
      </c>
      <c r="AB375" s="253">
        <v>0</v>
      </c>
      <c r="AC375" s="504"/>
      <c r="AD375" s="503"/>
    </row>
    <row r="376" spans="1:30" ht="112.5" customHeight="1" x14ac:dyDescent="0.3">
      <c r="A376" s="402" t="s">
        <v>712</v>
      </c>
      <c r="B376" s="208" t="s">
        <v>18</v>
      </c>
      <c r="C376" s="208" t="s">
        <v>138</v>
      </c>
      <c r="D376" s="208" t="s">
        <v>132</v>
      </c>
      <c r="E376" s="208" t="s">
        <v>713</v>
      </c>
      <c r="F376" s="208"/>
      <c r="G376" s="208"/>
      <c r="H376" s="208"/>
      <c r="I376" s="208"/>
      <c r="J376" s="208"/>
      <c r="K376" s="208"/>
      <c r="L376" s="208"/>
      <c r="M376" s="208"/>
      <c r="N376" s="208"/>
      <c r="O376" s="208"/>
      <c r="P376" s="208"/>
      <c r="Q376" s="208"/>
      <c r="R376" s="208"/>
      <c r="S376" s="208"/>
      <c r="T376" s="208"/>
      <c r="U376" s="208"/>
      <c r="V376" s="250"/>
      <c r="W376" s="250"/>
      <c r="X376" s="250"/>
      <c r="Y376" s="203" t="s">
        <v>454</v>
      </c>
      <c r="Z376" s="280">
        <f>Z377</f>
        <v>275725</v>
      </c>
      <c r="AA376" s="280">
        <f>AA377</f>
        <v>100000</v>
      </c>
      <c r="AB376" s="280">
        <f>AB377</f>
        <v>100000</v>
      </c>
      <c r="AC376" s="350" t="s">
        <v>454</v>
      </c>
      <c r="AD376" s="503"/>
    </row>
    <row r="377" spans="1:30" ht="67.5" customHeight="1" x14ac:dyDescent="0.3">
      <c r="A377" s="400" t="s">
        <v>455</v>
      </c>
      <c r="B377" s="185" t="s">
        <v>18</v>
      </c>
      <c r="C377" s="185" t="s">
        <v>138</v>
      </c>
      <c r="D377" s="185" t="s">
        <v>132</v>
      </c>
      <c r="E377" s="208" t="s">
        <v>713</v>
      </c>
      <c r="F377" s="185"/>
      <c r="G377" s="185"/>
      <c r="H377" s="185"/>
      <c r="I377" s="185"/>
      <c r="J377" s="185"/>
      <c r="K377" s="185"/>
      <c r="L377" s="185"/>
      <c r="M377" s="185"/>
      <c r="N377" s="185"/>
      <c r="O377" s="185"/>
      <c r="P377" s="185"/>
      <c r="Q377" s="185"/>
      <c r="R377" s="185"/>
      <c r="S377" s="185"/>
      <c r="T377" s="185" t="s">
        <v>309</v>
      </c>
      <c r="U377" s="185"/>
      <c r="V377" s="186"/>
      <c r="W377" s="186"/>
      <c r="X377" s="186"/>
      <c r="Y377" s="184" t="s">
        <v>455</v>
      </c>
      <c r="Z377" s="253">
        <f>100000+100000+75725</f>
        <v>275725</v>
      </c>
      <c r="AA377" s="253">
        <v>100000</v>
      </c>
      <c r="AB377" s="253">
        <v>100000</v>
      </c>
      <c r="AC377" s="504" t="s">
        <v>455</v>
      </c>
      <c r="AD377" s="503"/>
    </row>
    <row r="378" spans="1:30" ht="94.5" customHeight="1" x14ac:dyDescent="0.3">
      <c r="A378" s="402" t="s">
        <v>714</v>
      </c>
      <c r="B378" s="208" t="s">
        <v>18</v>
      </c>
      <c r="C378" s="208" t="s">
        <v>138</v>
      </c>
      <c r="D378" s="208" t="s">
        <v>132</v>
      </c>
      <c r="E378" s="208" t="s">
        <v>715</v>
      </c>
      <c r="F378" s="208"/>
      <c r="G378" s="208"/>
      <c r="H378" s="208"/>
      <c r="I378" s="208"/>
      <c r="J378" s="208"/>
      <c r="K378" s="208"/>
      <c r="L378" s="208"/>
      <c r="M378" s="208"/>
      <c r="N378" s="208"/>
      <c r="O378" s="208"/>
      <c r="P378" s="208"/>
      <c r="Q378" s="208"/>
      <c r="R378" s="208"/>
      <c r="S378" s="208"/>
      <c r="T378" s="208"/>
      <c r="U378" s="208"/>
      <c r="V378" s="250"/>
      <c r="W378" s="250"/>
      <c r="X378" s="250"/>
      <c r="Y378" s="203" t="s">
        <v>456</v>
      </c>
      <c r="Z378" s="280">
        <f>Z379</f>
        <v>90120494.370000005</v>
      </c>
      <c r="AA378" s="280">
        <f>AA379</f>
        <v>93177836.99000001</v>
      </c>
      <c r="AB378" s="280">
        <f>AB379</f>
        <v>93177836.99000001</v>
      </c>
      <c r="AC378" s="350" t="s">
        <v>456</v>
      </c>
      <c r="AD378" s="503"/>
    </row>
    <row r="379" spans="1:30" ht="67.5" customHeight="1" x14ac:dyDescent="0.3">
      <c r="A379" s="523" t="s">
        <v>457</v>
      </c>
      <c r="B379" s="262" t="s">
        <v>18</v>
      </c>
      <c r="C379" s="262" t="s">
        <v>138</v>
      </c>
      <c r="D379" s="262" t="s">
        <v>132</v>
      </c>
      <c r="E379" s="268" t="s">
        <v>715</v>
      </c>
      <c r="F379" s="262"/>
      <c r="G379" s="262"/>
      <c r="H379" s="262"/>
      <c r="I379" s="262"/>
      <c r="J379" s="262"/>
      <c r="K379" s="262"/>
      <c r="L379" s="262"/>
      <c r="M379" s="262"/>
      <c r="N379" s="262"/>
      <c r="O379" s="262"/>
      <c r="P379" s="262"/>
      <c r="Q379" s="262"/>
      <c r="R379" s="262"/>
      <c r="S379" s="262"/>
      <c r="T379" s="262" t="s">
        <v>309</v>
      </c>
      <c r="U379" s="262"/>
      <c r="V379" s="263"/>
      <c r="W379" s="263"/>
      <c r="X379" s="263"/>
      <c r="Y379" s="522" t="s">
        <v>457</v>
      </c>
      <c r="Z379" s="264">
        <f>85465000+1766824.29-2500000+5946012.7-300000-499316.62+16515+220459+5000</f>
        <v>90120494.370000005</v>
      </c>
      <c r="AA379" s="253">
        <f>87231824.29+5946012.7</f>
        <v>93177836.99000001</v>
      </c>
      <c r="AB379" s="253">
        <f>87231824.29+5946012.7</f>
        <v>93177836.99000001</v>
      </c>
      <c r="AC379" s="504" t="s">
        <v>457</v>
      </c>
      <c r="AD379" s="503"/>
    </row>
    <row r="380" spans="1:30" ht="152.25" hidden="1" customHeight="1" x14ac:dyDescent="0.3">
      <c r="A380" s="402" t="s">
        <v>716</v>
      </c>
      <c r="B380" s="208" t="s">
        <v>18</v>
      </c>
      <c r="C380" s="208" t="s">
        <v>138</v>
      </c>
      <c r="D380" s="208" t="s">
        <v>132</v>
      </c>
      <c r="E380" s="208" t="s">
        <v>717</v>
      </c>
      <c r="F380" s="208"/>
      <c r="G380" s="208"/>
      <c r="H380" s="208"/>
      <c r="I380" s="208"/>
      <c r="J380" s="208"/>
      <c r="K380" s="208"/>
      <c r="L380" s="208"/>
      <c r="M380" s="208"/>
      <c r="N380" s="208"/>
      <c r="O380" s="208"/>
      <c r="P380" s="208"/>
      <c r="Q380" s="208"/>
      <c r="R380" s="208"/>
      <c r="S380" s="208"/>
      <c r="T380" s="208"/>
      <c r="U380" s="208"/>
      <c r="V380" s="250"/>
      <c r="W380" s="250"/>
      <c r="X380" s="250"/>
      <c r="Y380" s="203" t="s">
        <v>458</v>
      </c>
      <c r="Z380" s="280">
        <f>Z381</f>
        <v>0</v>
      </c>
      <c r="AA380" s="280">
        <f>AA381</f>
        <v>0</v>
      </c>
      <c r="AB380" s="280">
        <f>AB381</f>
        <v>0</v>
      </c>
      <c r="AC380" s="350" t="s">
        <v>458</v>
      </c>
      <c r="AD380" s="503"/>
    </row>
    <row r="381" spans="1:30" ht="148.9" hidden="1" customHeight="1" x14ac:dyDescent="0.3">
      <c r="A381" s="400" t="s">
        <v>459</v>
      </c>
      <c r="B381" s="185" t="s">
        <v>18</v>
      </c>
      <c r="C381" s="185" t="s">
        <v>138</v>
      </c>
      <c r="D381" s="185" t="s">
        <v>132</v>
      </c>
      <c r="E381" s="208" t="s">
        <v>717</v>
      </c>
      <c r="F381" s="185"/>
      <c r="G381" s="185"/>
      <c r="H381" s="185"/>
      <c r="I381" s="185"/>
      <c r="J381" s="185"/>
      <c r="K381" s="185"/>
      <c r="L381" s="185"/>
      <c r="M381" s="185"/>
      <c r="N381" s="185"/>
      <c r="O381" s="185"/>
      <c r="P381" s="185"/>
      <c r="Q381" s="185"/>
      <c r="R381" s="185"/>
      <c r="S381" s="185"/>
      <c r="T381" s="185" t="s">
        <v>309</v>
      </c>
      <c r="U381" s="185"/>
      <c r="V381" s="186"/>
      <c r="W381" s="186"/>
      <c r="X381" s="186"/>
      <c r="Y381" s="184" t="s">
        <v>459</v>
      </c>
      <c r="Z381" s="253">
        <f>5946012.7-5946012.7</f>
        <v>0</v>
      </c>
      <c r="AA381" s="253">
        <f>5946012.7-5946012.7</f>
        <v>0</v>
      </c>
      <c r="AB381" s="253">
        <f>5946012.7-5946012.7</f>
        <v>0</v>
      </c>
      <c r="AC381" s="504" t="s">
        <v>459</v>
      </c>
      <c r="AD381" s="503"/>
    </row>
    <row r="382" spans="1:30" ht="66.75" customHeight="1" x14ac:dyDescent="0.3">
      <c r="A382" s="402" t="s">
        <v>627</v>
      </c>
      <c r="B382" s="208" t="s">
        <v>18</v>
      </c>
      <c r="C382" s="208" t="s">
        <v>138</v>
      </c>
      <c r="D382" s="208" t="s">
        <v>132</v>
      </c>
      <c r="E382" s="208" t="s">
        <v>628</v>
      </c>
      <c r="F382" s="208"/>
      <c r="G382" s="208"/>
      <c r="H382" s="208"/>
      <c r="I382" s="208"/>
      <c r="J382" s="208"/>
      <c r="K382" s="208"/>
      <c r="L382" s="208"/>
      <c r="M382" s="208"/>
      <c r="N382" s="208"/>
      <c r="O382" s="208"/>
      <c r="P382" s="208"/>
      <c r="Q382" s="208"/>
      <c r="R382" s="208"/>
      <c r="S382" s="208"/>
      <c r="T382" s="208"/>
      <c r="U382" s="208"/>
      <c r="V382" s="250"/>
      <c r="W382" s="250"/>
      <c r="X382" s="250"/>
      <c r="Y382" s="203" t="s">
        <v>383</v>
      </c>
      <c r="Z382" s="280">
        <f>Z383</f>
        <v>10191375.08</v>
      </c>
      <c r="AA382" s="280">
        <f>AA383</f>
        <v>5340940.71</v>
      </c>
      <c r="AB382" s="280">
        <f>AB383</f>
        <v>4418726.66</v>
      </c>
      <c r="AC382" s="350" t="s">
        <v>383</v>
      </c>
      <c r="AD382" s="503"/>
    </row>
    <row r="383" spans="1:30" ht="52.5" customHeight="1" x14ac:dyDescent="0.3">
      <c r="A383" s="400" t="s">
        <v>460</v>
      </c>
      <c r="B383" s="185" t="s">
        <v>18</v>
      </c>
      <c r="C383" s="185" t="s">
        <v>138</v>
      </c>
      <c r="D383" s="185" t="s">
        <v>132</v>
      </c>
      <c r="E383" s="208" t="s">
        <v>628</v>
      </c>
      <c r="F383" s="185"/>
      <c r="G383" s="185"/>
      <c r="H383" s="185"/>
      <c r="I383" s="185"/>
      <c r="J383" s="185"/>
      <c r="K383" s="185"/>
      <c r="L383" s="185"/>
      <c r="M383" s="185"/>
      <c r="N383" s="185"/>
      <c r="O383" s="185"/>
      <c r="P383" s="185"/>
      <c r="Q383" s="185"/>
      <c r="R383" s="185"/>
      <c r="S383" s="185"/>
      <c r="T383" s="185" t="s">
        <v>309</v>
      </c>
      <c r="U383" s="185"/>
      <c r="V383" s="186"/>
      <c r="W383" s="186"/>
      <c r="X383" s="186"/>
      <c r="Y383" s="184" t="s">
        <v>460</v>
      </c>
      <c r="Z383" s="253">
        <f>9800000-500000+3000000+282566.38-220459-170732.3-2000000</f>
        <v>10191375.08</v>
      </c>
      <c r="AA383" s="253">
        <f>5000000+1000000-359059.29-300000</f>
        <v>5340940.71</v>
      </c>
      <c r="AB383" s="253">
        <f>1000000+718726.66+3000000-300000</f>
        <v>4418726.66</v>
      </c>
      <c r="AC383" s="504" t="s">
        <v>460</v>
      </c>
      <c r="AD383" s="503"/>
    </row>
    <row r="384" spans="1:30" ht="67.5" customHeight="1" x14ac:dyDescent="0.3">
      <c r="A384" s="402" t="s">
        <v>718</v>
      </c>
      <c r="B384" s="208" t="s">
        <v>18</v>
      </c>
      <c r="C384" s="208" t="s">
        <v>138</v>
      </c>
      <c r="D384" s="208" t="s">
        <v>132</v>
      </c>
      <c r="E384" s="208" t="s">
        <v>719</v>
      </c>
      <c r="F384" s="208"/>
      <c r="G384" s="208"/>
      <c r="H384" s="208"/>
      <c r="I384" s="208"/>
      <c r="J384" s="208"/>
      <c r="K384" s="208"/>
      <c r="L384" s="208"/>
      <c r="M384" s="208"/>
      <c r="N384" s="208"/>
      <c r="O384" s="208"/>
      <c r="P384" s="208"/>
      <c r="Q384" s="208"/>
      <c r="R384" s="208"/>
      <c r="S384" s="208"/>
      <c r="T384" s="208"/>
      <c r="U384" s="208"/>
      <c r="V384" s="250"/>
      <c r="W384" s="250"/>
      <c r="X384" s="250"/>
      <c r="Y384" s="203" t="s">
        <v>461</v>
      </c>
      <c r="Z384" s="280">
        <f>Z385</f>
        <v>653000</v>
      </c>
      <c r="AA384" s="280">
        <f>AA385</f>
        <v>50000</v>
      </c>
      <c r="AB384" s="280">
        <f>AB385</f>
        <v>50000</v>
      </c>
      <c r="AC384" s="350" t="s">
        <v>461</v>
      </c>
      <c r="AD384" s="503"/>
    </row>
    <row r="385" spans="1:30" ht="49.5" customHeight="1" x14ac:dyDescent="0.3">
      <c r="A385" s="523" t="s">
        <v>462</v>
      </c>
      <c r="B385" s="262" t="s">
        <v>18</v>
      </c>
      <c r="C385" s="262" t="s">
        <v>138</v>
      </c>
      <c r="D385" s="262" t="s">
        <v>132</v>
      </c>
      <c r="E385" s="268" t="s">
        <v>719</v>
      </c>
      <c r="F385" s="262"/>
      <c r="G385" s="262"/>
      <c r="H385" s="262"/>
      <c r="I385" s="262"/>
      <c r="J385" s="262"/>
      <c r="K385" s="262"/>
      <c r="L385" s="262"/>
      <c r="M385" s="262"/>
      <c r="N385" s="262"/>
      <c r="O385" s="262"/>
      <c r="P385" s="262"/>
      <c r="Q385" s="262"/>
      <c r="R385" s="262"/>
      <c r="S385" s="262"/>
      <c r="T385" s="262" t="s">
        <v>309</v>
      </c>
      <c r="U385" s="262"/>
      <c r="V385" s="263"/>
      <c r="W385" s="263"/>
      <c r="X385" s="263"/>
      <c r="Y385" s="522" t="s">
        <v>462</v>
      </c>
      <c r="Z385" s="264">
        <f>200000+200000+253000</f>
        <v>653000</v>
      </c>
      <c r="AA385" s="253">
        <v>50000</v>
      </c>
      <c r="AB385" s="253">
        <v>50000</v>
      </c>
      <c r="AC385" s="504" t="s">
        <v>462</v>
      </c>
      <c r="AD385" s="503"/>
    </row>
    <row r="386" spans="1:30" ht="98.25" customHeight="1" x14ac:dyDescent="0.3">
      <c r="A386" s="402" t="s">
        <v>720</v>
      </c>
      <c r="B386" s="208" t="s">
        <v>18</v>
      </c>
      <c r="C386" s="208" t="s">
        <v>138</v>
      </c>
      <c r="D386" s="208" t="s">
        <v>132</v>
      </c>
      <c r="E386" s="208" t="s">
        <v>721</v>
      </c>
      <c r="F386" s="208"/>
      <c r="G386" s="208"/>
      <c r="H386" s="208"/>
      <c r="I386" s="208"/>
      <c r="J386" s="208"/>
      <c r="K386" s="208"/>
      <c r="L386" s="208"/>
      <c r="M386" s="208"/>
      <c r="N386" s="208"/>
      <c r="O386" s="208"/>
      <c r="P386" s="208"/>
      <c r="Q386" s="208"/>
      <c r="R386" s="208"/>
      <c r="S386" s="208"/>
      <c r="T386" s="208"/>
      <c r="U386" s="208"/>
      <c r="V386" s="250"/>
      <c r="W386" s="250"/>
      <c r="X386" s="250"/>
      <c r="Y386" s="203" t="s">
        <v>463</v>
      </c>
      <c r="Z386" s="280">
        <f>Z387</f>
        <v>50000</v>
      </c>
      <c r="AA386" s="280">
        <f>AA387</f>
        <v>50000</v>
      </c>
      <c r="AB386" s="280">
        <f>AB387</f>
        <v>50000</v>
      </c>
      <c r="AC386" s="350" t="s">
        <v>463</v>
      </c>
      <c r="AD386" s="503"/>
    </row>
    <row r="387" spans="1:30" ht="81" customHeight="1" x14ac:dyDescent="0.3">
      <c r="A387" s="400" t="s">
        <v>464</v>
      </c>
      <c r="B387" s="185" t="s">
        <v>18</v>
      </c>
      <c r="C387" s="185" t="s">
        <v>138</v>
      </c>
      <c r="D387" s="185" t="s">
        <v>132</v>
      </c>
      <c r="E387" s="208" t="s">
        <v>721</v>
      </c>
      <c r="F387" s="185"/>
      <c r="G387" s="185"/>
      <c r="H387" s="185"/>
      <c r="I387" s="185"/>
      <c r="J387" s="185"/>
      <c r="K387" s="185"/>
      <c r="L387" s="185"/>
      <c r="M387" s="185"/>
      <c r="N387" s="185"/>
      <c r="O387" s="185"/>
      <c r="P387" s="185"/>
      <c r="Q387" s="185"/>
      <c r="R387" s="185"/>
      <c r="S387" s="185"/>
      <c r="T387" s="185" t="s">
        <v>309</v>
      </c>
      <c r="U387" s="185"/>
      <c r="V387" s="186"/>
      <c r="W387" s="186"/>
      <c r="X387" s="186"/>
      <c r="Y387" s="184" t="s">
        <v>464</v>
      </c>
      <c r="Z387" s="253">
        <v>50000</v>
      </c>
      <c r="AA387" s="253">
        <v>50000</v>
      </c>
      <c r="AB387" s="253">
        <v>50000</v>
      </c>
      <c r="AC387" s="504" t="s">
        <v>464</v>
      </c>
      <c r="AD387" s="503"/>
    </row>
    <row r="388" spans="1:30" ht="177" customHeight="1" x14ac:dyDescent="0.3">
      <c r="A388" s="427" t="s">
        <v>890</v>
      </c>
      <c r="B388" s="208" t="s">
        <v>18</v>
      </c>
      <c r="C388" s="208" t="s">
        <v>138</v>
      </c>
      <c r="D388" s="208" t="s">
        <v>132</v>
      </c>
      <c r="E388" s="208" t="s">
        <v>824</v>
      </c>
      <c r="F388" s="208"/>
      <c r="G388" s="208"/>
      <c r="H388" s="208"/>
      <c r="I388" s="208"/>
      <c r="J388" s="208"/>
      <c r="K388" s="208"/>
      <c r="L388" s="208"/>
      <c r="M388" s="208"/>
      <c r="N388" s="208"/>
      <c r="O388" s="208"/>
      <c r="P388" s="208"/>
      <c r="Q388" s="208"/>
      <c r="R388" s="208"/>
      <c r="S388" s="208"/>
      <c r="T388" s="208"/>
      <c r="U388" s="208"/>
      <c r="V388" s="250"/>
      <c r="W388" s="250"/>
      <c r="X388" s="250"/>
      <c r="Y388" s="205" t="s">
        <v>234</v>
      </c>
      <c r="Z388" s="280">
        <f>Z389</f>
        <v>153444003</v>
      </c>
      <c r="AA388" s="280">
        <f>AA389</f>
        <v>153444003</v>
      </c>
      <c r="AB388" s="280">
        <f>AB389</f>
        <v>153444003</v>
      </c>
      <c r="AC388" s="509" t="s">
        <v>234</v>
      </c>
      <c r="AD388" s="503"/>
    </row>
    <row r="389" spans="1:30" ht="32.25" customHeight="1" x14ac:dyDescent="0.3">
      <c r="A389" s="403" t="s">
        <v>827</v>
      </c>
      <c r="B389" s="185" t="s">
        <v>18</v>
      </c>
      <c r="C389" s="185" t="s">
        <v>138</v>
      </c>
      <c r="D389" s="185" t="s">
        <v>132</v>
      </c>
      <c r="E389" s="208" t="s">
        <v>824</v>
      </c>
      <c r="F389" s="185"/>
      <c r="G389" s="185"/>
      <c r="H389" s="185"/>
      <c r="I389" s="185"/>
      <c r="J389" s="185"/>
      <c r="K389" s="185"/>
      <c r="L389" s="185"/>
      <c r="M389" s="185"/>
      <c r="N389" s="185"/>
      <c r="O389" s="185"/>
      <c r="P389" s="185"/>
      <c r="Q389" s="185"/>
      <c r="R389" s="185"/>
      <c r="S389" s="185"/>
      <c r="T389" s="185" t="s">
        <v>309</v>
      </c>
      <c r="U389" s="185"/>
      <c r="V389" s="186"/>
      <c r="W389" s="186"/>
      <c r="X389" s="186"/>
      <c r="Y389" s="204" t="s">
        <v>465</v>
      </c>
      <c r="Z389" s="253">
        <v>153444003</v>
      </c>
      <c r="AA389" s="253">
        <v>153444003</v>
      </c>
      <c r="AB389" s="253">
        <v>153444003</v>
      </c>
      <c r="AC389" s="190" t="s">
        <v>465</v>
      </c>
      <c r="AD389" s="503"/>
    </row>
    <row r="390" spans="1:30" ht="70.5" customHeight="1" x14ac:dyDescent="0.3">
      <c r="A390" s="402" t="s">
        <v>722</v>
      </c>
      <c r="B390" s="208" t="s">
        <v>18</v>
      </c>
      <c r="C390" s="208" t="s">
        <v>138</v>
      </c>
      <c r="D390" s="208" t="s">
        <v>132</v>
      </c>
      <c r="E390" s="208" t="s">
        <v>723</v>
      </c>
      <c r="F390" s="208"/>
      <c r="G390" s="208"/>
      <c r="H390" s="208"/>
      <c r="I390" s="208"/>
      <c r="J390" s="208"/>
      <c r="K390" s="208"/>
      <c r="L390" s="208"/>
      <c r="M390" s="208"/>
      <c r="N390" s="208"/>
      <c r="O390" s="208"/>
      <c r="P390" s="208"/>
      <c r="Q390" s="208"/>
      <c r="R390" s="208"/>
      <c r="S390" s="208"/>
      <c r="T390" s="208"/>
      <c r="U390" s="208"/>
      <c r="V390" s="250"/>
      <c r="W390" s="250"/>
      <c r="X390" s="250"/>
      <c r="Y390" s="203" t="s">
        <v>466</v>
      </c>
      <c r="Z390" s="280">
        <f>Z391</f>
        <v>80000</v>
      </c>
      <c r="AA390" s="280">
        <f>AA391</f>
        <v>50000</v>
      </c>
      <c r="AB390" s="280">
        <f>AB391</f>
        <v>50000</v>
      </c>
      <c r="AC390" s="350" t="s">
        <v>466</v>
      </c>
      <c r="AD390" s="503"/>
    </row>
    <row r="391" spans="1:30" ht="48.75" customHeight="1" x14ac:dyDescent="0.3">
      <c r="A391" s="400" t="s">
        <v>467</v>
      </c>
      <c r="B391" s="185" t="s">
        <v>18</v>
      </c>
      <c r="C391" s="185" t="s">
        <v>138</v>
      </c>
      <c r="D391" s="185" t="s">
        <v>132</v>
      </c>
      <c r="E391" s="208" t="s">
        <v>723</v>
      </c>
      <c r="F391" s="185"/>
      <c r="G391" s="185"/>
      <c r="H391" s="185"/>
      <c r="I391" s="185"/>
      <c r="J391" s="185"/>
      <c r="K391" s="185"/>
      <c r="L391" s="185"/>
      <c r="M391" s="185"/>
      <c r="N391" s="185"/>
      <c r="O391" s="185"/>
      <c r="P391" s="185"/>
      <c r="Q391" s="185"/>
      <c r="R391" s="185"/>
      <c r="S391" s="185"/>
      <c r="T391" s="185" t="s">
        <v>309</v>
      </c>
      <c r="U391" s="185"/>
      <c r="V391" s="186"/>
      <c r="W391" s="186"/>
      <c r="X391" s="186"/>
      <c r="Y391" s="184" t="s">
        <v>467</v>
      </c>
      <c r="Z391" s="253">
        <v>80000</v>
      </c>
      <c r="AA391" s="253">
        <v>50000</v>
      </c>
      <c r="AB391" s="253">
        <v>50000</v>
      </c>
      <c r="AC391" s="504" t="s">
        <v>467</v>
      </c>
      <c r="AD391" s="503"/>
    </row>
    <row r="392" spans="1:30" ht="66.75" customHeight="1" x14ac:dyDescent="0.3">
      <c r="A392" s="402" t="s">
        <v>724</v>
      </c>
      <c r="B392" s="208" t="s">
        <v>18</v>
      </c>
      <c r="C392" s="208" t="s">
        <v>138</v>
      </c>
      <c r="D392" s="208" t="s">
        <v>132</v>
      </c>
      <c r="E392" s="208" t="s">
        <v>725</v>
      </c>
      <c r="F392" s="208"/>
      <c r="G392" s="208"/>
      <c r="H392" s="208"/>
      <c r="I392" s="208"/>
      <c r="J392" s="208"/>
      <c r="K392" s="208"/>
      <c r="L392" s="208"/>
      <c r="M392" s="208"/>
      <c r="N392" s="208"/>
      <c r="O392" s="208"/>
      <c r="P392" s="208"/>
      <c r="Q392" s="208"/>
      <c r="R392" s="208"/>
      <c r="S392" s="208"/>
      <c r="T392" s="208"/>
      <c r="U392" s="208"/>
      <c r="V392" s="250"/>
      <c r="W392" s="250"/>
      <c r="X392" s="250"/>
      <c r="Y392" s="203" t="s">
        <v>468</v>
      </c>
      <c r="Z392" s="280">
        <f>Z393</f>
        <v>50000</v>
      </c>
      <c r="AA392" s="280">
        <f>AA393</f>
        <v>50000</v>
      </c>
      <c r="AB392" s="280">
        <f>AB393</f>
        <v>10000</v>
      </c>
      <c r="AC392" s="350" t="s">
        <v>468</v>
      </c>
      <c r="AD392" s="503"/>
    </row>
    <row r="393" spans="1:30" ht="51" customHeight="1" x14ac:dyDescent="0.3">
      <c r="A393" s="400" t="s">
        <v>469</v>
      </c>
      <c r="B393" s="185" t="s">
        <v>18</v>
      </c>
      <c r="C393" s="185" t="s">
        <v>138</v>
      </c>
      <c r="D393" s="185" t="s">
        <v>132</v>
      </c>
      <c r="E393" s="208" t="s">
        <v>725</v>
      </c>
      <c r="F393" s="185"/>
      <c r="G393" s="185"/>
      <c r="H393" s="185"/>
      <c r="I393" s="185"/>
      <c r="J393" s="185"/>
      <c r="K393" s="185"/>
      <c r="L393" s="185"/>
      <c r="M393" s="185"/>
      <c r="N393" s="185"/>
      <c r="O393" s="185"/>
      <c r="P393" s="185"/>
      <c r="Q393" s="185"/>
      <c r="R393" s="185"/>
      <c r="S393" s="185"/>
      <c r="T393" s="185" t="s">
        <v>309</v>
      </c>
      <c r="U393" s="185"/>
      <c r="V393" s="186"/>
      <c r="W393" s="186"/>
      <c r="X393" s="186"/>
      <c r="Y393" s="184" t="s">
        <v>469</v>
      </c>
      <c r="Z393" s="253">
        <v>50000</v>
      </c>
      <c r="AA393" s="253">
        <v>50000</v>
      </c>
      <c r="AB393" s="253">
        <v>10000</v>
      </c>
      <c r="AC393" s="504" t="s">
        <v>469</v>
      </c>
      <c r="AD393" s="503"/>
    </row>
    <row r="394" spans="1:30" ht="83.25" customHeight="1" x14ac:dyDescent="0.3">
      <c r="A394" s="402" t="s">
        <v>726</v>
      </c>
      <c r="B394" s="208" t="s">
        <v>18</v>
      </c>
      <c r="C394" s="208" t="s">
        <v>138</v>
      </c>
      <c r="D394" s="208" t="s">
        <v>132</v>
      </c>
      <c r="E394" s="208" t="s">
        <v>727</v>
      </c>
      <c r="F394" s="208"/>
      <c r="G394" s="208"/>
      <c r="H394" s="208"/>
      <c r="I394" s="208"/>
      <c r="J394" s="208"/>
      <c r="K394" s="208"/>
      <c r="L394" s="208"/>
      <c r="M394" s="208"/>
      <c r="N394" s="208"/>
      <c r="O394" s="208"/>
      <c r="P394" s="208"/>
      <c r="Q394" s="208"/>
      <c r="R394" s="208"/>
      <c r="S394" s="208"/>
      <c r="T394" s="208"/>
      <c r="U394" s="208"/>
      <c r="V394" s="250"/>
      <c r="W394" s="250"/>
      <c r="X394" s="250"/>
      <c r="Y394" s="203" t="s">
        <v>470</v>
      </c>
      <c r="Z394" s="280">
        <f>Z395</f>
        <v>20000</v>
      </c>
      <c r="AA394" s="280">
        <f>AA395</f>
        <v>20000</v>
      </c>
      <c r="AB394" s="280">
        <f>AB395</f>
        <v>20000</v>
      </c>
      <c r="AC394" s="350" t="s">
        <v>470</v>
      </c>
      <c r="AD394" s="503"/>
    </row>
    <row r="395" spans="1:30" ht="51.75" customHeight="1" thickBot="1" x14ac:dyDescent="0.35">
      <c r="A395" s="400" t="s">
        <v>471</v>
      </c>
      <c r="B395" s="185" t="s">
        <v>18</v>
      </c>
      <c r="C395" s="185" t="s">
        <v>138</v>
      </c>
      <c r="D395" s="185" t="s">
        <v>132</v>
      </c>
      <c r="E395" s="208" t="s">
        <v>727</v>
      </c>
      <c r="F395" s="185"/>
      <c r="G395" s="185"/>
      <c r="H395" s="185"/>
      <c r="I395" s="185"/>
      <c r="J395" s="185"/>
      <c r="K395" s="185"/>
      <c r="L395" s="185"/>
      <c r="M395" s="185"/>
      <c r="N395" s="185"/>
      <c r="O395" s="185"/>
      <c r="P395" s="185"/>
      <c r="Q395" s="185"/>
      <c r="R395" s="185"/>
      <c r="S395" s="185"/>
      <c r="T395" s="185" t="s">
        <v>309</v>
      </c>
      <c r="U395" s="185"/>
      <c r="V395" s="186"/>
      <c r="W395" s="186"/>
      <c r="X395" s="186"/>
      <c r="Y395" s="184" t="s">
        <v>471</v>
      </c>
      <c r="Z395" s="253">
        <v>20000</v>
      </c>
      <c r="AA395" s="253">
        <v>20000</v>
      </c>
      <c r="AB395" s="253">
        <v>20000</v>
      </c>
      <c r="AC395" s="504" t="s">
        <v>471</v>
      </c>
      <c r="AD395" s="503"/>
    </row>
    <row r="396" spans="1:30" ht="67.5" customHeight="1" thickBot="1" x14ac:dyDescent="0.35">
      <c r="A396" s="428" t="s">
        <v>687</v>
      </c>
      <c r="B396" s="185" t="s">
        <v>18</v>
      </c>
      <c r="C396" s="185" t="s">
        <v>138</v>
      </c>
      <c r="D396" s="185" t="s">
        <v>132</v>
      </c>
      <c r="E396" s="208" t="s">
        <v>688</v>
      </c>
      <c r="F396" s="185"/>
      <c r="G396" s="185"/>
      <c r="H396" s="185"/>
      <c r="I396" s="185"/>
      <c r="J396" s="185"/>
      <c r="K396" s="185"/>
      <c r="L396" s="185"/>
      <c r="M396" s="185"/>
      <c r="N396" s="185"/>
      <c r="O396" s="185"/>
      <c r="P396" s="185"/>
      <c r="Q396" s="185"/>
      <c r="R396" s="185"/>
      <c r="S396" s="185"/>
      <c r="T396" s="185"/>
      <c r="U396" s="185"/>
      <c r="V396" s="186"/>
      <c r="W396" s="186"/>
      <c r="X396" s="186"/>
      <c r="Y396" s="184"/>
      <c r="Z396" s="253">
        <f>Z397</f>
        <v>340000</v>
      </c>
      <c r="AA396" s="253">
        <f>AA397</f>
        <v>80000</v>
      </c>
      <c r="AB396" s="253">
        <f>AB397</f>
        <v>360000</v>
      </c>
      <c r="AC396" s="504"/>
      <c r="AD396" s="503"/>
    </row>
    <row r="397" spans="1:30" ht="82.5" customHeight="1" x14ac:dyDescent="0.3">
      <c r="A397" s="535" t="s">
        <v>875</v>
      </c>
      <c r="B397" s="262" t="s">
        <v>18</v>
      </c>
      <c r="C397" s="262" t="s">
        <v>138</v>
      </c>
      <c r="D397" s="262" t="s">
        <v>132</v>
      </c>
      <c r="E397" s="268" t="s">
        <v>688</v>
      </c>
      <c r="F397" s="262"/>
      <c r="G397" s="262"/>
      <c r="H397" s="262"/>
      <c r="I397" s="262"/>
      <c r="J397" s="262"/>
      <c r="K397" s="262"/>
      <c r="L397" s="262"/>
      <c r="M397" s="262"/>
      <c r="N397" s="262"/>
      <c r="O397" s="262"/>
      <c r="P397" s="262"/>
      <c r="Q397" s="262"/>
      <c r="R397" s="262"/>
      <c r="S397" s="262"/>
      <c r="T397" s="262" t="s">
        <v>309</v>
      </c>
      <c r="U397" s="262"/>
      <c r="V397" s="263"/>
      <c r="W397" s="263"/>
      <c r="X397" s="263"/>
      <c r="Y397" s="522"/>
      <c r="Z397" s="264">
        <f>360000-20000</f>
        <v>340000</v>
      </c>
      <c r="AA397" s="253">
        <v>80000</v>
      </c>
      <c r="AB397" s="253">
        <v>360000</v>
      </c>
      <c r="AC397" s="504"/>
      <c r="AD397" s="503"/>
    </row>
    <row r="398" spans="1:30" ht="51.75" customHeight="1" x14ac:dyDescent="0.3">
      <c r="A398" s="402" t="s">
        <v>472</v>
      </c>
      <c r="B398" s="208" t="s">
        <v>18</v>
      </c>
      <c r="C398" s="208" t="s">
        <v>138</v>
      </c>
      <c r="D398" s="208" t="s">
        <v>132</v>
      </c>
      <c r="E398" s="208" t="s">
        <v>728</v>
      </c>
      <c r="F398" s="208"/>
      <c r="G398" s="208"/>
      <c r="H398" s="208"/>
      <c r="I398" s="208"/>
      <c r="J398" s="208"/>
      <c r="K398" s="208"/>
      <c r="L398" s="208"/>
      <c r="M398" s="208"/>
      <c r="N398" s="208"/>
      <c r="O398" s="208"/>
      <c r="P398" s="208"/>
      <c r="Q398" s="208"/>
      <c r="R398" s="208"/>
      <c r="S398" s="208"/>
      <c r="T398" s="208"/>
      <c r="U398" s="208"/>
      <c r="V398" s="250"/>
      <c r="W398" s="250"/>
      <c r="X398" s="250"/>
      <c r="Y398" s="203" t="s">
        <v>472</v>
      </c>
      <c r="Z398" s="280">
        <f>Z399</f>
        <v>173500</v>
      </c>
      <c r="AA398" s="280">
        <f>AA399</f>
        <v>166500</v>
      </c>
      <c r="AB398" s="280">
        <f>AB399</f>
        <v>166500</v>
      </c>
      <c r="AC398" s="350" t="s">
        <v>472</v>
      </c>
      <c r="AD398" s="503"/>
    </row>
    <row r="399" spans="1:30" ht="82.5" customHeight="1" x14ac:dyDescent="0.3">
      <c r="A399" s="523" t="s">
        <v>473</v>
      </c>
      <c r="B399" s="262" t="s">
        <v>18</v>
      </c>
      <c r="C399" s="262" t="s">
        <v>138</v>
      </c>
      <c r="D399" s="262" t="s">
        <v>132</v>
      </c>
      <c r="E399" s="268" t="s">
        <v>728</v>
      </c>
      <c r="F399" s="262"/>
      <c r="G399" s="262"/>
      <c r="H399" s="262"/>
      <c r="I399" s="262"/>
      <c r="J399" s="262"/>
      <c r="K399" s="262"/>
      <c r="L399" s="262"/>
      <c r="M399" s="262"/>
      <c r="N399" s="262"/>
      <c r="O399" s="262"/>
      <c r="P399" s="262"/>
      <c r="Q399" s="262"/>
      <c r="R399" s="262"/>
      <c r="S399" s="262"/>
      <c r="T399" s="262" t="s">
        <v>309</v>
      </c>
      <c r="U399" s="262"/>
      <c r="V399" s="263"/>
      <c r="W399" s="263"/>
      <c r="X399" s="263"/>
      <c r="Y399" s="522" t="s">
        <v>473</v>
      </c>
      <c r="Z399" s="264">
        <f>166500+7000</f>
        <v>173500</v>
      </c>
      <c r="AA399" s="253">
        <v>166500</v>
      </c>
      <c r="AB399" s="253">
        <v>166500</v>
      </c>
      <c r="AC399" s="504" t="s">
        <v>473</v>
      </c>
      <c r="AD399" s="503"/>
    </row>
    <row r="400" spans="1:30" ht="18" customHeight="1" x14ac:dyDescent="0.3">
      <c r="A400" s="415" t="s">
        <v>825</v>
      </c>
      <c r="B400" s="207" t="s">
        <v>18</v>
      </c>
      <c r="C400" s="207" t="s">
        <v>138</v>
      </c>
      <c r="D400" s="207" t="s">
        <v>138</v>
      </c>
      <c r="E400" s="207"/>
      <c r="F400" s="207"/>
      <c r="G400" s="207"/>
      <c r="H400" s="207"/>
      <c r="I400" s="207"/>
      <c r="J400" s="207"/>
      <c r="K400" s="207"/>
      <c r="L400" s="207"/>
      <c r="M400" s="207"/>
      <c r="N400" s="207"/>
      <c r="O400" s="207"/>
      <c r="P400" s="207"/>
      <c r="Q400" s="207"/>
      <c r="R400" s="207"/>
      <c r="S400" s="207"/>
      <c r="T400" s="207"/>
      <c r="U400" s="207"/>
      <c r="V400" s="254"/>
      <c r="W400" s="254"/>
      <c r="X400" s="254"/>
      <c r="Y400" s="206" t="s">
        <v>157</v>
      </c>
      <c r="Z400" s="255">
        <f>Z401+Z409+Z404+Z406</f>
        <v>3932318.62</v>
      </c>
      <c r="AA400" s="255">
        <f>AA401+AA409+AA404+AA406</f>
        <v>3660200</v>
      </c>
      <c r="AB400" s="255">
        <f>AB401+AB409+AB404+AB406</f>
        <v>4027175</v>
      </c>
      <c r="AC400" s="502" t="s">
        <v>157</v>
      </c>
      <c r="AD400" s="503"/>
    </row>
    <row r="401" spans="1:30" ht="79.5" customHeight="1" x14ac:dyDescent="0.3">
      <c r="A401" s="402" t="s">
        <v>729</v>
      </c>
      <c r="B401" s="208" t="s">
        <v>18</v>
      </c>
      <c r="C401" s="208" t="s">
        <v>138</v>
      </c>
      <c r="D401" s="208" t="s">
        <v>138</v>
      </c>
      <c r="E401" s="208" t="s">
        <v>730</v>
      </c>
      <c r="F401" s="208"/>
      <c r="G401" s="208"/>
      <c r="H401" s="208"/>
      <c r="I401" s="208"/>
      <c r="J401" s="208"/>
      <c r="K401" s="208"/>
      <c r="L401" s="208"/>
      <c r="M401" s="208"/>
      <c r="N401" s="208"/>
      <c r="O401" s="208"/>
      <c r="P401" s="208"/>
      <c r="Q401" s="208"/>
      <c r="R401" s="208"/>
      <c r="S401" s="208"/>
      <c r="T401" s="208"/>
      <c r="U401" s="208"/>
      <c r="V401" s="250"/>
      <c r="W401" s="250"/>
      <c r="X401" s="250"/>
      <c r="Y401" s="203" t="s">
        <v>474</v>
      </c>
      <c r="Z401" s="280">
        <f>Z403+Z402</f>
        <v>2198908.62</v>
      </c>
      <c r="AA401" s="280">
        <f t="shared" ref="AA401:AB401" si="22">AA403</f>
        <v>0</v>
      </c>
      <c r="AB401" s="280">
        <f t="shared" si="22"/>
        <v>0</v>
      </c>
      <c r="AC401" s="350" t="s">
        <v>474</v>
      </c>
      <c r="AD401" s="503"/>
    </row>
    <row r="402" spans="1:30" ht="66" customHeight="1" x14ac:dyDescent="0.3">
      <c r="A402" s="521" t="s">
        <v>1064</v>
      </c>
      <c r="B402" s="262" t="s">
        <v>18</v>
      </c>
      <c r="C402" s="262" t="s">
        <v>138</v>
      </c>
      <c r="D402" s="262" t="s">
        <v>138</v>
      </c>
      <c r="E402" s="268" t="s">
        <v>730</v>
      </c>
      <c r="F402" s="268"/>
      <c r="G402" s="268"/>
      <c r="H402" s="268"/>
      <c r="I402" s="268"/>
      <c r="J402" s="268"/>
      <c r="K402" s="268"/>
      <c r="L402" s="268"/>
      <c r="M402" s="268"/>
      <c r="N402" s="268"/>
      <c r="O402" s="268"/>
      <c r="P402" s="268"/>
      <c r="Q402" s="268"/>
      <c r="R402" s="268"/>
      <c r="S402" s="268"/>
      <c r="T402" s="268" t="s">
        <v>290</v>
      </c>
      <c r="U402" s="268"/>
      <c r="V402" s="526"/>
      <c r="W402" s="526"/>
      <c r="X402" s="526"/>
      <c r="Y402" s="265"/>
      <c r="Z402" s="525">
        <f>5000-5000</f>
        <v>0</v>
      </c>
      <c r="AA402" s="280">
        <v>0</v>
      </c>
      <c r="AB402" s="280">
        <v>0</v>
      </c>
      <c r="AC402" s="350"/>
      <c r="AD402" s="503"/>
    </row>
    <row r="403" spans="1:30" ht="66" customHeight="1" x14ac:dyDescent="0.3">
      <c r="A403" s="400" t="s">
        <v>475</v>
      </c>
      <c r="B403" s="185" t="s">
        <v>18</v>
      </c>
      <c r="C403" s="185" t="s">
        <v>138</v>
      </c>
      <c r="D403" s="185" t="s">
        <v>138</v>
      </c>
      <c r="E403" s="208" t="s">
        <v>730</v>
      </c>
      <c r="F403" s="185"/>
      <c r="G403" s="185"/>
      <c r="H403" s="185"/>
      <c r="I403" s="185"/>
      <c r="J403" s="185"/>
      <c r="K403" s="185"/>
      <c r="L403" s="185"/>
      <c r="M403" s="185"/>
      <c r="N403" s="185"/>
      <c r="O403" s="185"/>
      <c r="P403" s="185"/>
      <c r="Q403" s="185"/>
      <c r="R403" s="185"/>
      <c r="S403" s="185"/>
      <c r="T403" s="185" t="s">
        <v>309</v>
      </c>
      <c r="U403" s="185"/>
      <c r="V403" s="186"/>
      <c r="W403" s="186"/>
      <c r="X403" s="186"/>
      <c r="Y403" s="184" t="s">
        <v>475</v>
      </c>
      <c r="Z403" s="253">
        <f>2500000-2500000+2203590-4681.38</f>
        <v>2198908.62</v>
      </c>
      <c r="AA403" s="253">
        <f>2625000-2625000</f>
        <v>0</v>
      </c>
      <c r="AB403" s="253">
        <f>2748375-2748375</f>
        <v>0</v>
      </c>
      <c r="AC403" s="504" t="s">
        <v>475</v>
      </c>
      <c r="AD403" s="503"/>
    </row>
    <row r="404" spans="1:30" ht="78.75" customHeight="1" x14ac:dyDescent="0.3">
      <c r="A404" s="402" t="s">
        <v>729</v>
      </c>
      <c r="B404" s="208" t="s">
        <v>18</v>
      </c>
      <c r="C404" s="208" t="s">
        <v>138</v>
      </c>
      <c r="D404" s="208" t="s">
        <v>138</v>
      </c>
      <c r="E404" s="208" t="s">
        <v>940</v>
      </c>
      <c r="F404" s="208"/>
      <c r="G404" s="208"/>
      <c r="H404" s="208"/>
      <c r="I404" s="208"/>
      <c r="J404" s="208"/>
      <c r="K404" s="208"/>
      <c r="L404" s="208"/>
      <c r="M404" s="208"/>
      <c r="N404" s="208"/>
      <c r="O404" s="208"/>
      <c r="P404" s="208"/>
      <c r="Q404" s="208"/>
      <c r="R404" s="208"/>
      <c r="S404" s="208"/>
      <c r="T404" s="208"/>
      <c r="U404" s="185"/>
      <c r="V404" s="186"/>
      <c r="W404" s="186"/>
      <c r="X404" s="186"/>
      <c r="Y404" s="184"/>
      <c r="Z404" s="253">
        <f>Z405</f>
        <v>296410</v>
      </c>
      <c r="AA404" s="253">
        <f>AA405</f>
        <v>2625000</v>
      </c>
      <c r="AB404" s="253">
        <f>AB405</f>
        <v>2748375</v>
      </c>
      <c r="AC404" s="504"/>
      <c r="AD404" s="503"/>
    </row>
    <row r="405" spans="1:30" ht="65.25" customHeight="1" x14ac:dyDescent="0.3">
      <c r="A405" s="400" t="s">
        <v>475</v>
      </c>
      <c r="B405" s="185" t="s">
        <v>18</v>
      </c>
      <c r="C405" s="185" t="s">
        <v>138</v>
      </c>
      <c r="D405" s="185" t="s">
        <v>138</v>
      </c>
      <c r="E405" s="208" t="s">
        <v>940</v>
      </c>
      <c r="F405" s="185"/>
      <c r="G405" s="185"/>
      <c r="H405" s="185"/>
      <c r="I405" s="185"/>
      <c r="J405" s="185"/>
      <c r="K405" s="185"/>
      <c r="L405" s="185"/>
      <c r="M405" s="185"/>
      <c r="N405" s="185"/>
      <c r="O405" s="185"/>
      <c r="P405" s="185"/>
      <c r="Q405" s="185"/>
      <c r="R405" s="185"/>
      <c r="S405" s="185"/>
      <c r="T405" s="185" t="s">
        <v>309</v>
      </c>
      <c r="U405" s="185"/>
      <c r="V405" s="186"/>
      <c r="W405" s="186"/>
      <c r="X405" s="186"/>
      <c r="Y405" s="184"/>
      <c r="Z405" s="253">
        <f>2500000-2203590</f>
        <v>296410</v>
      </c>
      <c r="AA405" s="253">
        <v>2625000</v>
      </c>
      <c r="AB405" s="253">
        <v>2748375</v>
      </c>
      <c r="AC405" s="504"/>
      <c r="AD405" s="503"/>
    </row>
    <row r="406" spans="1:30" ht="82.5" customHeight="1" x14ac:dyDescent="0.3">
      <c r="A406" s="400" t="s">
        <v>856</v>
      </c>
      <c r="B406" s="185" t="s">
        <v>18</v>
      </c>
      <c r="C406" s="185" t="s">
        <v>138</v>
      </c>
      <c r="D406" s="185" t="s">
        <v>138</v>
      </c>
      <c r="E406" s="208" t="s">
        <v>940</v>
      </c>
      <c r="F406" s="188"/>
      <c r="G406" s="188"/>
      <c r="H406" s="188"/>
      <c r="I406" s="188"/>
      <c r="J406" s="188"/>
      <c r="K406" s="188"/>
      <c r="L406" s="188"/>
      <c r="M406" s="188"/>
      <c r="N406" s="188"/>
      <c r="O406" s="188"/>
      <c r="P406" s="188"/>
      <c r="Q406" s="188"/>
      <c r="R406" s="188"/>
      <c r="S406" s="188"/>
      <c r="T406" s="188"/>
      <c r="U406" s="185"/>
      <c r="V406" s="186"/>
      <c r="W406" s="186"/>
      <c r="X406" s="186"/>
      <c r="Y406" s="184"/>
      <c r="Z406" s="253">
        <f>Z408+Z407</f>
        <v>1437000.0000000002</v>
      </c>
      <c r="AA406" s="253">
        <f>AA408</f>
        <v>1035200</v>
      </c>
      <c r="AB406" s="253">
        <f>AB408</f>
        <v>1278800</v>
      </c>
      <c r="AC406" s="504"/>
      <c r="AD406" s="503"/>
    </row>
    <row r="407" spans="1:30" ht="34.5" customHeight="1" x14ac:dyDescent="0.3">
      <c r="A407" s="400" t="s">
        <v>611</v>
      </c>
      <c r="B407" s="185" t="s">
        <v>18</v>
      </c>
      <c r="C407" s="185" t="s">
        <v>138</v>
      </c>
      <c r="D407" s="185" t="s">
        <v>138</v>
      </c>
      <c r="E407" s="208" t="s">
        <v>940</v>
      </c>
      <c r="F407" s="188"/>
      <c r="G407" s="188"/>
      <c r="H407" s="188"/>
      <c r="I407" s="188"/>
      <c r="J407" s="188"/>
      <c r="K407" s="188"/>
      <c r="L407" s="188"/>
      <c r="M407" s="188"/>
      <c r="N407" s="188"/>
      <c r="O407" s="188"/>
      <c r="P407" s="188"/>
      <c r="Q407" s="188"/>
      <c r="R407" s="188"/>
      <c r="S407" s="188"/>
      <c r="T407" s="188" t="s">
        <v>290</v>
      </c>
      <c r="U407" s="185"/>
      <c r="V407" s="186"/>
      <c r="W407" s="186"/>
      <c r="X407" s="186"/>
      <c r="Y407" s="184"/>
      <c r="Z407" s="253">
        <f>383570.4-2536.8-97000</f>
        <v>284033.60000000003</v>
      </c>
      <c r="AA407" s="253">
        <v>0</v>
      </c>
      <c r="AB407" s="253">
        <v>0</v>
      </c>
      <c r="AC407" s="504"/>
      <c r="AD407" s="503"/>
    </row>
    <row r="408" spans="1:30" ht="37.5" customHeight="1" x14ac:dyDescent="0.3">
      <c r="A408" s="400" t="s">
        <v>827</v>
      </c>
      <c r="B408" s="185" t="s">
        <v>18</v>
      </c>
      <c r="C408" s="185" t="s">
        <v>138</v>
      </c>
      <c r="D408" s="185" t="s">
        <v>138</v>
      </c>
      <c r="E408" s="208" t="s">
        <v>940</v>
      </c>
      <c r="F408" s="188"/>
      <c r="G408" s="188"/>
      <c r="H408" s="188"/>
      <c r="I408" s="188"/>
      <c r="J408" s="188"/>
      <c r="K408" s="188"/>
      <c r="L408" s="188"/>
      <c r="M408" s="188"/>
      <c r="N408" s="188"/>
      <c r="O408" s="188"/>
      <c r="P408" s="188"/>
      <c r="Q408" s="188"/>
      <c r="R408" s="188"/>
      <c r="S408" s="188"/>
      <c r="T408" s="188" t="s">
        <v>309</v>
      </c>
      <c r="U408" s="185"/>
      <c r="V408" s="186"/>
      <c r="W408" s="186"/>
      <c r="X408" s="186"/>
      <c r="Y408" s="184"/>
      <c r="Z408" s="253">
        <f>1053429.6+2536.8+97000</f>
        <v>1152966.4000000001</v>
      </c>
      <c r="AA408" s="253">
        <v>1035200</v>
      </c>
      <c r="AB408" s="253">
        <v>1278800</v>
      </c>
      <c r="AC408" s="504"/>
      <c r="AD408" s="503"/>
    </row>
    <row r="409" spans="1:30" ht="147.75" hidden="1" customHeight="1" x14ac:dyDescent="0.3">
      <c r="A409" s="400" t="s">
        <v>856</v>
      </c>
      <c r="B409" s="188" t="s">
        <v>18</v>
      </c>
      <c r="C409" s="188" t="s">
        <v>138</v>
      </c>
      <c r="D409" s="188" t="s">
        <v>138</v>
      </c>
      <c r="E409" s="208" t="s">
        <v>828</v>
      </c>
      <c r="F409" s="188"/>
      <c r="G409" s="188"/>
      <c r="H409" s="188"/>
      <c r="I409" s="188"/>
      <c r="J409" s="188"/>
      <c r="K409" s="188"/>
      <c r="L409" s="188"/>
      <c r="M409" s="188"/>
      <c r="N409" s="188"/>
      <c r="O409" s="188"/>
      <c r="P409" s="188"/>
      <c r="Q409" s="188"/>
      <c r="R409" s="188"/>
      <c r="S409" s="188"/>
      <c r="T409" s="188"/>
      <c r="U409" s="185"/>
      <c r="V409" s="186"/>
      <c r="W409" s="186"/>
      <c r="X409" s="186"/>
      <c r="Y409" s="184"/>
      <c r="Z409" s="253">
        <f>Z410</f>
        <v>0</v>
      </c>
      <c r="AA409" s="253">
        <f>AA410</f>
        <v>0</v>
      </c>
      <c r="AB409" s="253">
        <f>AB410</f>
        <v>0</v>
      </c>
      <c r="AC409" s="504"/>
      <c r="AD409" s="503"/>
    </row>
    <row r="410" spans="1:30" ht="63" hidden="1" customHeight="1" x14ac:dyDescent="0.3">
      <c r="A410" s="400" t="s">
        <v>827</v>
      </c>
      <c r="B410" s="188" t="s">
        <v>18</v>
      </c>
      <c r="C410" s="188" t="s">
        <v>138</v>
      </c>
      <c r="D410" s="188" t="s">
        <v>138</v>
      </c>
      <c r="E410" s="208" t="s">
        <v>828</v>
      </c>
      <c r="F410" s="188"/>
      <c r="G410" s="188"/>
      <c r="H410" s="188"/>
      <c r="I410" s="188"/>
      <c r="J410" s="188"/>
      <c r="K410" s="188"/>
      <c r="L410" s="188"/>
      <c r="M410" s="188"/>
      <c r="N410" s="188"/>
      <c r="O410" s="188"/>
      <c r="P410" s="188"/>
      <c r="Q410" s="188"/>
      <c r="R410" s="188"/>
      <c r="S410" s="188"/>
      <c r="T410" s="188" t="s">
        <v>309</v>
      </c>
      <c r="U410" s="185"/>
      <c r="V410" s="186"/>
      <c r="W410" s="186"/>
      <c r="X410" s="186"/>
      <c r="Y410" s="184"/>
      <c r="Z410" s="253">
        <f>889800+547200-1437000</f>
        <v>0</v>
      </c>
      <c r="AA410" s="253">
        <f>1035200-1035200</f>
        <v>0</v>
      </c>
      <c r="AB410" s="253">
        <f>1278800-1278800</f>
        <v>0</v>
      </c>
      <c r="AC410" s="504"/>
      <c r="AD410" s="503"/>
    </row>
    <row r="411" spans="1:30" ht="19.5" customHeight="1" x14ac:dyDescent="0.3">
      <c r="A411" s="415" t="s">
        <v>158</v>
      </c>
      <c r="B411" s="207" t="s">
        <v>18</v>
      </c>
      <c r="C411" s="207" t="s">
        <v>138</v>
      </c>
      <c r="D411" s="207" t="s">
        <v>127</v>
      </c>
      <c r="E411" s="207"/>
      <c r="F411" s="207"/>
      <c r="G411" s="207"/>
      <c r="H411" s="207"/>
      <c r="I411" s="207"/>
      <c r="J411" s="207"/>
      <c r="K411" s="207"/>
      <c r="L411" s="207"/>
      <c r="M411" s="207"/>
      <c r="N411" s="207"/>
      <c r="O411" s="207"/>
      <c r="P411" s="207"/>
      <c r="Q411" s="207"/>
      <c r="R411" s="207"/>
      <c r="S411" s="207"/>
      <c r="T411" s="207"/>
      <c r="U411" s="207"/>
      <c r="V411" s="254"/>
      <c r="W411" s="254"/>
      <c r="X411" s="254"/>
      <c r="Y411" s="206" t="s">
        <v>158</v>
      </c>
      <c r="Z411" s="255">
        <f>Z412+Z416+Z420</f>
        <v>24509857.100000001</v>
      </c>
      <c r="AA411" s="255">
        <f>AA412+AA416+AA420</f>
        <v>27273294.199999996</v>
      </c>
      <c r="AB411" s="255">
        <f>AB412+AB416+AB420</f>
        <v>26988460.280000001</v>
      </c>
      <c r="AC411" s="502" t="s">
        <v>158</v>
      </c>
      <c r="AD411" s="503"/>
    </row>
    <row r="412" spans="1:30" ht="96" customHeight="1" x14ac:dyDescent="0.3">
      <c r="A412" s="402" t="s">
        <v>731</v>
      </c>
      <c r="B412" s="208" t="s">
        <v>18</v>
      </c>
      <c r="C412" s="208" t="s">
        <v>138</v>
      </c>
      <c r="D412" s="208" t="s">
        <v>127</v>
      </c>
      <c r="E412" s="208" t="s">
        <v>732</v>
      </c>
      <c r="F412" s="208"/>
      <c r="G412" s="208"/>
      <c r="H412" s="208"/>
      <c r="I412" s="208"/>
      <c r="J412" s="208"/>
      <c r="K412" s="208"/>
      <c r="L412" s="208"/>
      <c r="M412" s="208"/>
      <c r="N412" s="208"/>
      <c r="O412" s="208"/>
      <c r="P412" s="208"/>
      <c r="Q412" s="208"/>
      <c r="R412" s="208"/>
      <c r="S412" s="208"/>
      <c r="T412" s="208"/>
      <c r="U412" s="208"/>
      <c r="V412" s="250"/>
      <c r="W412" s="250"/>
      <c r="X412" s="250"/>
      <c r="Y412" s="203" t="s">
        <v>476</v>
      </c>
      <c r="Z412" s="280">
        <f>Z413+Z414+Z415</f>
        <v>5907075.8800000008</v>
      </c>
      <c r="AA412" s="280">
        <f>AA413+AA414</f>
        <v>5600184.1100000003</v>
      </c>
      <c r="AB412" s="280">
        <f>AB413+AB414</f>
        <v>5600184.1100000003</v>
      </c>
      <c r="AC412" s="350" t="s">
        <v>476</v>
      </c>
      <c r="AD412" s="503"/>
    </row>
    <row r="413" spans="1:30" ht="95.25" customHeight="1" x14ac:dyDescent="0.3">
      <c r="A413" s="403" t="s">
        <v>477</v>
      </c>
      <c r="B413" s="185" t="s">
        <v>18</v>
      </c>
      <c r="C413" s="185" t="s">
        <v>138</v>
      </c>
      <c r="D413" s="185" t="s">
        <v>127</v>
      </c>
      <c r="E413" s="208" t="s">
        <v>732</v>
      </c>
      <c r="F413" s="185"/>
      <c r="G413" s="185"/>
      <c r="H413" s="185"/>
      <c r="I413" s="185"/>
      <c r="J413" s="185"/>
      <c r="K413" s="185"/>
      <c r="L413" s="185"/>
      <c r="M413" s="185"/>
      <c r="N413" s="185"/>
      <c r="O413" s="185"/>
      <c r="P413" s="185"/>
      <c r="Q413" s="185"/>
      <c r="R413" s="185"/>
      <c r="S413" s="185"/>
      <c r="T413" s="185" t="s">
        <v>38</v>
      </c>
      <c r="U413" s="185"/>
      <c r="V413" s="186"/>
      <c r="W413" s="186"/>
      <c r="X413" s="186"/>
      <c r="Y413" s="204" t="s">
        <v>477</v>
      </c>
      <c r="Z413" s="253">
        <f>5429984.11+306891.77</f>
        <v>5736875.8800000008</v>
      </c>
      <c r="AA413" s="253">
        <v>5429984.1100000003</v>
      </c>
      <c r="AB413" s="253">
        <v>5429984.1100000003</v>
      </c>
      <c r="AC413" s="190" t="s">
        <v>477</v>
      </c>
      <c r="AD413" s="503"/>
    </row>
    <row r="414" spans="1:30" ht="68.25" customHeight="1" x14ac:dyDescent="0.3">
      <c r="A414" s="400" t="s">
        <v>478</v>
      </c>
      <c r="B414" s="185" t="s">
        <v>18</v>
      </c>
      <c r="C414" s="185" t="s">
        <v>138</v>
      </c>
      <c r="D414" s="185" t="s">
        <v>127</v>
      </c>
      <c r="E414" s="208" t="s">
        <v>732</v>
      </c>
      <c r="F414" s="185"/>
      <c r="G414" s="185"/>
      <c r="H414" s="185"/>
      <c r="I414" s="185"/>
      <c r="J414" s="185"/>
      <c r="K414" s="185"/>
      <c r="L414" s="185"/>
      <c r="M414" s="185"/>
      <c r="N414" s="185"/>
      <c r="O414" s="185"/>
      <c r="P414" s="185"/>
      <c r="Q414" s="185"/>
      <c r="R414" s="185"/>
      <c r="S414" s="185"/>
      <c r="T414" s="185" t="s">
        <v>290</v>
      </c>
      <c r="U414" s="185"/>
      <c r="V414" s="186"/>
      <c r="W414" s="186"/>
      <c r="X414" s="186"/>
      <c r="Y414" s="184" t="s">
        <v>478</v>
      </c>
      <c r="Z414" s="253">
        <f>170200-100-5556</f>
        <v>164544</v>
      </c>
      <c r="AA414" s="253">
        <v>170200</v>
      </c>
      <c r="AB414" s="253">
        <v>170200</v>
      </c>
      <c r="AC414" s="504" t="s">
        <v>478</v>
      </c>
      <c r="AD414" s="503"/>
    </row>
    <row r="415" spans="1:30" ht="48" customHeight="1" x14ac:dyDescent="0.3">
      <c r="A415" s="400" t="s">
        <v>954</v>
      </c>
      <c r="B415" s="185" t="s">
        <v>18</v>
      </c>
      <c r="C415" s="185" t="s">
        <v>138</v>
      </c>
      <c r="D415" s="185" t="s">
        <v>127</v>
      </c>
      <c r="E415" s="208" t="s">
        <v>732</v>
      </c>
      <c r="F415" s="185"/>
      <c r="G415" s="185"/>
      <c r="H415" s="185"/>
      <c r="I415" s="185"/>
      <c r="J415" s="185"/>
      <c r="K415" s="185"/>
      <c r="L415" s="185"/>
      <c r="M415" s="185"/>
      <c r="N415" s="185"/>
      <c r="O415" s="185"/>
      <c r="P415" s="185"/>
      <c r="Q415" s="185"/>
      <c r="R415" s="185"/>
      <c r="S415" s="185"/>
      <c r="T415" s="185" t="s">
        <v>244</v>
      </c>
      <c r="U415" s="185"/>
      <c r="V415" s="186"/>
      <c r="W415" s="186"/>
      <c r="X415" s="186"/>
      <c r="Y415" s="184"/>
      <c r="Z415" s="253">
        <f>100+5556</f>
        <v>5656</v>
      </c>
      <c r="AA415" s="253">
        <v>0</v>
      </c>
      <c r="AB415" s="253">
        <v>0</v>
      </c>
      <c r="AC415" s="504"/>
      <c r="AD415" s="503"/>
    </row>
    <row r="416" spans="1:30" ht="111.75" customHeight="1" x14ac:dyDescent="0.3">
      <c r="A416" s="402" t="s">
        <v>733</v>
      </c>
      <c r="B416" s="208" t="s">
        <v>18</v>
      </c>
      <c r="C416" s="208" t="s">
        <v>138</v>
      </c>
      <c r="D416" s="208" t="s">
        <v>127</v>
      </c>
      <c r="E416" s="208" t="s">
        <v>734</v>
      </c>
      <c r="F416" s="208"/>
      <c r="G416" s="208"/>
      <c r="H416" s="208"/>
      <c r="I416" s="208"/>
      <c r="J416" s="208"/>
      <c r="K416" s="208"/>
      <c r="L416" s="208"/>
      <c r="M416" s="208"/>
      <c r="N416" s="208"/>
      <c r="O416" s="208"/>
      <c r="P416" s="208"/>
      <c r="Q416" s="208"/>
      <c r="R416" s="208"/>
      <c r="S416" s="208"/>
      <c r="T416" s="208"/>
      <c r="U416" s="208"/>
      <c r="V416" s="250"/>
      <c r="W416" s="250"/>
      <c r="X416" s="250"/>
      <c r="Y416" s="203" t="s">
        <v>479</v>
      </c>
      <c r="Z416" s="280">
        <f>Z417+Z418+Z419</f>
        <v>15995811.060000001</v>
      </c>
      <c r="AA416" s="280">
        <f>AA417+AA418+AA419</f>
        <v>18935791.419999998</v>
      </c>
      <c r="AB416" s="280">
        <f>AB417+AB418+AB419</f>
        <v>18650957.5</v>
      </c>
      <c r="AC416" s="350" t="s">
        <v>479</v>
      </c>
      <c r="AD416" s="503"/>
    </row>
    <row r="417" spans="1:30" ht="65.25" customHeight="1" x14ac:dyDescent="0.3">
      <c r="A417" s="403" t="s">
        <v>480</v>
      </c>
      <c r="B417" s="185" t="s">
        <v>18</v>
      </c>
      <c r="C417" s="185" t="s">
        <v>138</v>
      </c>
      <c r="D417" s="185" t="s">
        <v>127</v>
      </c>
      <c r="E417" s="208" t="s">
        <v>734</v>
      </c>
      <c r="F417" s="185"/>
      <c r="G417" s="185"/>
      <c r="H417" s="185"/>
      <c r="I417" s="185"/>
      <c r="J417" s="185"/>
      <c r="K417" s="185"/>
      <c r="L417" s="185"/>
      <c r="M417" s="185"/>
      <c r="N417" s="185"/>
      <c r="O417" s="185"/>
      <c r="P417" s="185"/>
      <c r="Q417" s="185"/>
      <c r="R417" s="185"/>
      <c r="S417" s="185"/>
      <c r="T417" s="185" t="s">
        <v>38</v>
      </c>
      <c r="U417" s="185"/>
      <c r="V417" s="186"/>
      <c r="W417" s="186"/>
      <c r="X417" s="186"/>
      <c r="Y417" s="204" t="s">
        <v>480</v>
      </c>
      <c r="Z417" s="253">
        <v>12302442.73</v>
      </c>
      <c r="AA417" s="253">
        <v>12917564.869999999</v>
      </c>
      <c r="AB417" s="253">
        <v>12917564.869999999</v>
      </c>
      <c r="AC417" s="190" t="s">
        <v>480</v>
      </c>
      <c r="AD417" s="503"/>
    </row>
    <row r="418" spans="1:30" ht="65.25" customHeight="1" x14ac:dyDescent="0.3">
      <c r="A418" s="400" t="s">
        <v>481</v>
      </c>
      <c r="B418" s="185" t="s">
        <v>18</v>
      </c>
      <c r="C418" s="185" t="s">
        <v>138</v>
      </c>
      <c r="D418" s="185" t="s">
        <v>127</v>
      </c>
      <c r="E418" s="208" t="s">
        <v>734</v>
      </c>
      <c r="F418" s="185"/>
      <c r="G418" s="185"/>
      <c r="H418" s="185"/>
      <c r="I418" s="185"/>
      <c r="J418" s="185"/>
      <c r="K418" s="185"/>
      <c r="L418" s="185"/>
      <c r="M418" s="185"/>
      <c r="N418" s="185"/>
      <c r="O418" s="185"/>
      <c r="P418" s="185"/>
      <c r="Q418" s="185"/>
      <c r="R418" s="185"/>
      <c r="S418" s="185"/>
      <c r="T418" s="185" t="s">
        <v>290</v>
      </c>
      <c r="U418" s="185"/>
      <c r="V418" s="186"/>
      <c r="W418" s="186"/>
      <c r="X418" s="186"/>
      <c r="Y418" s="184" t="s">
        <v>481</v>
      </c>
      <c r="Z418" s="253">
        <f>5696678.33-3000000+961724</f>
        <v>3658402.33</v>
      </c>
      <c r="AA418" s="253">
        <v>5981512.25</v>
      </c>
      <c r="AB418" s="253">
        <v>5696678.3300000001</v>
      </c>
      <c r="AC418" s="504" t="s">
        <v>481</v>
      </c>
      <c r="AD418" s="503"/>
    </row>
    <row r="419" spans="1:30" ht="62.25" customHeight="1" x14ac:dyDescent="0.3">
      <c r="A419" s="400" t="s">
        <v>482</v>
      </c>
      <c r="B419" s="185" t="s">
        <v>18</v>
      </c>
      <c r="C419" s="185" t="s">
        <v>138</v>
      </c>
      <c r="D419" s="185" t="s">
        <v>127</v>
      </c>
      <c r="E419" s="208" t="s">
        <v>734</v>
      </c>
      <c r="F419" s="185"/>
      <c r="G419" s="185"/>
      <c r="H419" s="185"/>
      <c r="I419" s="185"/>
      <c r="J419" s="185"/>
      <c r="K419" s="185"/>
      <c r="L419" s="185"/>
      <c r="M419" s="185"/>
      <c r="N419" s="185"/>
      <c r="O419" s="185"/>
      <c r="P419" s="185"/>
      <c r="Q419" s="185"/>
      <c r="R419" s="185"/>
      <c r="S419" s="185"/>
      <c r="T419" s="185" t="s">
        <v>244</v>
      </c>
      <c r="U419" s="185"/>
      <c r="V419" s="186"/>
      <c r="W419" s="186"/>
      <c r="X419" s="186"/>
      <c r="Y419" s="184" t="s">
        <v>482</v>
      </c>
      <c r="Z419" s="253">
        <v>34966</v>
      </c>
      <c r="AA419" s="253">
        <v>36714.300000000003</v>
      </c>
      <c r="AB419" s="253">
        <v>36714.300000000003</v>
      </c>
      <c r="AC419" s="504" t="s">
        <v>482</v>
      </c>
      <c r="AD419" s="503"/>
    </row>
    <row r="420" spans="1:30" ht="114" customHeight="1" x14ac:dyDescent="0.3">
      <c r="A420" s="402" t="s">
        <v>735</v>
      </c>
      <c r="B420" s="208" t="s">
        <v>18</v>
      </c>
      <c r="C420" s="208" t="s">
        <v>138</v>
      </c>
      <c r="D420" s="208" t="s">
        <v>127</v>
      </c>
      <c r="E420" s="208" t="s">
        <v>736</v>
      </c>
      <c r="F420" s="208"/>
      <c r="G420" s="208"/>
      <c r="H420" s="208"/>
      <c r="I420" s="208"/>
      <c r="J420" s="208"/>
      <c r="K420" s="208"/>
      <c r="L420" s="208"/>
      <c r="M420" s="208"/>
      <c r="N420" s="208"/>
      <c r="O420" s="208"/>
      <c r="P420" s="208"/>
      <c r="Q420" s="208"/>
      <c r="R420" s="208"/>
      <c r="S420" s="208"/>
      <c r="T420" s="208"/>
      <c r="U420" s="208"/>
      <c r="V420" s="250"/>
      <c r="W420" s="250"/>
      <c r="X420" s="250"/>
      <c r="Y420" s="203" t="s">
        <v>483</v>
      </c>
      <c r="Z420" s="280">
        <f>Z421</f>
        <v>2606970.16</v>
      </c>
      <c r="AA420" s="280">
        <f>AA421</f>
        <v>2737318.67</v>
      </c>
      <c r="AB420" s="280">
        <f>AB421</f>
        <v>2737318.67</v>
      </c>
      <c r="AC420" s="350" t="s">
        <v>483</v>
      </c>
      <c r="AD420" s="503"/>
    </row>
    <row r="421" spans="1:30" ht="82.5" customHeight="1" x14ac:dyDescent="0.3">
      <c r="A421" s="400" t="s">
        <v>484</v>
      </c>
      <c r="B421" s="185" t="s">
        <v>18</v>
      </c>
      <c r="C421" s="185" t="s">
        <v>138</v>
      </c>
      <c r="D421" s="185" t="s">
        <v>127</v>
      </c>
      <c r="E421" s="208" t="s">
        <v>736</v>
      </c>
      <c r="F421" s="185"/>
      <c r="G421" s="185"/>
      <c r="H421" s="185"/>
      <c r="I421" s="185"/>
      <c r="J421" s="185"/>
      <c r="K421" s="185"/>
      <c r="L421" s="185"/>
      <c r="M421" s="185"/>
      <c r="N421" s="185"/>
      <c r="O421" s="185"/>
      <c r="P421" s="185"/>
      <c r="Q421" s="185"/>
      <c r="R421" s="185"/>
      <c r="S421" s="185"/>
      <c r="T421" s="185" t="s">
        <v>309</v>
      </c>
      <c r="U421" s="185"/>
      <c r="V421" s="186"/>
      <c r="W421" s="186"/>
      <c r="X421" s="186"/>
      <c r="Y421" s="184" t="s">
        <v>484</v>
      </c>
      <c r="Z421" s="253">
        <v>2606970.16</v>
      </c>
      <c r="AA421" s="253">
        <v>2737318.67</v>
      </c>
      <c r="AB421" s="253">
        <v>2737318.67</v>
      </c>
      <c r="AC421" s="504" t="s">
        <v>484</v>
      </c>
      <c r="AD421" s="503"/>
    </row>
    <row r="422" spans="1:30" ht="18.600000000000001" customHeight="1" x14ac:dyDescent="0.3">
      <c r="A422" s="415" t="s">
        <v>406</v>
      </c>
      <c r="B422" s="207" t="s">
        <v>18</v>
      </c>
      <c r="C422" s="207" t="s">
        <v>143</v>
      </c>
      <c r="D422" s="207" t="s">
        <v>133</v>
      </c>
      <c r="E422" s="207"/>
      <c r="F422" s="207"/>
      <c r="G422" s="207"/>
      <c r="H422" s="207"/>
      <c r="I422" s="207"/>
      <c r="J422" s="207"/>
      <c r="K422" s="207"/>
      <c r="L422" s="207"/>
      <c r="M422" s="207"/>
      <c r="N422" s="207"/>
      <c r="O422" s="207"/>
      <c r="P422" s="207"/>
      <c r="Q422" s="207"/>
      <c r="R422" s="207"/>
      <c r="S422" s="207"/>
      <c r="T422" s="207"/>
      <c r="U422" s="207"/>
      <c r="V422" s="254"/>
      <c r="W422" s="254"/>
      <c r="X422" s="254"/>
      <c r="Y422" s="206" t="s">
        <v>406</v>
      </c>
      <c r="Z422" s="255">
        <f>Z423+Z427+Z443</f>
        <v>31041874.969999999</v>
      </c>
      <c r="AA422" s="255">
        <f>AA423+AA427+AA443</f>
        <v>28355508</v>
      </c>
      <c r="AB422" s="255">
        <f>AB423+AB427+AB443</f>
        <v>28355508</v>
      </c>
      <c r="AC422" s="502" t="s">
        <v>406</v>
      </c>
      <c r="AD422" s="503"/>
    </row>
    <row r="423" spans="1:30" ht="18.600000000000001" customHeight="1" x14ac:dyDescent="0.3">
      <c r="A423" s="415" t="s">
        <v>162</v>
      </c>
      <c r="B423" s="207" t="s">
        <v>18</v>
      </c>
      <c r="C423" s="207" t="s">
        <v>143</v>
      </c>
      <c r="D423" s="207" t="s">
        <v>122</v>
      </c>
      <c r="E423" s="207"/>
      <c r="F423" s="207"/>
      <c r="G423" s="207"/>
      <c r="H423" s="207"/>
      <c r="I423" s="207"/>
      <c r="J423" s="207"/>
      <c r="K423" s="207"/>
      <c r="L423" s="207"/>
      <c r="M423" s="207"/>
      <c r="N423" s="207"/>
      <c r="O423" s="207"/>
      <c r="P423" s="207"/>
      <c r="Q423" s="207"/>
      <c r="R423" s="207"/>
      <c r="S423" s="207"/>
      <c r="T423" s="207"/>
      <c r="U423" s="207"/>
      <c r="V423" s="254"/>
      <c r="W423" s="254"/>
      <c r="X423" s="254"/>
      <c r="Y423" s="206" t="s">
        <v>162</v>
      </c>
      <c r="Z423" s="255">
        <f>Z424</f>
        <v>404808</v>
      </c>
      <c r="AA423" s="255">
        <f>AA424</f>
        <v>404808</v>
      </c>
      <c r="AB423" s="255">
        <f>AB424</f>
        <v>404808</v>
      </c>
      <c r="AC423" s="502" t="s">
        <v>162</v>
      </c>
      <c r="AD423" s="503"/>
    </row>
    <row r="424" spans="1:30" ht="114.75" customHeight="1" x14ac:dyDescent="0.3">
      <c r="A424" s="405" t="s">
        <v>485</v>
      </c>
      <c r="B424" s="208" t="s">
        <v>18</v>
      </c>
      <c r="C424" s="208" t="s">
        <v>143</v>
      </c>
      <c r="D424" s="208" t="s">
        <v>122</v>
      </c>
      <c r="E424" s="208" t="s">
        <v>680</v>
      </c>
      <c r="F424" s="208"/>
      <c r="G424" s="208"/>
      <c r="H424" s="208"/>
      <c r="I424" s="208"/>
      <c r="J424" s="208"/>
      <c r="K424" s="208"/>
      <c r="L424" s="208"/>
      <c r="M424" s="208"/>
      <c r="N424" s="208"/>
      <c r="O424" s="208"/>
      <c r="P424" s="208"/>
      <c r="Q424" s="208"/>
      <c r="R424" s="208"/>
      <c r="S424" s="208"/>
      <c r="T424" s="208"/>
      <c r="U424" s="208"/>
      <c r="V424" s="250"/>
      <c r="W424" s="250"/>
      <c r="X424" s="250"/>
      <c r="Y424" s="205" t="s">
        <v>485</v>
      </c>
      <c r="Z424" s="280">
        <f>Z426+Z425</f>
        <v>404808</v>
      </c>
      <c r="AA424" s="280">
        <f>AA426</f>
        <v>404808</v>
      </c>
      <c r="AB424" s="280">
        <f>AB426</f>
        <v>404808</v>
      </c>
      <c r="AC424" s="509" t="s">
        <v>485</v>
      </c>
      <c r="AD424" s="503"/>
    </row>
    <row r="425" spans="1:30" ht="129.75" customHeight="1" x14ac:dyDescent="0.3">
      <c r="A425" s="403" t="s">
        <v>937</v>
      </c>
      <c r="B425" s="208" t="s">
        <v>18</v>
      </c>
      <c r="C425" s="208" t="s">
        <v>143</v>
      </c>
      <c r="D425" s="208" t="s">
        <v>122</v>
      </c>
      <c r="E425" s="208" t="s">
        <v>680</v>
      </c>
      <c r="F425" s="208"/>
      <c r="G425" s="208"/>
      <c r="H425" s="208"/>
      <c r="I425" s="208"/>
      <c r="J425" s="208"/>
      <c r="K425" s="208"/>
      <c r="L425" s="208"/>
      <c r="M425" s="208"/>
      <c r="N425" s="208"/>
      <c r="O425" s="208"/>
      <c r="P425" s="208"/>
      <c r="Q425" s="208"/>
      <c r="R425" s="208"/>
      <c r="S425" s="208"/>
      <c r="T425" s="208" t="s">
        <v>290</v>
      </c>
      <c r="U425" s="208"/>
      <c r="V425" s="250"/>
      <c r="W425" s="250"/>
      <c r="X425" s="250"/>
      <c r="Y425" s="205"/>
      <c r="Z425" s="280">
        <v>4008</v>
      </c>
      <c r="AA425" s="280">
        <v>0</v>
      </c>
      <c r="AB425" s="280">
        <v>0</v>
      </c>
      <c r="AC425" s="509"/>
      <c r="AD425" s="503"/>
    </row>
    <row r="426" spans="1:30" ht="130.5" customHeight="1" x14ac:dyDescent="0.3">
      <c r="A426" s="403" t="s">
        <v>486</v>
      </c>
      <c r="B426" s="185" t="s">
        <v>18</v>
      </c>
      <c r="C426" s="185" t="s">
        <v>143</v>
      </c>
      <c r="D426" s="185" t="s">
        <v>122</v>
      </c>
      <c r="E426" s="208" t="s">
        <v>680</v>
      </c>
      <c r="F426" s="185"/>
      <c r="G426" s="185"/>
      <c r="H426" s="185"/>
      <c r="I426" s="185"/>
      <c r="J426" s="185"/>
      <c r="K426" s="185"/>
      <c r="L426" s="185"/>
      <c r="M426" s="185"/>
      <c r="N426" s="185"/>
      <c r="O426" s="185"/>
      <c r="P426" s="185"/>
      <c r="Q426" s="185"/>
      <c r="R426" s="185"/>
      <c r="S426" s="185"/>
      <c r="T426" s="185" t="s">
        <v>409</v>
      </c>
      <c r="U426" s="185"/>
      <c r="V426" s="186"/>
      <c r="W426" s="186"/>
      <c r="X426" s="186"/>
      <c r="Y426" s="204" t="s">
        <v>486</v>
      </c>
      <c r="Z426" s="253">
        <f>404808-4008</f>
        <v>400800</v>
      </c>
      <c r="AA426" s="253">
        <v>404808</v>
      </c>
      <c r="AB426" s="253">
        <v>404808</v>
      </c>
      <c r="AC426" s="190" t="s">
        <v>486</v>
      </c>
      <c r="AD426" s="503"/>
    </row>
    <row r="427" spans="1:30" ht="18.600000000000001" customHeight="1" x14ac:dyDescent="0.3">
      <c r="A427" s="415" t="s">
        <v>164</v>
      </c>
      <c r="B427" s="207" t="s">
        <v>18</v>
      </c>
      <c r="C427" s="207" t="s">
        <v>143</v>
      </c>
      <c r="D427" s="207" t="s">
        <v>136</v>
      </c>
      <c r="E427" s="207"/>
      <c r="F427" s="207"/>
      <c r="G427" s="207"/>
      <c r="H427" s="207"/>
      <c r="I427" s="207"/>
      <c r="J427" s="207"/>
      <c r="K427" s="207"/>
      <c r="L427" s="207"/>
      <c r="M427" s="207"/>
      <c r="N427" s="207"/>
      <c r="O427" s="207"/>
      <c r="P427" s="207"/>
      <c r="Q427" s="207"/>
      <c r="R427" s="207"/>
      <c r="S427" s="207"/>
      <c r="T427" s="207"/>
      <c r="U427" s="207"/>
      <c r="V427" s="254"/>
      <c r="W427" s="254"/>
      <c r="X427" s="254"/>
      <c r="Y427" s="206" t="s">
        <v>164</v>
      </c>
      <c r="Z427" s="255">
        <f>Z428+Z431+Z433+Z436+Z440</f>
        <v>28886875.82</v>
      </c>
      <c r="AA427" s="255">
        <f>AA428+AA431+AA433+AA436+AA440</f>
        <v>26200500</v>
      </c>
      <c r="AB427" s="255">
        <f>AB428+AB431+AB433+AB436+AB440</f>
        <v>26200500</v>
      </c>
      <c r="AC427" s="502" t="s">
        <v>164</v>
      </c>
      <c r="AD427" s="503"/>
    </row>
    <row r="428" spans="1:30" ht="98.25" customHeight="1" x14ac:dyDescent="0.3">
      <c r="A428" s="402" t="s">
        <v>857</v>
      </c>
      <c r="B428" s="208" t="s">
        <v>18</v>
      </c>
      <c r="C428" s="208" t="s">
        <v>143</v>
      </c>
      <c r="D428" s="208" t="s">
        <v>136</v>
      </c>
      <c r="E428" s="208" t="s">
        <v>737</v>
      </c>
      <c r="F428" s="208"/>
      <c r="G428" s="208"/>
      <c r="H428" s="208"/>
      <c r="I428" s="208"/>
      <c r="J428" s="208"/>
      <c r="K428" s="208"/>
      <c r="L428" s="208"/>
      <c r="M428" s="208"/>
      <c r="N428" s="208"/>
      <c r="O428" s="208"/>
      <c r="P428" s="208"/>
      <c r="Q428" s="208"/>
      <c r="R428" s="208"/>
      <c r="S428" s="208"/>
      <c r="T428" s="208"/>
      <c r="U428" s="208"/>
      <c r="V428" s="250"/>
      <c r="W428" s="250"/>
      <c r="X428" s="250"/>
      <c r="Y428" s="203" t="s">
        <v>487</v>
      </c>
      <c r="Z428" s="280">
        <f>Z430+Z429</f>
        <v>1241856</v>
      </c>
      <c r="AA428" s="280">
        <f>AA430</f>
        <v>1241900</v>
      </c>
      <c r="AB428" s="280">
        <f>AB430</f>
        <v>1241900</v>
      </c>
      <c r="AC428" s="350" t="s">
        <v>487</v>
      </c>
      <c r="AD428" s="503"/>
    </row>
    <row r="429" spans="1:30" ht="33" customHeight="1" x14ac:dyDescent="0.3">
      <c r="A429" s="400" t="s">
        <v>938</v>
      </c>
      <c r="B429" s="185" t="s">
        <v>18</v>
      </c>
      <c r="C429" s="185" t="s">
        <v>143</v>
      </c>
      <c r="D429" s="185" t="s">
        <v>136</v>
      </c>
      <c r="E429" s="208" t="s">
        <v>737</v>
      </c>
      <c r="F429" s="185"/>
      <c r="G429" s="185"/>
      <c r="H429" s="185"/>
      <c r="I429" s="185"/>
      <c r="J429" s="185"/>
      <c r="K429" s="185"/>
      <c r="L429" s="185"/>
      <c r="M429" s="185"/>
      <c r="N429" s="185"/>
      <c r="O429" s="185"/>
      <c r="P429" s="185"/>
      <c r="Q429" s="185"/>
      <c r="R429" s="185"/>
      <c r="S429" s="185"/>
      <c r="T429" s="185" t="s">
        <v>290</v>
      </c>
      <c r="U429" s="208"/>
      <c r="V429" s="250"/>
      <c r="W429" s="250"/>
      <c r="X429" s="250"/>
      <c r="Y429" s="203"/>
      <c r="Z429" s="280">
        <v>10866.24</v>
      </c>
      <c r="AA429" s="280">
        <v>0</v>
      </c>
      <c r="AB429" s="280">
        <v>0</v>
      </c>
      <c r="AC429" s="350"/>
      <c r="AD429" s="503"/>
    </row>
    <row r="430" spans="1:30" ht="15.75" customHeight="1" x14ac:dyDescent="0.3">
      <c r="A430" s="400" t="s">
        <v>858</v>
      </c>
      <c r="B430" s="185" t="s">
        <v>18</v>
      </c>
      <c r="C430" s="185" t="s">
        <v>143</v>
      </c>
      <c r="D430" s="185" t="s">
        <v>136</v>
      </c>
      <c r="E430" s="208" t="s">
        <v>737</v>
      </c>
      <c r="F430" s="185"/>
      <c r="G430" s="185"/>
      <c r="H430" s="185"/>
      <c r="I430" s="185"/>
      <c r="J430" s="185"/>
      <c r="K430" s="185"/>
      <c r="L430" s="185"/>
      <c r="M430" s="185"/>
      <c r="N430" s="185"/>
      <c r="O430" s="185"/>
      <c r="P430" s="185"/>
      <c r="Q430" s="185"/>
      <c r="R430" s="185"/>
      <c r="S430" s="185"/>
      <c r="T430" s="185" t="s">
        <v>409</v>
      </c>
      <c r="U430" s="185"/>
      <c r="V430" s="186"/>
      <c r="W430" s="186"/>
      <c r="X430" s="186"/>
      <c r="Y430" s="184" t="s">
        <v>488</v>
      </c>
      <c r="Z430" s="253">
        <f>1241900-44-10866.24</f>
        <v>1230989.76</v>
      </c>
      <c r="AA430" s="253">
        <v>1241900</v>
      </c>
      <c r="AB430" s="253">
        <v>1241900</v>
      </c>
      <c r="AC430" s="504" t="s">
        <v>488</v>
      </c>
      <c r="AD430" s="503"/>
    </row>
    <row r="431" spans="1:30" ht="96" customHeight="1" x14ac:dyDescent="0.3">
      <c r="A431" s="402" t="s">
        <v>738</v>
      </c>
      <c r="B431" s="208" t="s">
        <v>18</v>
      </c>
      <c r="C431" s="208" t="s">
        <v>143</v>
      </c>
      <c r="D431" s="208" t="s">
        <v>136</v>
      </c>
      <c r="E431" s="208" t="s">
        <v>739</v>
      </c>
      <c r="F431" s="208"/>
      <c r="G431" s="208"/>
      <c r="H431" s="208"/>
      <c r="I431" s="208"/>
      <c r="J431" s="208"/>
      <c r="K431" s="208"/>
      <c r="L431" s="208"/>
      <c r="M431" s="208"/>
      <c r="N431" s="208"/>
      <c r="O431" s="208"/>
      <c r="P431" s="208"/>
      <c r="Q431" s="208"/>
      <c r="R431" s="208"/>
      <c r="S431" s="208"/>
      <c r="T431" s="208"/>
      <c r="U431" s="208"/>
      <c r="V431" s="250"/>
      <c r="W431" s="250"/>
      <c r="X431" s="250"/>
      <c r="Y431" s="203" t="s">
        <v>489</v>
      </c>
      <c r="Z431" s="280">
        <f>Z432</f>
        <v>121214.54000000001</v>
      </c>
      <c r="AA431" s="280">
        <f>AA432</f>
        <v>55100</v>
      </c>
      <c r="AB431" s="280">
        <f>AB432</f>
        <v>55100</v>
      </c>
      <c r="AC431" s="350" t="s">
        <v>489</v>
      </c>
      <c r="AD431" s="503"/>
    </row>
    <row r="432" spans="1:30" ht="18" customHeight="1" x14ac:dyDescent="0.3">
      <c r="A432" s="523" t="s">
        <v>858</v>
      </c>
      <c r="B432" s="262" t="s">
        <v>18</v>
      </c>
      <c r="C432" s="262" t="s">
        <v>143</v>
      </c>
      <c r="D432" s="262" t="s">
        <v>136</v>
      </c>
      <c r="E432" s="268" t="s">
        <v>739</v>
      </c>
      <c r="F432" s="262"/>
      <c r="G432" s="262"/>
      <c r="H432" s="262"/>
      <c r="I432" s="262"/>
      <c r="J432" s="262"/>
      <c r="K432" s="262"/>
      <c r="L432" s="262"/>
      <c r="M432" s="262"/>
      <c r="N432" s="262"/>
      <c r="O432" s="262"/>
      <c r="P432" s="262"/>
      <c r="Q432" s="262"/>
      <c r="R432" s="262"/>
      <c r="S432" s="262"/>
      <c r="T432" s="262" t="s">
        <v>409</v>
      </c>
      <c r="U432" s="262"/>
      <c r="V432" s="263"/>
      <c r="W432" s="263"/>
      <c r="X432" s="263"/>
      <c r="Y432" s="522" t="s">
        <v>490</v>
      </c>
      <c r="Z432" s="264">
        <f>55100-2.48+66117.02</f>
        <v>121214.54000000001</v>
      </c>
      <c r="AA432" s="253">
        <v>55100</v>
      </c>
      <c r="AB432" s="253">
        <v>55100</v>
      </c>
      <c r="AC432" s="504" t="s">
        <v>490</v>
      </c>
      <c r="AD432" s="503"/>
    </row>
    <row r="433" spans="1:30" ht="94.5" customHeight="1" x14ac:dyDescent="0.3">
      <c r="A433" s="402" t="s">
        <v>740</v>
      </c>
      <c r="B433" s="208" t="s">
        <v>18</v>
      </c>
      <c r="C433" s="208" t="s">
        <v>143</v>
      </c>
      <c r="D433" s="208" t="s">
        <v>136</v>
      </c>
      <c r="E433" s="208" t="s">
        <v>741</v>
      </c>
      <c r="F433" s="208"/>
      <c r="G433" s="208"/>
      <c r="H433" s="208"/>
      <c r="I433" s="208"/>
      <c r="J433" s="208"/>
      <c r="K433" s="208"/>
      <c r="L433" s="208"/>
      <c r="M433" s="208"/>
      <c r="N433" s="208"/>
      <c r="O433" s="208"/>
      <c r="P433" s="208"/>
      <c r="Q433" s="208"/>
      <c r="R433" s="208"/>
      <c r="S433" s="208"/>
      <c r="T433" s="208"/>
      <c r="U433" s="208"/>
      <c r="V433" s="250"/>
      <c r="W433" s="250"/>
      <c r="X433" s="250"/>
      <c r="Y433" s="203" t="s">
        <v>491</v>
      </c>
      <c r="Z433" s="280">
        <f>Z435+Z434</f>
        <v>16537756.82</v>
      </c>
      <c r="AA433" s="280">
        <f>AA435</f>
        <v>14076600</v>
      </c>
      <c r="AB433" s="280">
        <f>AB435</f>
        <v>14076600</v>
      </c>
      <c r="AC433" s="350" t="s">
        <v>491</v>
      </c>
      <c r="AD433" s="503"/>
    </row>
    <row r="434" spans="1:30" ht="32.25" customHeight="1" x14ac:dyDescent="0.3">
      <c r="A434" s="400" t="s">
        <v>938</v>
      </c>
      <c r="B434" s="185" t="s">
        <v>18</v>
      </c>
      <c r="C434" s="185" t="s">
        <v>143</v>
      </c>
      <c r="D434" s="185" t="s">
        <v>136</v>
      </c>
      <c r="E434" s="208" t="s">
        <v>741</v>
      </c>
      <c r="F434" s="208"/>
      <c r="G434" s="208"/>
      <c r="H434" s="208"/>
      <c r="I434" s="208"/>
      <c r="J434" s="208"/>
      <c r="K434" s="208"/>
      <c r="L434" s="208"/>
      <c r="M434" s="208"/>
      <c r="N434" s="208"/>
      <c r="O434" s="208"/>
      <c r="P434" s="208"/>
      <c r="Q434" s="208"/>
      <c r="R434" s="208"/>
      <c r="S434" s="208"/>
      <c r="T434" s="208" t="s">
        <v>290</v>
      </c>
      <c r="U434" s="208"/>
      <c r="V434" s="250"/>
      <c r="W434" s="250"/>
      <c r="X434" s="250"/>
      <c r="Y434" s="203"/>
      <c r="Z434" s="280">
        <v>163740</v>
      </c>
      <c r="AA434" s="280">
        <v>0</v>
      </c>
      <c r="AB434" s="280">
        <v>0</v>
      </c>
      <c r="AC434" s="350"/>
      <c r="AD434" s="503"/>
    </row>
    <row r="435" spans="1:30" ht="15.75" customHeight="1" x14ac:dyDescent="0.3">
      <c r="A435" s="400" t="s">
        <v>858</v>
      </c>
      <c r="B435" s="185" t="s">
        <v>18</v>
      </c>
      <c r="C435" s="185" t="s">
        <v>143</v>
      </c>
      <c r="D435" s="185" t="s">
        <v>136</v>
      </c>
      <c r="E435" s="208" t="s">
        <v>741</v>
      </c>
      <c r="F435" s="185"/>
      <c r="G435" s="185"/>
      <c r="H435" s="185"/>
      <c r="I435" s="185"/>
      <c r="J435" s="185"/>
      <c r="K435" s="185"/>
      <c r="L435" s="185"/>
      <c r="M435" s="185"/>
      <c r="N435" s="185"/>
      <c r="O435" s="185"/>
      <c r="P435" s="185"/>
      <c r="Q435" s="185"/>
      <c r="R435" s="185"/>
      <c r="S435" s="185"/>
      <c r="T435" s="185" t="s">
        <v>409</v>
      </c>
      <c r="U435" s="185"/>
      <c r="V435" s="186"/>
      <c r="W435" s="186"/>
      <c r="X435" s="186"/>
      <c r="Y435" s="184" t="s">
        <v>492</v>
      </c>
      <c r="Z435" s="253">
        <f>14076600+2461156.82-163740</f>
        <v>16374016.82</v>
      </c>
      <c r="AA435" s="253">
        <v>14076600</v>
      </c>
      <c r="AB435" s="253">
        <v>14076600</v>
      </c>
      <c r="AC435" s="504" t="s">
        <v>492</v>
      </c>
      <c r="AD435" s="503"/>
    </row>
    <row r="436" spans="1:30" ht="111.75" customHeight="1" x14ac:dyDescent="0.3">
      <c r="A436" s="405" t="s">
        <v>859</v>
      </c>
      <c r="B436" s="208" t="s">
        <v>18</v>
      </c>
      <c r="C436" s="208" t="s">
        <v>143</v>
      </c>
      <c r="D436" s="208" t="s">
        <v>136</v>
      </c>
      <c r="E436" s="208" t="s">
        <v>742</v>
      </c>
      <c r="F436" s="208"/>
      <c r="G436" s="208"/>
      <c r="H436" s="208"/>
      <c r="I436" s="208"/>
      <c r="J436" s="208"/>
      <c r="K436" s="208"/>
      <c r="L436" s="208"/>
      <c r="M436" s="208"/>
      <c r="N436" s="208"/>
      <c r="O436" s="208"/>
      <c r="P436" s="208"/>
      <c r="Q436" s="208"/>
      <c r="R436" s="208"/>
      <c r="S436" s="208"/>
      <c r="T436" s="208"/>
      <c r="U436" s="208"/>
      <c r="V436" s="250"/>
      <c r="W436" s="250"/>
      <c r="X436" s="250"/>
      <c r="Y436" s="205" t="s">
        <v>233</v>
      </c>
      <c r="Z436" s="280">
        <f>Z439+Z438+Z437</f>
        <v>10986048.460000001</v>
      </c>
      <c r="AA436" s="280">
        <f>AA438+AA439</f>
        <v>10826900</v>
      </c>
      <c r="AB436" s="280">
        <f>AB438+AB439</f>
        <v>10826900</v>
      </c>
      <c r="AC436" s="509" t="s">
        <v>233</v>
      </c>
      <c r="AD436" s="503"/>
    </row>
    <row r="437" spans="1:30" ht="33.75" customHeight="1" x14ac:dyDescent="0.3">
      <c r="A437" s="400" t="s">
        <v>938</v>
      </c>
      <c r="B437" s="185" t="s">
        <v>18</v>
      </c>
      <c r="C437" s="185" t="s">
        <v>143</v>
      </c>
      <c r="D437" s="185" t="s">
        <v>136</v>
      </c>
      <c r="E437" s="208" t="s">
        <v>742</v>
      </c>
      <c r="F437" s="208"/>
      <c r="G437" s="208"/>
      <c r="H437" s="208"/>
      <c r="I437" s="208"/>
      <c r="J437" s="208"/>
      <c r="K437" s="208"/>
      <c r="L437" s="208"/>
      <c r="M437" s="208"/>
      <c r="N437" s="208"/>
      <c r="O437" s="208"/>
      <c r="P437" s="208"/>
      <c r="Q437" s="208"/>
      <c r="R437" s="208"/>
      <c r="S437" s="208"/>
      <c r="T437" s="208" t="s">
        <v>290</v>
      </c>
      <c r="U437" s="208"/>
      <c r="V437" s="250"/>
      <c r="W437" s="250"/>
      <c r="X437" s="250"/>
      <c r="Y437" s="205"/>
      <c r="Z437" s="280">
        <v>32178</v>
      </c>
      <c r="AA437" s="280">
        <v>0</v>
      </c>
      <c r="AB437" s="280">
        <v>0</v>
      </c>
      <c r="AC437" s="509"/>
      <c r="AD437" s="503"/>
    </row>
    <row r="438" spans="1:30" ht="18" customHeight="1" x14ac:dyDescent="0.3">
      <c r="A438" s="403" t="s">
        <v>858</v>
      </c>
      <c r="B438" s="185" t="s">
        <v>18</v>
      </c>
      <c r="C438" s="185" t="s">
        <v>143</v>
      </c>
      <c r="D438" s="185" t="s">
        <v>136</v>
      </c>
      <c r="E438" s="208" t="s">
        <v>742</v>
      </c>
      <c r="F438" s="185"/>
      <c r="G438" s="185"/>
      <c r="H438" s="185"/>
      <c r="I438" s="185"/>
      <c r="J438" s="185"/>
      <c r="K438" s="185"/>
      <c r="L438" s="185"/>
      <c r="M438" s="185"/>
      <c r="N438" s="185"/>
      <c r="O438" s="185"/>
      <c r="P438" s="185"/>
      <c r="Q438" s="185"/>
      <c r="R438" s="185"/>
      <c r="S438" s="185"/>
      <c r="T438" s="185" t="s">
        <v>409</v>
      </c>
      <c r="U438" s="185"/>
      <c r="V438" s="186"/>
      <c r="W438" s="186"/>
      <c r="X438" s="186"/>
      <c r="Y438" s="204" t="s">
        <v>493</v>
      </c>
      <c r="Z438" s="253">
        <f>3249985-32178</f>
        <v>3217807</v>
      </c>
      <c r="AA438" s="253">
        <v>3249985</v>
      </c>
      <c r="AB438" s="253">
        <v>3249985</v>
      </c>
      <c r="AC438" s="190" t="s">
        <v>493</v>
      </c>
      <c r="AD438" s="503"/>
    </row>
    <row r="439" spans="1:30" ht="34.5" customHeight="1" x14ac:dyDescent="0.3">
      <c r="A439" s="523" t="s">
        <v>827</v>
      </c>
      <c r="B439" s="262" t="s">
        <v>18</v>
      </c>
      <c r="C439" s="262" t="s">
        <v>143</v>
      </c>
      <c r="D439" s="262" t="s">
        <v>136</v>
      </c>
      <c r="E439" s="268" t="s">
        <v>742</v>
      </c>
      <c r="F439" s="262"/>
      <c r="G439" s="262"/>
      <c r="H439" s="262"/>
      <c r="I439" s="262"/>
      <c r="J439" s="262"/>
      <c r="K439" s="262"/>
      <c r="L439" s="262"/>
      <c r="M439" s="262"/>
      <c r="N439" s="262"/>
      <c r="O439" s="262"/>
      <c r="P439" s="262"/>
      <c r="Q439" s="262"/>
      <c r="R439" s="262"/>
      <c r="S439" s="262"/>
      <c r="T439" s="262" t="s">
        <v>309</v>
      </c>
      <c r="U439" s="262"/>
      <c r="V439" s="263"/>
      <c r="W439" s="263"/>
      <c r="X439" s="263"/>
      <c r="Y439" s="479"/>
      <c r="Z439" s="264">
        <f>7576915+38.46+159110</f>
        <v>7736063.46</v>
      </c>
      <c r="AA439" s="253">
        <v>7576915</v>
      </c>
      <c r="AB439" s="253">
        <v>7576915</v>
      </c>
      <c r="AC439" s="190"/>
      <c r="AD439" s="503"/>
    </row>
    <row r="440" spans="1:30" ht="174.75" hidden="1" customHeight="1" x14ac:dyDescent="0.3">
      <c r="A440" s="402" t="s">
        <v>860</v>
      </c>
      <c r="B440" s="208" t="s">
        <v>18</v>
      </c>
      <c r="C440" s="208" t="s">
        <v>143</v>
      </c>
      <c r="D440" s="208" t="s">
        <v>136</v>
      </c>
      <c r="E440" s="208" t="s">
        <v>743</v>
      </c>
      <c r="F440" s="208"/>
      <c r="G440" s="208"/>
      <c r="H440" s="208"/>
      <c r="I440" s="208"/>
      <c r="J440" s="208"/>
      <c r="K440" s="208"/>
      <c r="L440" s="208"/>
      <c r="M440" s="208"/>
      <c r="N440" s="208"/>
      <c r="O440" s="208"/>
      <c r="P440" s="208"/>
      <c r="Q440" s="208"/>
      <c r="R440" s="208"/>
      <c r="S440" s="208"/>
      <c r="T440" s="208"/>
      <c r="U440" s="185"/>
      <c r="V440" s="186"/>
      <c r="W440" s="186"/>
      <c r="X440" s="186"/>
      <c r="Y440" s="204"/>
      <c r="Z440" s="253">
        <f>Z441+Z442</f>
        <v>0</v>
      </c>
      <c r="AA440" s="253">
        <f>AA441+AA442</f>
        <v>0</v>
      </c>
      <c r="AB440" s="253">
        <f>AB441+AB442</f>
        <v>0</v>
      </c>
      <c r="AC440" s="190"/>
      <c r="AD440" s="503"/>
    </row>
    <row r="441" spans="1:30" ht="112.5" hidden="1" customHeight="1" x14ac:dyDescent="0.3">
      <c r="A441" s="403" t="s">
        <v>850</v>
      </c>
      <c r="B441" s="185" t="s">
        <v>18</v>
      </c>
      <c r="C441" s="185" t="s">
        <v>143</v>
      </c>
      <c r="D441" s="185" t="s">
        <v>136</v>
      </c>
      <c r="E441" s="208" t="s">
        <v>743</v>
      </c>
      <c r="F441" s="185"/>
      <c r="G441" s="185"/>
      <c r="H441" s="185"/>
      <c r="I441" s="185"/>
      <c r="J441" s="185"/>
      <c r="K441" s="185"/>
      <c r="L441" s="185"/>
      <c r="M441" s="185"/>
      <c r="N441" s="185"/>
      <c r="O441" s="185"/>
      <c r="P441" s="185"/>
      <c r="Q441" s="185"/>
      <c r="R441" s="185"/>
      <c r="S441" s="185"/>
      <c r="T441" s="185" t="s">
        <v>38</v>
      </c>
      <c r="U441" s="185"/>
      <c r="V441" s="186"/>
      <c r="W441" s="186"/>
      <c r="X441" s="186"/>
      <c r="Y441" s="204"/>
      <c r="Z441" s="253">
        <f>1455064-1455064</f>
        <v>0</v>
      </c>
      <c r="AA441" s="253">
        <f>1455064-1455064</f>
        <v>0</v>
      </c>
      <c r="AB441" s="253">
        <f>1455064-1455064</f>
        <v>0</v>
      </c>
      <c r="AC441" s="190"/>
      <c r="AD441" s="503"/>
    </row>
    <row r="442" spans="1:30" ht="69.75" hidden="1" customHeight="1" x14ac:dyDescent="0.3">
      <c r="A442" s="400" t="s">
        <v>611</v>
      </c>
      <c r="B442" s="185" t="s">
        <v>18</v>
      </c>
      <c r="C442" s="185" t="s">
        <v>143</v>
      </c>
      <c r="D442" s="185" t="s">
        <v>136</v>
      </c>
      <c r="E442" s="208" t="s">
        <v>743</v>
      </c>
      <c r="F442" s="185"/>
      <c r="G442" s="185"/>
      <c r="H442" s="185"/>
      <c r="I442" s="185"/>
      <c r="J442" s="185"/>
      <c r="K442" s="185"/>
      <c r="L442" s="185"/>
      <c r="M442" s="185"/>
      <c r="N442" s="185"/>
      <c r="O442" s="185"/>
      <c r="P442" s="185"/>
      <c r="Q442" s="185"/>
      <c r="R442" s="185"/>
      <c r="S442" s="185"/>
      <c r="T442" s="185" t="s">
        <v>290</v>
      </c>
      <c r="U442" s="185"/>
      <c r="V442" s="186"/>
      <c r="W442" s="186"/>
      <c r="X442" s="186"/>
      <c r="Y442" s="204"/>
      <c r="Z442" s="253">
        <f>295136-8.85-295127.15</f>
        <v>0</v>
      </c>
      <c r="AA442" s="253">
        <f>295136-295136</f>
        <v>0</v>
      </c>
      <c r="AB442" s="253">
        <f>295136-295136</f>
        <v>0</v>
      </c>
      <c r="AC442" s="190"/>
      <c r="AD442" s="503"/>
    </row>
    <row r="443" spans="1:30" ht="16.5" customHeight="1" x14ac:dyDescent="0.3">
      <c r="A443" s="415" t="s">
        <v>900</v>
      </c>
      <c r="B443" s="207" t="s">
        <v>18</v>
      </c>
      <c r="C443" s="207" t="s">
        <v>143</v>
      </c>
      <c r="D443" s="207" t="s">
        <v>125</v>
      </c>
      <c r="E443" s="208"/>
      <c r="F443" s="185"/>
      <c r="G443" s="185"/>
      <c r="H443" s="185"/>
      <c r="I443" s="185"/>
      <c r="J443" s="185"/>
      <c r="K443" s="185"/>
      <c r="L443" s="185"/>
      <c r="M443" s="185"/>
      <c r="N443" s="185"/>
      <c r="O443" s="185"/>
      <c r="P443" s="185"/>
      <c r="Q443" s="185"/>
      <c r="R443" s="185"/>
      <c r="S443" s="185"/>
      <c r="T443" s="185"/>
      <c r="U443" s="185"/>
      <c r="V443" s="186"/>
      <c r="W443" s="186"/>
      <c r="X443" s="186"/>
      <c r="Y443" s="204"/>
      <c r="Z443" s="253">
        <f>Z444</f>
        <v>1750191.15</v>
      </c>
      <c r="AA443" s="253">
        <f>AA444</f>
        <v>1750200</v>
      </c>
      <c r="AB443" s="253">
        <f>AB444</f>
        <v>1750200</v>
      </c>
      <c r="AC443" s="190"/>
      <c r="AD443" s="503"/>
    </row>
    <row r="444" spans="1:30" ht="96" customHeight="1" x14ac:dyDescent="0.3">
      <c r="A444" s="402" t="s">
        <v>860</v>
      </c>
      <c r="B444" s="208" t="s">
        <v>18</v>
      </c>
      <c r="C444" s="208" t="s">
        <v>143</v>
      </c>
      <c r="D444" s="208" t="s">
        <v>125</v>
      </c>
      <c r="E444" s="208" t="s">
        <v>743</v>
      </c>
      <c r="F444" s="208"/>
      <c r="G444" s="208"/>
      <c r="H444" s="208"/>
      <c r="I444" s="208"/>
      <c r="J444" s="208"/>
      <c r="K444" s="208"/>
      <c r="L444" s="208"/>
      <c r="M444" s="208"/>
      <c r="N444" s="208"/>
      <c r="O444" s="208"/>
      <c r="P444" s="208"/>
      <c r="Q444" s="208"/>
      <c r="R444" s="208"/>
      <c r="S444" s="208"/>
      <c r="T444" s="208"/>
      <c r="U444" s="185"/>
      <c r="V444" s="186"/>
      <c r="W444" s="186"/>
      <c r="X444" s="186"/>
      <c r="Y444" s="204"/>
      <c r="Z444" s="253">
        <f>Z445+Z446</f>
        <v>1750191.15</v>
      </c>
      <c r="AA444" s="253">
        <f>AA445+AA446</f>
        <v>1750200</v>
      </c>
      <c r="AB444" s="253">
        <f>AB445+AB446</f>
        <v>1750200</v>
      </c>
      <c r="AC444" s="190"/>
      <c r="AD444" s="503"/>
    </row>
    <row r="445" spans="1:30" ht="63" customHeight="1" x14ac:dyDescent="0.3">
      <c r="A445" s="403" t="s">
        <v>850</v>
      </c>
      <c r="B445" s="185" t="s">
        <v>18</v>
      </c>
      <c r="C445" s="185" t="s">
        <v>143</v>
      </c>
      <c r="D445" s="185" t="s">
        <v>125</v>
      </c>
      <c r="E445" s="208" t="s">
        <v>743</v>
      </c>
      <c r="F445" s="185"/>
      <c r="G445" s="185"/>
      <c r="H445" s="185"/>
      <c r="I445" s="185"/>
      <c r="J445" s="185"/>
      <c r="K445" s="185"/>
      <c r="L445" s="185"/>
      <c r="M445" s="185"/>
      <c r="N445" s="185"/>
      <c r="O445" s="185"/>
      <c r="P445" s="185"/>
      <c r="Q445" s="185"/>
      <c r="R445" s="185"/>
      <c r="S445" s="185"/>
      <c r="T445" s="185" t="s">
        <v>38</v>
      </c>
      <c r="U445" s="185"/>
      <c r="V445" s="186"/>
      <c r="W445" s="186"/>
      <c r="X445" s="186"/>
      <c r="Y445" s="204"/>
      <c r="Z445" s="253">
        <v>1455064</v>
      </c>
      <c r="AA445" s="253">
        <v>1455064</v>
      </c>
      <c r="AB445" s="253">
        <v>1455064</v>
      </c>
      <c r="AC445" s="190"/>
      <c r="AD445" s="503"/>
    </row>
    <row r="446" spans="1:30" ht="34.5" customHeight="1" x14ac:dyDescent="0.3">
      <c r="A446" s="400" t="s">
        <v>611</v>
      </c>
      <c r="B446" s="185" t="s">
        <v>18</v>
      </c>
      <c r="C446" s="185" t="s">
        <v>143</v>
      </c>
      <c r="D446" s="185" t="s">
        <v>125</v>
      </c>
      <c r="E446" s="208" t="s">
        <v>743</v>
      </c>
      <c r="F446" s="185"/>
      <c r="G446" s="185"/>
      <c r="H446" s="185"/>
      <c r="I446" s="185"/>
      <c r="J446" s="185"/>
      <c r="K446" s="185"/>
      <c r="L446" s="185"/>
      <c r="M446" s="185"/>
      <c r="N446" s="185"/>
      <c r="O446" s="185"/>
      <c r="P446" s="185"/>
      <c r="Q446" s="185"/>
      <c r="R446" s="185"/>
      <c r="S446" s="185"/>
      <c r="T446" s="185" t="s">
        <v>290</v>
      </c>
      <c r="U446" s="185"/>
      <c r="V446" s="186"/>
      <c r="W446" s="186"/>
      <c r="X446" s="186"/>
      <c r="Y446" s="204"/>
      <c r="Z446" s="253">
        <f>295136-8.85</f>
        <v>295127.15000000002</v>
      </c>
      <c r="AA446" s="253">
        <v>295136</v>
      </c>
      <c r="AB446" s="253">
        <v>295136</v>
      </c>
      <c r="AC446" s="190"/>
      <c r="AD446" s="503"/>
    </row>
    <row r="447" spans="1:30" ht="19.5" customHeight="1" x14ac:dyDescent="0.3">
      <c r="A447" s="415" t="s">
        <v>494</v>
      </c>
      <c r="B447" s="207" t="s">
        <v>19</v>
      </c>
      <c r="C447" s="207"/>
      <c r="D447" s="207"/>
      <c r="E447" s="207"/>
      <c r="F447" s="207"/>
      <c r="G447" s="207"/>
      <c r="H447" s="207"/>
      <c r="I447" s="207"/>
      <c r="J447" s="207"/>
      <c r="K447" s="207"/>
      <c r="L447" s="207"/>
      <c r="M447" s="207"/>
      <c r="N447" s="207"/>
      <c r="O447" s="207"/>
      <c r="P447" s="207"/>
      <c r="Q447" s="207"/>
      <c r="R447" s="207"/>
      <c r="S447" s="207"/>
      <c r="T447" s="207"/>
      <c r="U447" s="207"/>
      <c r="V447" s="254"/>
      <c r="W447" s="254"/>
      <c r="X447" s="254"/>
      <c r="Y447" s="206" t="s">
        <v>494</v>
      </c>
      <c r="Z447" s="255">
        <f>Z448+Z459+Z463+Z470</f>
        <v>32396968.799999997</v>
      </c>
      <c r="AA447" s="255">
        <f>AA448+AA459+AA463+AA470</f>
        <v>33895526.379999995</v>
      </c>
      <c r="AB447" s="255">
        <f>AB448+AB459+AB463+AB470</f>
        <v>33895526.379999995</v>
      </c>
      <c r="AC447" s="502" t="s">
        <v>494</v>
      </c>
      <c r="AD447" s="503"/>
    </row>
    <row r="448" spans="1:30" ht="17.25" customHeight="1" x14ac:dyDescent="0.3">
      <c r="A448" s="415" t="s">
        <v>285</v>
      </c>
      <c r="B448" s="207" t="s">
        <v>19</v>
      </c>
      <c r="C448" s="207" t="s">
        <v>122</v>
      </c>
      <c r="D448" s="207" t="s">
        <v>133</v>
      </c>
      <c r="E448" s="207"/>
      <c r="F448" s="207"/>
      <c r="G448" s="207"/>
      <c r="H448" s="207"/>
      <c r="I448" s="207"/>
      <c r="J448" s="207"/>
      <c r="K448" s="207"/>
      <c r="L448" s="207"/>
      <c r="M448" s="207"/>
      <c r="N448" s="207"/>
      <c r="O448" s="207"/>
      <c r="P448" s="207"/>
      <c r="Q448" s="207"/>
      <c r="R448" s="207"/>
      <c r="S448" s="207"/>
      <c r="T448" s="207"/>
      <c r="U448" s="207"/>
      <c r="V448" s="254"/>
      <c r="W448" s="254"/>
      <c r="X448" s="254"/>
      <c r="Y448" s="206" t="s">
        <v>285</v>
      </c>
      <c r="Z448" s="255">
        <f>Z449</f>
        <v>9480635.8100000005</v>
      </c>
      <c r="AA448" s="255">
        <f>AA449</f>
        <v>8874593.4900000002</v>
      </c>
      <c r="AB448" s="255">
        <f>AB449</f>
        <v>8874593.4900000002</v>
      </c>
      <c r="AC448" s="502" t="s">
        <v>285</v>
      </c>
      <c r="AD448" s="503"/>
    </row>
    <row r="449" spans="1:30" ht="18" customHeight="1" x14ac:dyDescent="0.3">
      <c r="A449" s="415" t="s">
        <v>141</v>
      </c>
      <c r="B449" s="207" t="s">
        <v>19</v>
      </c>
      <c r="C449" s="207" t="s">
        <v>122</v>
      </c>
      <c r="D449" s="207" t="s">
        <v>130</v>
      </c>
      <c r="E449" s="207"/>
      <c r="F449" s="207"/>
      <c r="G449" s="207"/>
      <c r="H449" s="207"/>
      <c r="I449" s="207"/>
      <c r="J449" s="207"/>
      <c r="K449" s="207"/>
      <c r="L449" s="207"/>
      <c r="M449" s="207"/>
      <c r="N449" s="207"/>
      <c r="O449" s="207"/>
      <c r="P449" s="207"/>
      <c r="Q449" s="207"/>
      <c r="R449" s="207"/>
      <c r="S449" s="207"/>
      <c r="T449" s="207"/>
      <c r="U449" s="207"/>
      <c r="V449" s="254"/>
      <c r="W449" s="254"/>
      <c r="X449" s="254"/>
      <c r="Y449" s="206" t="s">
        <v>141</v>
      </c>
      <c r="Z449" s="255">
        <f>Z450+Z454+Z457</f>
        <v>9480635.8100000005</v>
      </c>
      <c r="AA449" s="255">
        <f>AA450+AA454</f>
        <v>8874593.4900000002</v>
      </c>
      <c r="AB449" s="255">
        <f>AB450+AB454</f>
        <v>8874593.4900000002</v>
      </c>
      <c r="AC449" s="502" t="s">
        <v>141</v>
      </c>
      <c r="AD449" s="503"/>
    </row>
    <row r="450" spans="1:30" ht="111" customHeight="1" x14ac:dyDescent="0.3">
      <c r="A450" s="402" t="s">
        <v>744</v>
      </c>
      <c r="B450" s="208" t="s">
        <v>19</v>
      </c>
      <c r="C450" s="208" t="s">
        <v>122</v>
      </c>
      <c r="D450" s="208" t="s">
        <v>130</v>
      </c>
      <c r="E450" s="208" t="s">
        <v>745</v>
      </c>
      <c r="F450" s="208"/>
      <c r="G450" s="208"/>
      <c r="H450" s="208"/>
      <c r="I450" s="208"/>
      <c r="J450" s="208"/>
      <c r="K450" s="208"/>
      <c r="L450" s="208"/>
      <c r="M450" s="208"/>
      <c r="N450" s="208"/>
      <c r="O450" s="208"/>
      <c r="P450" s="208"/>
      <c r="Q450" s="208"/>
      <c r="R450" s="208"/>
      <c r="S450" s="208"/>
      <c r="T450" s="208"/>
      <c r="U450" s="208"/>
      <c r="V450" s="250"/>
      <c r="W450" s="250"/>
      <c r="X450" s="250"/>
      <c r="Y450" s="203" t="s">
        <v>495</v>
      </c>
      <c r="Z450" s="280">
        <f>Z451+Z452+Z453</f>
        <v>5605375.2800000003</v>
      </c>
      <c r="AA450" s="280">
        <f>AA451+AA452+AA453</f>
        <v>5332603.96</v>
      </c>
      <c r="AB450" s="280">
        <f>AB451+AB452+AB453</f>
        <v>5332603.96</v>
      </c>
      <c r="AC450" s="350" t="s">
        <v>495</v>
      </c>
      <c r="AD450" s="503"/>
    </row>
    <row r="451" spans="1:30" ht="97.5" customHeight="1" x14ac:dyDescent="0.3">
      <c r="A451" s="403" t="s">
        <v>496</v>
      </c>
      <c r="B451" s="185" t="s">
        <v>19</v>
      </c>
      <c r="C451" s="185" t="s">
        <v>122</v>
      </c>
      <c r="D451" s="185" t="s">
        <v>130</v>
      </c>
      <c r="E451" s="208" t="s">
        <v>745</v>
      </c>
      <c r="F451" s="185"/>
      <c r="G451" s="185"/>
      <c r="H451" s="185"/>
      <c r="I451" s="185"/>
      <c r="J451" s="185"/>
      <c r="K451" s="185"/>
      <c r="L451" s="185"/>
      <c r="M451" s="185"/>
      <c r="N451" s="185"/>
      <c r="O451" s="185"/>
      <c r="P451" s="185"/>
      <c r="Q451" s="185"/>
      <c r="R451" s="185"/>
      <c r="S451" s="185"/>
      <c r="T451" s="185" t="s">
        <v>38</v>
      </c>
      <c r="U451" s="185"/>
      <c r="V451" s="186"/>
      <c r="W451" s="186"/>
      <c r="X451" s="186"/>
      <c r="Y451" s="204" t="s">
        <v>496</v>
      </c>
      <c r="Z451" s="253">
        <f>3819316.4+121599+1153433.56+272771.32</f>
        <v>5367120.28</v>
      </c>
      <c r="AA451" s="253">
        <f>3819316.4+121599+1153433.56</f>
        <v>5094348.96</v>
      </c>
      <c r="AB451" s="253">
        <f>3819316.4+121599+1153433.56</f>
        <v>5094348.96</v>
      </c>
      <c r="AC451" s="190" t="s">
        <v>496</v>
      </c>
      <c r="AD451" s="503"/>
    </row>
    <row r="452" spans="1:30" ht="66" customHeight="1" x14ac:dyDescent="0.3">
      <c r="A452" s="400" t="s">
        <v>497</v>
      </c>
      <c r="B452" s="185" t="s">
        <v>19</v>
      </c>
      <c r="C452" s="185" t="s">
        <v>122</v>
      </c>
      <c r="D452" s="185" t="s">
        <v>130</v>
      </c>
      <c r="E452" s="208" t="s">
        <v>745</v>
      </c>
      <c r="F452" s="185"/>
      <c r="G452" s="185"/>
      <c r="H452" s="185"/>
      <c r="I452" s="185"/>
      <c r="J452" s="185"/>
      <c r="K452" s="185"/>
      <c r="L452" s="185"/>
      <c r="M452" s="185"/>
      <c r="N452" s="185"/>
      <c r="O452" s="185"/>
      <c r="P452" s="185"/>
      <c r="Q452" s="185"/>
      <c r="R452" s="185"/>
      <c r="S452" s="185"/>
      <c r="T452" s="185" t="s">
        <v>290</v>
      </c>
      <c r="U452" s="185"/>
      <c r="V452" s="186"/>
      <c r="W452" s="186"/>
      <c r="X452" s="186"/>
      <c r="Y452" s="184" t="s">
        <v>497</v>
      </c>
      <c r="Z452" s="253">
        <f>60000+18000+36256+5000+77244+38374</f>
        <v>234874</v>
      </c>
      <c r="AA452" s="253">
        <f>60000+18000+36256+5000+77244+38374</f>
        <v>234874</v>
      </c>
      <c r="AB452" s="253">
        <f>60000+18000+36256+5000+77244+38374</f>
        <v>234874</v>
      </c>
      <c r="AC452" s="504" t="s">
        <v>497</v>
      </c>
      <c r="AD452" s="503"/>
    </row>
    <row r="453" spans="1:30" ht="48" customHeight="1" x14ac:dyDescent="0.3">
      <c r="A453" s="400" t="s">
        <v>498</v>
      </c>
      <c r="B453" s="185" t="s">
        <v>19</v>
      </c>
      <c r="C453" s="185" t="s">
        <v>122</v>
      </c>
      <c r="D453" s="185" t="s">
        <v>130</v>
      </c>
      <c r="E453" s="208" t="s">
        <v>745</v>
      </c>
      <c r="F453" s="185"/>
      <c r="G453" s="185"/>
      <c r="H453" s="185"/>
      <c r="I453" s="185"/>
      <c r="J453" s="185"/>
      <c r="K453" s="185"/>
      <c r="L453" s="185"/>
      <c r="M453" s="185"/>
      <c r="N453" s="185"/>
      <c r="O453" s="185"/>
      <c r="P453" s="185"/>
      <c r="Q453" s="185"/>
      <c r="R453" s="185"/>
      <c r="S453" s="185"/>
      <c r="T453" s="185" t="s">
        <v>244</v>
      </c>
      <c r="U453" s="185"/>
      <c r="V453" s="186"/>
      <c r="W453" s="186"/>
      <c r="X453" s="186"/>
      <c r="Y453" s="184" t="s">
        <v>498</v>
      </c>
      <c r="Z453" s="253">
        <f>381+3000</f>
        <v>3381</v>
      </c>
      <c r="AA453" s="253">
        <f>381+3000</f>
        <v>3381</v>
      </c>
      <c r="AB453" s="253">
        <f>381+3000</f>
        <v>3381</v>
      </c>
      <c r="AC453" s="504" t="s">
        <v>498</v>
      </c>
      <c r="AD453" s="503"/>
    </row>
    <row r="454" spans="1:30" ht="114" customHeight="1" x14ac:dyDescent="0.3">
      <c r="A454" s="402" t="s">
        <v>746</v>
      </c>
      <c r="B454" s="208" t="s">
        <v>19</v>
      </c>
      <c r="C454" s="208" t="s">
        <v>122</v>
      </c>
      <c r="D454" s="208" t="s">
        <v>130</v>
      </c>
      <c r="E454" s="208" t="s">
        <v>747</v>
      </c>
      <c r="F454" s="208"/>
      <c r="G454" s="208"/>
      <c r="H454" s="208"/>
      <c r="I454" s="208"/>
      <c r="J454" s="208"/>
      <c r="K454" s="208"/>
      <c r="L454" s="208"/>
      <c r="M454" s="208"/>
      <c r="N454" s="208"/>
      <c r="O454" s="208"/>
      <c r="P454" s="208"/>
      <c r="Q454" s="208"/>
      <c r="R454" s="208"/>
      <c r="S454" s="208"/>
      <c r="T454" s="208"/>
      <c r="U454" s="208"/>
      <c r="V454" s="250"/>
      <c r="W454" s="250"/>
      <c r="X454" s="250"/>
      <c r="Y454" s="203" t="s">
        <v>499</v>
      </c>
      <c r="Z454" s="280">
        <f>Z455+Z456</f>
        <v>3741062.55</v>
      </c>
      <c r="AA454" s="280">
        <f>AA455+AA456</f>
        <v>3541989.53</v>
      </c>
      <c r="AB454" s="280">
        <f>AB455+AB456</f>
        <v>3541989.53</v>
      </c>
      <c r="AC454" s="350" t="s">
        <v>499</v>
      </c>
      <c r="AD454" s="503"/>
    </row>
    <row r="455" spans="1:30" ht="79.5" customHeight="1" x14ac:dyDescent="0.3">
      <c r="A455" s="523" t="s">
        <v>748</v>
      </c>
      <c r="B455" s="262" t="s">
        <v>19</v>
      </c>
      <c r="C455" s="262" t="s">
        <v>122</v>
      </c>
      <c r="D455" s="262" t="s">
        <v>130</v>
      </c>
      <c r="E455" s="268" t="s">
        <v>747</v>
      </c>
      <c r="F455" s="262"/>
      <c r="G455" s="262"/>
      <c r="H455" s="262"/>
      <c r="I455" s="262"/>
      <c r="J455" s="262"/>
      <c r="K455" s="262"/>
      <c r="L455" s="262"/>
      <c r="M455" s="262"/>
      <c r="N455" s="262"/>
      <c r="O455" s="262"/>
      <c r="P455" s="262"/>
      <c r="Q455" s="262"/>
      <c r="R455" s="262"/>
      <c r="S455" s="262"/>
      <c r="T455" s="262" t="s">
        <v>290</v>
      </c>
      <c r="U455" s="262"/>
      <c r="V455" s="263"/>
      <c r="W455" s="263"/>
      <c r="X455" s="263"/>
      <c r="Y455" s="522" t="s">
        <v>500</v>
      </c>
      <c r="Z455" s="264">
        <f>1578460.71+680691.76+1207321.16+77389.9-50000+250000-265664.46-50926.98</f>
        <v>3427272.09</v>
      </c>
      <c r="AA455" s="253">
        <f>1578460.71+680691.76+1207321.16+77389.9-50000</f>
        <v>3493863.53</v>
      </c>
      <c r="AB455" s="253">
        <f>1578460.71+680691.76+1207321.16+77389.9-50000</f>
        <v>3493863.53</v>
      </c>
      <c r="AC455" s="504" t="s">
        <v>500</v>
      </c>
      <c r="AD455" s="503"/>
    </row>
    <row r="456" spans="1:30" ht="51" customHeight="1" x14ac:dyDescent="0.3">
      <c r="A456" s="400" t="s">
        <v>498</v>
      </c>
      <c r="B456" s="185" t="s">
        <v>19</v>
      </c>
      <c r="C456" s="185" t="s">
        <v>122</v>
      </c>
      <c r="D456" s="185" t="s">
        <v>130</v>
      </c>
      <c r="E456" s="208" t="s">
        <v>747</v>
      </c>
      <c r="F456" s="185"/>
      <c r="G456" s="185"/>
      <c r="H456" s="185"/>
      <c r="I456" s="185"/>
      <c r="J456" s="185"/>
      <c r="K456" s="185"/>
      <c r="L456" s="185"/>
      <c r="M456" s="185"/>
      <c r="N456" s="185"/>
      <c r="O456" s="185"/>
      <c r="P456" s="185"/>
      <c r="Q456" s="185"/>
      <c r="R456" s="185"/>
      <c r="S456" s="185"/>
      <c r="T456" s="185" t="s">
        <v>244</v>
      </c>
      <c r="U456" s="185"/>
      <c r="V456" s="186"/>
      <c r="W456" s="186"/>
      <c r="X456" s="186"/>
      <c r="Y456" s="184"/>
      <c r="Z456" s="253">
        <f>18126+30000+265664.46</f>
        <v>313790.46000000002</v>
      </c>
      <c r="AA456" s="253">
        <f>18126+30000</f>
        <v>48126</v>
      </c>
      <c r="AB456" s="253">
        <f>18126+30000</f>
        <v>48126</v>
      </c>
      <c r="AC456" s="504"/>
      <c r="AD456" s="503"/>
    </row>
    <row r="457" spans="1:30" ht="96.75" customHeight="1" x14ac:dyDescent="0.3">
      <c r="A457" s="508" t="s">
        <v>1219</v>
      </c>
      <c r="B457" s="185" t="s">
        <v>19</v>
      </c>
      <c r="C457" s="185" t="s">
        <v>122</v>
      </c>
      <c r="D457" s="185" t="s">
        <v>130</v>
      </c>
      <c r="E457" s="208" t="s">
        <v>914</v>
      </c>
      <c r="F457" s="185"/>
      <c r="G457" s="185"/>
      <c r="H457" s="185"/>
      <c r="I457" s="185"/>
      <c r="J457" s="185"/>
      <c r="K457" s="185"/>
      <c r="L457" s="185"/>
      <c r="M457" s="185"/>
      <c r="N457" s="185"/>
      <c r="O457" s="185"/>
      <c r="P457" s="185"/>
      <c r="Q457" s="185"/>
      <c r="R457" s="185"/>
      <c r="S457" s="185"/>
      <c r="T457" s="185"/>
      <c r="U457" s="185"/>
      <c r="V457" s="186"/>
      <c r="W457" s="186"/>
      <c r="X457" s="186"/>
      <c r="Y457" s="184"/>
      <c r="Z457" s="253">
        <f>Z458</f>
        <v>134197.98000000001</v>
      </c>
      <c r="AA457" s="253">
        <f>AA458</f>
        <v>0</v>
      </c>
      <c r="AB457" s="253">
        <f>AB458</f>
        <v>0</v>
      </c>
      <c r="AC457" s="504"/>
      <c r="AD457" s="503"/>
    </row>
    <row r="458" spans="1:30" ht="50.25" customHeight="1" x14ac:dyDescent="0.3">
      <c r="A458" s="523" t="s">
        <v>915</v>
      </c>
      <c r="B458" s="262" t="s">
        <v>19</v>
      </c>
      <c r="C458" s="262" t="s">
        <v>122</v>
      </c>
      <c r="D458" s="262" t="s">
        <v>130</v>
      </c>
      <c r="E458" s="268" t="s">
        <v>914</v>
      </c>
      <c r="F458" s="262"/>
      <c r="G458" s="262"/>
      <c r="H458" s="262"/>
      <c r="I458" s="262"/>
      <c r="J458" s="262"/>
      <c r="K458" s="262"/>
      <c r="L458" s="262"/>
      <c r="M458" s="262"/>
      <c r="N458" s="262"/>
      <c r="O458" s="262"/>
      <c r="P458" s="262"/>
      <c r="Q458" s="262"/>
      <c r="R458" s="262"/>
      <c r="S458" s="262"/>
      <c r="T458" s="262" t="s">
        <v>244</v>
      </c>
      <c r="U458" s="262"/>
      <c r="V458" s="263"/>
      <c r="W458" s="263"/>
      <c r="X458" s="263"/>
      <c r="Y458" s="522"/>
      <c r="Z458" s="264">
        <f>83271+50926.98</f>
        <v>134197.98000000001</v>
      </c>
      <c r="AA458" s="253">
        <v>0</v>
      </c>
      <c r="AB458" s="253">
        <v>0</v>
      </c>
      <c r="AC458" s="504"/>
      <c r="AD458" s="503"/>
    </row>
    <row r="459" spans="1:30" ht="34.5" customHeight="1" x14ac:dyDescent="0.3">
      <c r="A459" s="415" t="s">
        <v>312</v>
      </c>
      <c r="B459" s="207" t="s">
        <v>19</v>
      </c>
      <c r="C459" s="207" t="s">
        <v>123</v>
      </c>
      <c r="D459" s="207" t="s">
        <v>133</v>
      </c>
      <c r="E459" s="207"/>
      <c r="F459" s="207"/>
      <c r="G459" s="207"/>
      <c r="H459" s="207"/>
      <c r="I459" s="207"/>
      <c r="J459" s="207"/>
      <c r="K459" s="207"/>
      <c r="L459" s="207"/>
      <c r="M459" s="207"/>
      <c r="N459" s="207"/>
      <c r="O459" s="207"/>
      <c r="P459" s="207"/>
      <c r="Q459" s="207"/>
      <c r="R459" s="207"/>
      <c r="S459" s="207"/>
      <c r="T459" s="207"/>
      <c r="U459" s="207"/>
      <c r="V459" s="254"/>
      <c r="W459" s="254"/>
      <c r="X459" s="254"/>
      <c r="Y459" s="206" t="s">
        <v>312</v>
      </c>
      <c r="Z459" s="255">
        <f t="shared" ref="Z459:AB461" si="23">Z460</f>
        <v>2914339.99</v>
      </c>
      <c r="AA459" s="255">
        <f t="shared" si="23"/>
        <v>2914339.99</v>
      </c>
      <c r="AB459" s="255">
        <f t="shared" si="23"/>
        <v>2914339.99</v>
      </c>
      <c r="AC459" s="502" t="s">
        <v>312</v>
      </c>
      <c r="AD459" s="503"/>
    </row>
    <row r="460" spans="1:30" ht="36" customHeight="1" x14ac:dyDescent="0.3">
      <c r="A460" s="415" t="s">
        <v>252</v>
      </c>
      <c r="B460" s="207" t="s">
        <v>19</v>
      </c>
      <c r="C460" s="207" t="s">
        <v>123</v>
      </c>
      <c r="D460" s="207" t="s">
        <v>127</v>
      </c>
      <c r="E460" s="207"/>
      <c r="F460" s="207"/>
      <c r="G460" s="207"/>
      <c r="H460" s="207"/>
      <c r="I460" s="207"/>
      <c r="J460" s="207"/>
      <c r="K460" s="207"/>
      <c r="L460" s="207"/>
      <c r="M460" s="207"/>
      <c r="N460" s="207"/>
      <c r="O460" s="207"/>
      <c r="P460" s="207"/>
      <c r="Q460" s="207"/>
      <c r="R460" s="207"/>
      <c r="S460" s="207"/>
      <c r="T460" s="207"/>
      <c r="U460" s="207"/>
      <c r="V460" s="254"/>
      <c r="W460" s="254"/>
      <c r="X460" s="254"/>
      <c r="Y460" s="206" t="s">
        <v>252</v>
      </c>
      <c r="Z460" s="255">
        <f t="shared" si="23"/>
        <v>2914339.99</v>
      </c>
      <c r="AA460" s="255">
        <f t="shared" si="23"/>
        <v>2914339.99</v>
      </c>
      <c r="AB460" s="255">
        <f t="shared" si="23"/>
        <v>2914339.99</v>
      </c>
      <c r="AC460" s="502" t="s">
        <v>252</v>
      </c>
      <c r="AD460" s="503"/>
    </row>
    <row r="461" spans="1:30" ht="127.5" customHeight="1" x14ac:dyDescent="0.3">
      <c r="A461" s="402" t="s">
        <v>749</v>
      </c>
      <c r="B461" s="208" t="s">
        <v>19</v>
      </c>
      <c r="C461" s="208" t="s">
        <v>123</v>
      </c>
      <c r="D461" s="208" t="s">
        <v>127</v>
      </c>
      <c r="E461" s="208" t="s">
        <v>750</v>
      </c>
      <c r="F461" s="208"/>
      <c r="G461" s="208"/>
      <c r="H461" s="208"/>
      <c r="I461" s="208"/>
      <c r="J461" s="208"/>
      <c r="K461" s="208"/>
      <c r="L461" s="208"/>
      <c r="M461" s="208"/>
      <c r="N461" s="208"/>
      <c r="O461" s="208"/>
      <c r="P461" s="208"/>
      <c r="Q461" s="208"/>
      <c r="R461" s="208"/>
      <c r="S461" s="208"/>
      <c r="T461" s="208"/>
      <c r="U461" s="208"/>
      <c r="V461" s="250"/>
      <c r="W461" s="250"/>
      <c r="X461" s="250"/>
      <c r="Y461" s="203" t="s">
        <v>501</v>
      </c>
      <c r="Z461" s="280">
        <f t="shared" si="23"/>
        <v>2914339.99</v>
      </c>
      <c r="AA461" s="280">
        <f t="shared" si="23"/>
        <v>2914339.99</v>
      </c>
      <c r="AB461" s="280">
        <f t="shared" si="23"/>
        <v>2914339.99</v>
      </c>
      <c r="AC461" s="350" t="s">
        <v>501</v>
      </c>
      <c r="AD461" s="503"/>
    </row>
    <row r="462" spans="1:30" ht="65.25" customHeight="1" x14ac:dyDescent="0.3">
      <c r="A462" s="400" t="s">
        <v>502</v>
      </c>
      <c r="B462" s="185" t="s">
        <v>19</v>
      </c>
      <c r="C462" s="185" t="s">
        <v>123</v>
      </c>
      <c r="D462" s="185" t="s">
        <v>127</v>
      </c>
      <c r="E462" s="208" t="s">
        <v>750</v>
      </c>
      <c r="F462" s="185"/>
      <c r="G462" s="185"/>
      <c r="H462" s="185"/>
      <c r="I462" s="185"/>
      <c r="J462" s="185"/>
      <c r="K462" s="185"/>
      <c r="L462" s="185"/>
      <c r="M462" s="185"/>
      <c r="N462" s="185"/>
      <c r="O462" s="185"/>
      <c r="P462" s="185"/>
      <c r="Q462" s="185"/>
      <c r="R462" s="185"/>
      <c r="S462" s="185"/>
      <c r="T462" s="185" t="s">
        <v>309</v>
      </c>
      <c r="U462" s="185"/>
      <c r="V462" s="186"/>
      <c r="W462" s="186"/>
      <c r="X462" s="186"/>
      <c r="Y462" s="184" t="s">
        <v>502</v>
      </c>
      <c r="Z462" s="253">
        <v>2914339.99</v>
      </c>
      <c r="AA462" s="253">
        <v>2914339.99</v>
      </c>
      <c r="AB462" s="253">
        <v>2914339.99</v>
      </c>
      <c r="AC462" s="504" t="s">
        <v>502</v>
      </c>
      <c r="AD462" s="503"/>
    </row>
    <row r="463" spans="1:30" ht="18.600000000000001" customHeight="1" x14ac:dyDescent="0.3">
      <c r="A463" s="415" t="s">
        <v>382</v>
      </c>
      <c r="B463" s="207" t="s">
        <v>19</v>
      </c>
      <c r="C463" s="207" t="s">
        <v>138</v>
      </c>
      <c r="D463" s="207" t="s">
        <v>133</v>
      </c>
      <c r="E463" s="207"/>
      <c r="F463" s="207"/>
      <c r="G463" s="207"/>
      <c r="H463" s="207"/>
      <c r="I463" s="207"/>
      <c r="J463" s="207"/>
      <c r="K463" s="207"/>
      <c r="L463" s="207"/>
      <c r="M463" s="207"/>
      <c r="N463" s="207"/>
      <c r="O463" s="207"/>
      <c r="P463" s="207"/>
      <c r="Q463" s="207"/>
      <c r="R463" s="207"/>
      <c r="S463" s="207"/>
      <c r="T463" s="207"/>
      <c r="U463" s="207"/>
      <c r="V463" s="254"/>
      <c r="W463" s="254"/>
      <c r="X463" s="254"/>
      <c r="Y463" s="206" t="s">
        <v>382</v>
      </c>
      <c r="Z463" s="255">
        <f>Z464+Z467</f>
        <v>5801834.5599999996</v>
      </c>
      <c r="AA463" s="255">
        <f>AA464+AA467</f>
        <v>7636834.5599999996</v>
      </c>
      <c r="AB463" s="255">
        <f>AB464+AB467</f>
        <v>7636834.5599999996</v>
      </c>
      <c r="AC463" s="502" t="s">
        <v>382</v>
      </c>
      <c r="AD463" s="503"/>
    </row>
    <row r="464" spans="1:30" ht="18.600000000000001" hidden="1" customHeight="1" x14ac:dyDescent="0.3">
      <c r="A464" s="415" t="s">
        <v>156</v>
      </c>
      <c r="B464" s="207" t="s">
        <v>19</v>
      </c>
      <c r="C464" s="207" t="s">
        <v>138</v>
      </c>
      <c r="D464" s="207" t="s">
        <v>132</v>
      </c>
      <c r="E464" s="207"/>
      <c r="F464" s="207"/>
      <c r="G464" s="207"/>
      <c r="H464" s="207"/>
      <c r="I464" s="207"/>
      <c r="J464" s="207"/>
      <c r="K464" s="207"/>
      <c r="L464" s="207"/>
      <c r="M464" s="207"/>
      <c r="N464" s="207"/>
      <c r="O464" s="207"/>
      <c r="P464" s="207"/>
      <c r="Q464" s="207"/>
      <c r="R464" s="207"/>
      <c r="S464" s="207"/>
      <c r="T464" s="207"/>
      <c r="U464" s="207"/>
      <c r="V464" s="254"/>
      <c r="W464" s="254"/>
      <c r="X464" s="254"/>
      <c r="Y464" s="206" t="s">
        <v>156</v>
      </c>
      <c r="Z464" s="255">
        <f t="shared" ref="Z464:AB465" si="24">Z465</f>
        <v>0</v>
      </c>
      <c r="AA464" s="255">
        <f t="shared" si="24"/>
        <v>0</v>
      </c>
      <c r="AB464" s="255">
        <f t="shared" si="24"/>
        <v>0</v>
      </c>
      <c r="AC464" s="502" t="s">
        <v>156</v>
      </c>
      <c r="AD464" s="503"/>
    </row>
    <row r="465" spans="1:30" ht="160.5" hidden="1" customHeight="1" x14ac:dyDescent="0.3">
      <c r="A465" s="402" t="s">
        <v>751</v>
      </c>
      <c r="B465" s="208" t="s">
        <v>19</v>
      </c>
      <c r="C465" s="208" t="s">
        <v>138</v>
      </c>
      <c r="D465" s="208" t="s">
        <v>132</v>
      </c>
      <c r="E465" s="208" t="s">
        <v>752</v>
      </c>
      <c r="F465" s="208"/>
      <c r="G465" s="208"/>
      <c r="H465" s="208"/>
      <c r="I465" s="208"/>
      <c r="J465" s="208"/>
      <c r="K465" s="208"/>
      <c r="L465" s="208"/>
      <c r="M465" s="208"/>
      <c r="N465" s="208"/>
      <c r="O465" s="208"/>
      <c r="P465" s="208"/>
      <c r="Q465" s="208"/>
      <c r="R465" s="208"/>
      <c r="S465" s="208"/>
      <c r="T465" s="208"/>
      <c r="U465" s="208"/>
      <c r="V465" s="250"/>
      <c r="W465" s="250"/>
      <c r="X465" s="250"/>
      <c r="Y465" s="203" t="s">
        <v>503</v>
      </c>
      <c r="Z465" s="280">
        <f t="shared" si="24"/>
        <v>0</v>
      </c>
      <c r="AA465" s="280">
        <f t="shared" si="24"/>
        <v>0</v>
      </c>
      <c r="AB465" s="280">
        <f t="shared" si="24"/>
        <v>0</v>
      </c>
      <c r="AC465" s="350" t="s">
        <v>503</v>
      </c>
      <c r="AD465" s="503"/>
    </row>
    <row r="466" spans="1:30" ht="125.25" hidden="1" customHeight="1" x14ac:dyDescent="0.3">
      <c r="A466" s="400" t="s">
        <v>504</v>
      </c>
      <c r="B466" s="185" t="s">
        <v>19</v>
      </c>
      <c r="C466" s="185" t="s">
        <v>138</v>
      </c>
      <c r="D466" s="185" t="s">
        <v>132</v>
      </c>
      <c r="E466" s="208" t="s">
        <v>752</v>
      </c>
      <c r="F466" s="185"/>
      <c r="G466" s="185"/>
      <c r="H466" s="185"/>
      <c r="I466" s="185"/>
      <c r="J466" s="185"/>
      <c r="K466" s="185"/>
      <c r="L466" s="185"/>
      <c r="M466" s="185"/>
      <c r="N466" s="185"/>
      <c r="O466" s="185"/>
      <c r="P466" s="185"/>
      <c r="Q466" s="185"/>
      <c r="R466" s="185"/>
      <c r="S466" s="185"/>
      <c r="T466" s="185" t="s">
        <v>309</v>
      </c>
      <c r="U466" s="185"/>
      <c r="V466" s="186"/>
      <c r="W466" s="186"/>
      <c r="X466" s="186"/>
      <c r="Y466" s="184" t="s">
        <v>504</v>
      </c>
      <c r="Z466" s="253">
        <f>7636834.56-2600000-5036834.56</f>
        <v>0</v>
      </c>
      <c r="AA466" s="253">
        <f>7636834.56-7636834.56</f>
        <v>0</v>
      </c>
      <c r="AB466" s="253">
        <f>7636834.56-7636834.56</f>
        <v>0</v>
      </c>
      <c r="AC466" s="504" t="s">
        <v>504</v>
      </c>
      <c r="AD466" s="503"/>
    </row>
    <row r="467" spans="1:30" ht="24" customHeight="1" x14ac:dyDescent="0.3">
      <c r="A467" s="415" t="s">
        <v>889</v>
      </c>
      <c r="B467" s="207" t="s">
        <v>19</v>
      </c>
      <c r="C467" s="207" t="s">
        <v>138</v>
      </c>
      <c r="D467" s="207" t="s">
        <v>123</v>
      </c>
      <c r="E467" s="208"/>
      <c r="F467" s="185"/>
      <c r="G467" s="185"/>
      <c r="H467" s="185"/>
      <c r="I467" s="185"/>
      <c r="J467" s="185"/>
      <c r="K467" s="185"/>
      <c r="L467" s="185"/>
      <c r="M467" s="185"/>
      <c r="N467" s="185"/>
      <c r="O467" s="185"/>
      <c r="P467" s="185"/>
      <c r="Q467" s="185"/>
      <c r="R467" s="185"/>
      <c r="S467" s="185"/>
      <c r="T467" s="185"/>
      <c r="U467" s="185"/>
      <c r="V467" s="186"/>
      <c r="W467" s="186"/>
      <c r="X467" s="186"/>
      <c r="Y467" s="184"/>
      <c r="Z467" s="253">
        <f t="shared" ref="Z467:AB468" si="25">Z468</f>
        <v>5801834.5599999996</v>
      </c>
      <c r="AA467" s="253">
        <f t="shared" si="25"/>
        <v>7636834.5599999996</v>
      </c>
      <c r="AB467" s="253">
        <f t="shared" si="25"/>
        <v>7636834.5599999996</v>
      </c>
      <c r="AC467" s="504"/>
      <c r="AD467" s="503"/>
    </row>
    <row r="468" spans="1:30" ht="98.25" customHeight="1" x14ac:dyDescent="0.3">
      <c r="A468" s="402" t="s">
        <v>751</v>
      </c>
      <c r="B468" s="208" t="s">
        <v>19</v>
      </c>
      <c r="C468" s="208" t="s">
        <v>138</v>
      </c>
      <c r="D468" s="208" t="s">
        <v>123</v>
      </c>
      <c r="E468" s="208" t="s">
        <v>752</v>
      </c>
      <c r="F468" s="208"/>
      <c r="G468" s="208"/>
      <c r="H468" s="208"/>
      <c r="I468" s="208"/>
      <c r="J468" s="208"/>
      <c r="K468" s="208"/>
      <c r="L468" s="208"/>
      <c r="M468" s="208"/>
      <c r="N468" s="208"/>
      <c r="O468" s="208"/>
      <c r="P468" s="208"/>
      <c r="Q468" s="208"/>
      <c r="R468" s="208"/>
      <c r="S468" s="208"/>
      <c r="T468" s="208"/>
      <c r="U468" s="185"/>
      <c r="V468" s="186"/>
      <c r="W468" s="186"/>
      <c r="X468" s="186"/>
      <c r="Y468" s="184"/>
      <c r="Z468" s="253">
        <f t="shared" si="25"/>
        <v>5801834.5599999996</v>
      </c>
      <c r="AA468" s="253">
        <f t="shared" si="25"/>
        <v>7636834.5599999996</v>
      </c>
      <c r="AB468" s="253">
        <f t="shared" si="25"/>
        <v>7636834.5599999996</v>
      </c>
      <c r="AC468" s="504"/>
      <c r="AD468" s="503"/>
    </row>
    <row r="469" spans="1:30" ht="64.5" customHeight="1" x14ac:dyDescent="0.3">
      <c r="A469" s="400" t="s">
        <v>504</v>
      </c>
      <c r="B469" s="185" t="s">
        <v>19</v>
      </c>
      <c r="C469" s="185" t="s">
        <v>138</v>
      </c>
      <c r="D469" s="185" t="s">
        <v>123</v>
      </c>
      <c r="E469" s="208" t="s">
        <v>752</v>
      </c>
      <c r="F469" s="185"/>
      <c r="G469" s="185"/>
      <c r="H469" s="185"/>
      <c r="I469" s="185"/>
      <c r="J469" s="185"/>
      <c r="K469" s="185"/>
      <c r="L469" s="185"/>
      <c r="M469" s="185"/>
      <c r="N469" s="185"/>
      <c r="O469" s="185"/>
      <c r="P469" s="185"/>
      <c r="Q469" s="185"/>
      <c r="R469" s="185"/>
      <c r="S469" s="185"/>
      <c r="T469" s="185" t="s">
        <v>309</v>
      </c>
      <c r="U469" s="185"/>
      <c r="V469" s="186"/>
      <c r="W469" s="186"/>
      <c r="X469" s="186"/>
      <c r="Y469" s="184"/>
      <c r="Z469" s="253">
        <f>5036834.56+765000</f>
        <v>5801834.5599999996</v>
      </c>
      <c r="AA469" s="253">
        <v>7636834.5599999996</v>
      </c>
      <c r="AB469" s="253">
        <v>7636834.5599999996</v>
      </c>
      <c r="AC469" s="504"/>
      <c r="AD469" s="503"/>
    </row>
    <row r="470" spans="1:30" ht="18.600000000000001" customHeight="1" x14ac:dyDescent="0.3">
      <c r="A470" s="415" t="s">
        <v>395</v>
      </c>
      <c r="B470" s="207" t="s">
        <v>19</v>
      </c>
      <c r="C470" s="207" t="s">
        <v>126</v>
      </c>
      <c r="D470" s="207" t="s">
        <v>133</v>
      </c>
      <c r="E470" s="207"/>
      <c r="F470" s="207"/>
      <c r="G470" s="207"/>
      <c r="H470" s="207"/>
      <c r="I470" s="207"/>
      <c r="J470" s="207"/>
      <c r="K470" s="207"/>
      <c r="L470" s="207"/>
      <c r="M470" s="207"/>
      <c r="N470" s="207"/>
      <c r="O470" s="207"/>
      <c r="P470" s="207"/>
      <c r="Q470" s="207"/>
      <c r="R470" s="207"/>
      <c r="S470" s="207"/>
      <c r="T470" s="207"/>
      <c r="U470" s="207"/>
      <c r="V470" s="254"/>
      <c r="W470" s="254"/>
      <c r="X470" s="254"/>
      <c r="Y470" s="206" t="s">
        <v>395</v>
      </c>
      <c r="Z470" s="255">
        <f>Z471</f>
        <v>14200158.439999999</v>
      </c>
      <c r="AA470" s="255">
        <f>AA471</f>
        <v>14469758.34</v>
      </c>
      <c r="AB470" s="255">
        <f>AB471</f>
        <v>14469758.34</v>
      </c>
      <c r="AC470" s="502" t="s">
        <v>395</v>
      </c>
      <c r="AD470" s="503"/>
    </row>
    <row r="471" spans="1:30" ht="18.600000000000001" customHeight="1" x14ac:dyDescent="0.3">
      <c r="A471" s="415" t="s">
        <v>159</v>
      </c>
      <c r="B471" s="207" t="s">
        <v>19</v>
      </c>
      <c r="C471" s="207" t="s">
        <v>126</v>
      </c>
      <c r="D471" s="207" t="s">
        <v>122</v>
      </c>
      <c r="E471" s="207"/>
      <c r="F471" s="207"/>
      <c r="G471" s="207"/>
      <c r="H471" s="207"/>
      <c r="I471" s="207"/>
      <c r="J471" s="207"/>
      <c r="K471" s="207"/>
      <c r="L471" s="207"/>
      <c r="M471" s="207"/>
      <c r="N471" s="207"/>
      <c r="O471" s="207"/>
      <c r="P471" s="207"/>
      <c r="Q471" s="207"/>
      <c r="R471" s="207"/>
      <c r="S471" s="207"/>
      <c r="T471" s="207"/>
      <c r="U471" s="207"/>
      <c r="V471" s="254"/>
      <c r="W471" s="254"/>
      <c r="X471" s="254"/>
      <c r="Y471" s="206" t="s">
        <v>159</v>
      </c>
      <c r="Z471" s="255">
        <f>Z472+Z474+Z476</f>
        <v>14200158.439999999</v>
      </c>
      <c r="AA471" s="255">
        <f>AA472+AA474+AA476</f>
        <v>14469758.34</v>
      </c>
      <c r="AB471" s="255">
        <f>AB472+AB474+AB476</f>
        <v>14469758.34</v>
      </c>
      <c r="AC471" s="502" t="s">
        <v>159</v>
      </c>
      <c r="AD471" s="503"/>
    </row>
    <row r="472" spans="1:30" ht="79.5" customHeight="1" x14ac:dyDescent="0.3">
      <c r="A472" s="402" t="s">
        <v>753</v>
      </c>
      <c r="B472" s="208" t="s">
        <v>19</v>
      </c>
      <c r="C472" s="208" t="s">
        <v>126</v>
      </c>
      <c r="D472" s="208" t="s">
        <v>122</v>
      </c>
      <c r="E472" s="208" t="s">
        <v>754</v>
      </c>
      <c r="F472" s="208"/>
      <c r="G472" s="208"/>
      <c r="H472" s="208"/>
      <c r="I472" s="208"/>
      <c r="J472" s="208"/>
      <c r="K472" s="208"/>
      <c r="L472" s="208"/>
      <c r="M472" s="208"/>
      <c r="N472" s="208"/>
      <c r="O472" s="208"/>
      <c r="P472" s="208"/>
      <c r="Q472" s="208"/>
      <c r="R472" s="208"/>
      <c r="S472" s="208"/>
      <c r="T472" s="208"/>
      <c r="U472" s="208"/>
      <c r="V472" s="250"/>
      <c r="W472" s="250"/>
      <c r="X472" s="250"/>
      <c r="Y472" s="203" t="s">
        <v>505</v>
      </c>
      <c r="Z472" s="280">
        <f>Z473</f>
        <v>5218041.63</v>
      </c>
      <c r="AA472" s="280">
        <f>AA473</f>
        <v>5132641.63</v>
      </c>
      <c r="AB472" s="280">
        <f>AB473</f>
        <v>5132641.63</v>
      </c>
      <c r="AC472" s="350" t="s">
        <v>505</v>
      </c>
      <c r="AD472" s="503"/>
    </row>
    <row r="473" spans="1:30" ht="50.25" customHeight="1" x14ac:dyDescent="0.3">
      <c r="A473" s="400" t="s">
        <v>506</v>
      </c>
      <c r="B473" s="185" t="s">
        <v>19</v>
      </c>
      <c r="C473" s="185" t="s">
        <v>126</v>
      </c>
      <c r="D473" s="185" t="s">
        <v>122</v>
      </c>
      <c r="E473" s="208" t="s">
        <v>754</v>
      </c>
      <c r="F473" s="185"/>
      <c r="G473" s="185"/>
      <c r="H473" s="185"/>
      <c r="I473" s="185"/>
      <c r="J473" s="185"/>
      <c r="K473" s="185"/>
      <c r="L473" s="185"/>
      <c r="M473" s="185"/>
      <c r="N473" s="185"/>
      <c r="O473" s="185"/>
      <c r="P473" s="185"/>
      <c r="Q473" s="185"/>
      <c r="R473" s="185"/>
      <c r="S473" s="185"/>
      <c r="T473" s="185" t="s">
        <v>309</v>
      </c>
      <c r="U473" s="185"/>
      <c r="V473" s="186"/>
      <c r="W473" s="186"/>
      <c r="X473" s="186"/>
      <c r="Y473" s="184" t="s">
        <v>506</v>
      </c>
      <c r="Z473" s="253">
        <f>5132641.63+85400</f>
        <v>5218041.63</v>
      </c>
      <c r="AA473" s="253">
        <v>5132641.63</v>
      </c>
      <c r="AB473" s="253">
        <v>5132641.63</v>
      </c>
      <c r="AC473" s="504" t="s">
        <v>506</v>
      </c>
      <c r="AD473" s="503"/>
    </row>
    <row r="474" spans="1:30" ht="66.75" customHeight="1" x14ac:dyDescent="0.3">
      <c r="A474" s="402" t="s">
        <v>755</v>
      </c>
      <c r="B474" s="208" t="s">
        <v>19</v>
      </c>
      <c r="C474" s="208" t="s">
        <v>126</v>
      </c>
      <c r="D474" s="208" t="s">
        <v>122</v>
      </c>
      <c r="E474" s="208" t="s">
        <v>756</v>
      </c>
      <c r="F474" s="208"/>
      <c r="G474" s="208"/>
      <c r="H474" s="208"/>
      <c r="I474" s="208"/>
      <c r="J474" s="208"/>
      <c r="K474" s="208"/>
      <c r="L474" s="208"/>
      <c r="M474" s="208"/>
      <c r="N474" s="208"/>
      <c r="O474" s="208"/>
      <c r="P474" s="208"/>
      <c r="Q474" s="208"/>
      <c r="R474" s="208"/>
      <c r="S474" s="208"/>
      <c r="T474" s="208"/>
      <c r="U474" s="208"/>
      <c r="V474" s="250"/>
      <c r="W474" s="250"/>
      <c r="X474" s="250"/>
      <c r="Y474" s="203" t="s">
        <v>507</v>
      </c>
      <c r="Z474" s="280">
        <f>Z475</f>
        <v>3169348.64</v>
      </c>
      <c r="AA474" s="280">
        <f>AA475</f>
        <v>3724348.54</v>
      </c>
      <c r="AB474" s="280">
        <f>AB475</f>
        <v>3724348.54</v>
      </c>
      <c r="AC474" s="350" t="s">
        <v>507</v>
      </c>
      <c r="AD474" s="503"/>
    </row>
    <row r="475" spans="1:30" ht="51.75" customHeight="1" x14ac:dyDescent="0.3">
      <c r="A475" s="400" t="s">
        <v>508</v>
      </c>
      <c r="B475" s="185" t="s">
        <v>19</v>
      </c>
      <c r="C475" s="185" t="s">
        <v>126</v>
      </c>
      <c r="D475" s="185" t="s">
        <v>122</v>
      </c>
      <c r="E475" s="208" t="s">
        <v>756</v>
      </c>
      <c r="F475" s="185"/>
      <c r="G475" s="185"/>
      <c r="H475" s="185"/>
      <c r="I475" s="185"/>
      <c r="J475" s="185"/>
      <c r="K475" s="185"/>
      <c r="L475" s="185"/>
      <c r="M475" s="185"/>
      <c r="N475" s="185"/>
      <c r="O475" s="185"/>
      <c r="P475" s="185"/>
      <c r="Q475" s="185"/>
      <c r="R475" s="185"/>
      <c r="S475" s="185"/>
      <c r="T475" s="185" t="s">
        <v>309</v>
      </c>
      <c r="U475" s="185"/>
      <c r="V475" s="186"/>
      <c r="W475" s="186"/>
      <c r="X475" s="186"/>
      <c r="Y475" s="184" t="s">
        <v>508</v>
      </c>
      <c r="Z475" s="253">
        <f>3724348.64-1000000+40000+405000</f>
        <v>3169348.64</v>
      </c>
      <c r="AA475" s="253">
        <v>3724348.54</v>
      </c>
      <c r="AB475" s="253">
        <v>3724348.54</v>
      </c>
      <c r="AC475" s="504" t="s">
        <v>508</v>
      </c>
      <c r="AD475" s="503"/>
    </row>
    <row r="476" spans="1:30" ht="66" customHeight="1" x14ac:dyDescent="0.3">
      <c r="A476" s="402" t="s">
        <v>757</v>
      </c>
      <c r="B476" s="208" t="s">
        <v>19</v>
      </c>
      <c r="C476" s="208" t="s">
        <v>126</v>
      </c>
      <c r="D476" s="208" t="s">
        <v>122</v>
      </c>
      <c r="E476" s="208" t="s">
        <v>758</v>
      </c>
      <c r="F476" s="208"/>
      <c r="G476" s="208"/>
      <c r="H476" s="208"/>
      <c r="I476" s="208"/>
      <c r="J476" s="208"/>
      <c r="K476" s="208"/>
      <c r="L476" s="208"/>
      <c r="M476" s="208"/>
      <c r="N476" s="208"/>
      <c r="O476" s="208"/>
      <c r="P476" s="208"/>
      <c r="Q476" s="208"/>
      <c r="R476" s="208"/>
      <c r="S476" s="208"/>
      <c r="T476" s="208"/>
      <c r="U476" s="208"/>
      <c r="V476" s="250"/>
      <c r="W476" s="250"/>
      <c r="X476" s="250"/>
      <c r="Y476" s="203" t="s">
        <v>509</v>
      </c>
      <c r="Z476" s="280">
        <f>Z477</f>
        <v>5812768.1699999999</v>
      </c>
      <c r="AA476" s="280">
        <f>AA477</f>
        <v>5612768.1699999999</v>
      </c>
      <c r="AB476" s="280">
        <f>AB477</f>
        <v>5612768.1699999999</v>
      </c>
      <c r="AC476" s="350" t="s">
        <v>509</v>
      </c>
      <c r="AD476" s="503"/>
    </row>
    <row r="477" spans="1:30" ht="54.75" customHeight="1" x14ac:dyDescent="0.3">
      <c r="A477" s="400" t="s">
        <v>510</v>
      </c>
      <c r="B477" s="185" t="s">
        <v>19</v>
      </c>
      <c r="C477" s="185" t="s">
        <v>126</v>
      </c>
      <c r="D477" s="211" t="s">
        <v>122</v>
      </c>
      <c r="E477" s="208" t="s">
        <v>758</v>
      </c>
      <c r="F477" s="185"/>
      <c r="G477" s="185"/>
      <c r="H477" s="185"/>
      <c r="I477" s="185"/>
      <c r="J477" s="185"/>
      <c r="K477" s="185"/>
      <c r="L477" s="185"/>
      <c r="M477" s="185"/>
      <c r="N477" s="185"/>
      <c r="O477" s="185"/>
      <c r="P477" s="185"/>
      <c r="Q477" s="185"/>
      <c r="R477" s="185"/>
      <c r="S477" s="185"/>
      <c r="T477" s="185" t="s">
        <v>309</v>
      </c>
      <c r="U477" s="185"/>
      <c r="V477" s="186"/>
      <c r="W477" s="186"/>
      <c r="X477" s="186"/>
      <c r="Y477" s="184" t="s">
        <v>510</v>
      </c>
      <c r="Z477" s="253">
        <f>5612768.17+200000</f>
        <v>5812768.1699999999</v>
      </c>
      <c r="AA477" s="253">
        <v>5612768.1699999999</v>
      </c>
      <c r="AB477" s="253">
        <v>5612768.1699999999</v>
      </c>
      <c r="AC477" s="504" t="s">
        <v>510</v>
      </c>
      <c r="AD477" s="503"/>
    </row>
    <row r="478" spans="1:30" ht="24" customHeight="1" x14ac:dyDescent="0.3">
      <c r="A478" s="435" t="s">
        <v>511</v>
      </c>
      <c r="B478" s="207"/>
      <c r="C478" s="207"/>
      <c r="D478" s="207"/>
      <c r="E478" s="207"/>
      <c r="F478" s="207"/>
      <c r="G478" s="207"/>
      <c r="H478" s="207"/>
      <c r="I478" s="207"/>
      <c r="J478" s="207"/>
      <c r="K478" s="207"/>
      <c r="L478" s="207"/>
      <c r="M478" s="207"/>
      <c r="N478" s="207"/>
      <c r="O478" s="207"/>
      <c r="P478" s="207"/>
      <c r="Q478" s="207"/>
      <c r="R478" s="207"/>
      <c r="S478" s="207"/>
      <c r="T478" s="207"/>
      <c r="U478" s="207"/>
      <c r="V478" s="254"/>
      <c r="W478" s="254"/>
      <c r="X478" s="254"/>
      <c r="Y478" s="517" t="s">
        <v>511</v>
      </c>
      <c r="Z478" s="255">
        <f>Z11+Z266+Z356+Z447</f>
        <v>1049428555.2409999</v>
      </c>
      <c r="AA478" s="255">
        <f>AA11+AA266+AA356+AA447</f>
        <v>654045822.25999999</v>
      </c>
      <c r="AB478" s="255">
        <f>AB11+AB266+AB356+AB447</f>
        <v>644506405.38999999</v>
      </c>
      <c r="AC478" s="518" t="s">
        <v>511</v>
      </c>
      <c r="AD478" s="503"/>
    </row>
    <row r="479" spans="1:30" ht="31.5" customHeight="1" x14ac:dyDescent="0.3">
      <c r="Z479" s="503"/>
      <c r="AA479" s="503"/>
      <c r="AB479" s="503"/>
      <c r="AC479" s="503"/>
      <c r="AD479" s="503"/>
    </row>
    <row r="480" spans="1:30" ht="0.75" customHeight="1" x14ac:dyDescent="0.3">
      <c r="Z480" s="519">
        <f>П1ИВФ!C21+ДОХОДЫ!E114</f>
        <v>1049428555.2399999</v>
      </c>
      <c r="AA480" s="519">
        <f>П1ИВФ!D21+ДОХОДЫ!F114</f>
        <v>654045822.25999999</v>
      </c>
      <c r="AB480" s="519">
        <f>П1ИВФ!E21+ДОХОДЫ!G114</f>
        <v>644506405.38999999</v>
      </c>
      <c r="AC480" s="503"/>
      <c r="AD480" s="503"/>
    </row>
    <row r="481" spans="2:30" ht="41.25" hidden="1" customHeight="1" x14ac:dyDescent="0.3">
      <c r="B481" s="491" t="s">
        <v>1091</v>
      </c>
      <c r="Z481" s="519">
        <f>Z31</f>
        <v>50000</v>
      </c>
      <c r="AA481" s="503"/>
      <c r="AB481" s="503"/>
      <c r="AC481" s="503"/>
      <c r="AD481" s="503"/>
    </row>
    <row r="482" spans="2:30" ht="18" hidden="1" customHeight="1" x14ac:dyDescent="0.3">
      <c r="B482" s="491" t="s">
        <v>522</v>
      </c>
      <c r="Z482" s="519">
        <f>Z13+Z16+Z32+Z38+Z63+Z73+Z219+Z228+Z230+Z243+Z246+Z396+Z369+Z398+Z424+Z61</f>
        <v>10710004.189999999</v>
      </c>
      <c r="AA482" s="519">
        <f>AA13+AA16+AA32+AA38+AA63+AA73+AA160+AA219+AA228+AA230+AA243+AA246+AA396+AA369+AA398+AA424+AA42</f>
        <v>8663199.709999999</v>
      </c>
      <c r="AB482" s="519">
        <f>AB13+AB16+AB32+AB38+AB63+AB73+AB160+AB219+AB228+AB230+AB243+AB246+AB396+AB369+AB398+AB424+AB42</f>
        <v>8943519.6099999994</v>
      </c>
      <c r="AC482" s="503"/>
      <c r="AD482" s="503"/>
    </row>
    <row r="483" spans="2:30" ht="18.75" hidden="1" x14ac:dyDescent="0.3">
      <c r="B483" s="491" t="s">
        <v>523</v>
      </c>
      <c r="Z483" s="519">
        <f>Z58+Z167+Z203+Z221+Z248+Z367+Z388+Z428+Z431+Z433+Z436+Z440+Z98+Z409+Z443+Z160+Z406+Z237+Z36</f>
        <v>603461097.91999996</v>
      </c>
      <c r="AA483" s="519">
        <f>AA58+AA167+AA203+AA221+AA248+AA367+AA388+AA428+AA431+AA433+AA436+AA440+AA98+AA409+AA443+AA406</f>
        <v>315389600</v>
      </c>
      <c r="AB483" s="519">
        <f>AB58+AB167+AB203+AB221+AB248+AB367+AB388+AB428+AB431+AB433+AB436+AB440+AB98+AB409+AB443+AB406</f>
        <v>315633200</v>
      </c>
      <c r="AC483" s="503"/>
      <c r="AD483" s="503"/>
    </row>
    <row r="484" spans="2:30" ht="18.75" hidden="1" x14ac:dyDescent="0.3">
      <c r="B484" s="491" t="s">
        <v>548</v>
      </c>
      <c r="Z484" s="519">
        <f>П5МП!I54</f>
        <v>435207453.13100004</v>
      </c>
      <c r="AA484" s="519">
        <f>П5МП!J54</f>
        <v>329993022.55000001</v>
      </c>
      <c r="AB484" s="519">
        <f>П5МП!K54</f>
        <v>319929685.78000003</v>
      </c>
      <c r="AC484" s="503"/>
      <c r="AD484" s="503"/>
    </row>
    <row r="485" spans="2:30" ht="18.75" hidden="1" x14ac:dyDescent="0.3">
      <c r="B485" s="491" t="s">
        <v>765</v>
      </c>
      <c r="Z485" s="503"/>
      <c r="AA485" s="519">
        <f>AA267</f>
        <v>0</v>
      </c>
      <c r="AB485" s="519">
        <f>AB267</f>
        <v>0</v>
      </c>
      <c r="AC485" s="503"/>
      <c r="AD485" s="503"/>
    </row>
    <row r="486" spans="2:30" ht="18" hidden="1" customHeight="1" x14ac:dyDescent="0.3">
      <c r="Z486" s="520">
        <f>Z480-Z478</f>
        <v>-1.0000467300415039E-3</v>
      </c>
      <c r="AA486" s="520">
        <f>AA480-AA478</f>
        <v>0</v>
      </c>
      <c r="AB486" s="520">
        <f>AB480-AB478</f>
        <v>0</v>
      </c>
      <c r="AC486" s="503"/>
      <c r="AD486" s="503"/>
    </row>
    <row r="487" spans="2:30" ht="18.75" hidden="1" customHeight="1" x14ac:dyDescent="0.3">
      <c r="T487" s="491" t="s">
        <v>1222</v>
      </c>
      <c r="Z487" s="519">
        <f>Z25+Z27+Z28+Z29+Z43+Z46+Z51+Z53+Z55+Z57+Z68+Z70+Z72+Z77+Z83+Z87+Z89+Z101+Z106+Z108+Z113+Z115+Z117+Z119+Z121+Z123+Z125+Z127+Z129+Z131+Z133+Z136+Z138+Z140+Z81+Z85++Z91+Z93+Z95+Z143+Z145+Z147+Z149+Z159+Z164+Z166+Z171+Z173+Z175+Z177+Z179+Z181+Z183+Z185+Z189+Z192+Z194+Z196+Z198+Z200+Z202+Z210+Z212+Z214+Z216+Z234+Z236+Z256+Z258+Z261+Z263+Z265+Z97+Z49+Z217</f>
        <v>167182674.03999999</v>
      </c>
      <c r="AA487" s="519"/>
      <c r="AB487" s="519"/>
      <c r="AC487" s="503"/>
      <c r="AD487" s="503"/>
    </row>
    <row r="488" spans="2:30" ht="18.75" hidden="1" x14ac:dyDescent="0.3">
      <c r="T488" s="491" t="s">
        <v>1223</v>
      </c>
      <c r="Z488" s="519">
        <f>Z273+Z274+Z275+Z292+Z293+Z294+Z299+Z305+Z306+Z311+Z312+Z313+Z314+Z315+Z316+Z321+Z322+Z323+Z324+Z325+Z326+Z327+Z328+Z329+Z333+Z334+Z335+Z336+Z337+Z338+Z339+Z340+Z341+Z345+Z350+Z351+Z355+Z277+Z280</f>
        <v>49966592.761</v>
      </c>
      <c r="AA488" s="503"/>
      <c r="AB488" s="503"/>
      <c r="AC488" s="503"/>
      <c r="AD488" s="503"/>
    </row>
    <row r="489" spans="2:30" ht="18.75" hidden="1" x14ac:dyDescent="0.3">
      <c r="T489" s="491" t="s">
        <v>1224</v>
      </c>
      <c r="Z489" s="519">
        <f>Z360+Z362+Z364+Z366+Z373+Z375+Z377+Z379+Z383+Z385+Z387+Z391+Z393+Z395+Z402+Z403+Z405+Z413+Z414+Z415+Z417+Z418+Z419+Z421</f>
        <v>185629217.53000003</v>
      </c>
      <c r="AA489" s="503"/>
      <c r="AB489" s="503"/>
      <c r="AC489" s="503"/>
      <c r="AD489" s="503"/>
    </row>
    <row r="490" spans="2:30" ht="18.75" hidden="1" x14ac:dyDescent="0.3">
      <c r="T490" s="491" t="s">
        <v>1225</v>
      </c>
      <c r="Z490" s="519">
        <f>Z477+Z475+Z473+Z469+Z462+Z458+Z456+Z455+Z453+Z451+Z452</f>
        <v>32396968.800000004</v>
      </c>
      <c r="AA490" s="503"/>
      <c r="AB490" s="503"/>
      <c r="AC490" s="503"/>
      <c r="AD490" s="503"/>
    </row>
    <row r="491" spans="2:30" hidden="1" x14ac:dyDescent="0.25">
      <c r="T491" s="524" t="s">
        <v>1226</v>
      </c>
      <c r="Z491" s="499">
        <f>SUM(Z487:Z490)</f>
        <v>435175453.13100004</v>
      </c>
    </row>
    <row r="492" spans="2:30" hidden="1" x14ac:dyDescent="0.25"/>
    <row r="493" spans="2:30" hidden="1" x14ac:dyDescent="0.25">
      <c r="Z493" s="499">
        <f>Z484-Z491</f>
        <v>32000</v>
      </c>
    </row>
  </sheetData>
  <autoFilter ref="A12:E478"/>
  <mergeCells count="13">
    <mergeCell ref="E8:E9"/>
    <mergeCell ref="AC8:AC9"/>
    <mergeCell ref="A5:AC5"/>
    <mergeCell ref="A8:A9"/>
    <mergeCell ref="B8:B9"/>
    <mergeCell ref="C8:C9"/>
    <mergeCell ref="D8:D9"/>
    <mergeCell ref="T8:T9"/>
    <mergeCell ref="X8:X9"/>
    <mergeCell ref="Y8:Y9"/>
    <mergeCell ref="Z8:Z9"/>
    <mergeCell ref="AA8:AA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93"/>
  <sheetViews>
    <sheetView workbookViewId="0">
      <selection activeCell="I20" sqref="I20"/>
    </sheetView>
  </sheetViews>
  <sheetFormatPr defaultRowHeight="15.75" x14ac:dyDescent="0.25"/>
  <cols>
    <col min="1" max="1" width="3.140625" style="27" customWidth="1"/>
    <col min="2" max="2" width="51.7109375" style="445" customWidth="1"/>
    <col min="3" max="3" width="11.85546875" style="28" hidden="1" customWidth="1"/>
    <col min="4" max="4" width="11.28515625" style="28" hidden="1" customWidth="1"/>
    <col min="5" max="5" width="15.42578125" style="29" hidden="1" customWidth="1"/>
    <col min="6" max="8" width="15.140625" style="27" hidden="1" customWidth="1"/>
    <col min="9" max="9" width="14.85546875" style="27" customWidth="1"/>
    <col min="10" max="10" width="14.28515625" style="27" customWidth="1"/>
    <col min="11" max="11" width="14.28515625" style="31" customWidth="1"/>
    <col min="12" max="12" width="18.5703125" style="31" customWidth="1"/>
    <col min="13" max="13" width="14.42578125" style="32" customWidth="1"/>
    <col min="14" max="14" width="9.140625" style="30"/>
    <col min="15" max="15" width="14.85546875" style="30" customWidth="1"/>
    <col min="16" max="256" width="9.140625" style="30"/>
    <col min="257" max="257" width="3.140625" style="30" customWidth="1"/>
    <col min="258" max="258" width="51.7109375" style="30" customWidth="1"/>
    <col min="259" max="264" width="0" style="30" hidden="1" customWidth="1"/>
    <col min="265" max="265" width="13.42578125" style="30" customWidth="1"/>
    <col min="266" max="266" width="13.28515625" style="30" customWidth="1"/>
    <col min="267" max="267" width="12.85546875" style="30" customWidth="1"/>
    <col min="268" max="268" width="18.5703125" style="30" customWidth="1"/>
    <col min="269" max="269" width="9.42578125" style="30" customWidth="1"/>
    <col min="270" max="512" width="9.140625" style="30"/>
    <col min="513" max="513" width="3.140625" style="30" customWidth="1"/>
    <col min="514" max="514" width="51.7109375" style="30" customWidth="1"/>
    <col min="515" max="520" width="0" style="30" hidden="1" customWidth="1"/>
    <col min="521" max="521" width="13.42578125" style="30" customWidth="1"/>
    <col min="522" max="522" width="13.28515625" style="30" customWidth="1"/>
    <col min="523" max="523" width="12.85546875" style="30" customWidth="1"/>
    <col min="524" max="524" width="18.5703125" style="30" customWidth="1"/>
    <col min="525" max="525" width="9.42578125" style="30" customWidth="1"/>
    <col min="526" max="768" width="9.140625" style="30"/>
    <col min="769" max="769" width="3.140625" style="30" customWidth="1"/>
    <col min="770" max="770" width="51.7109375" style="30" customWidth="1"/>
    <col min="771" max="776" width="0" style="30" hidden="1" customWidth="1"/>
    <col min="777" max="777" width="13.42578125" style="30" customWidth="1"/>
    <col min="778" max="778" width="13.28515625" style="30" customWidth="1"/>
    <col min="779" max="779" width="12.85546875" style="30" customWidth="1"/>
    <col min="780" max="780" width="18.5703125" style="30" customWidth="1"/>
    <col min="781" max="781" width="9.42578125" style="30" customWidth="1"/>
    <col min="782" max="1024" width="9.140625" style="30"/>
    <col min="1025" max="1025" width="3.140625" style="30" customWidth="1"/>
    <col min="1026" max="1026" width="51.7109375" style="30" customWidth="1"/>
    <col min="1027" max="1032" width="0" style="30" hidden="1" customWidth="1"/>
    <col min="1033" max="1033" width="13.42578125" style="30" customWidth="1"/>
    <col min="1034" max="1034" width="13.28515625" style="30" customWidth="1"/>
    <col min="1035" max="1035" width="12.85546875" style="30" customWidth="1"/>
    <col min="1036" max="1036" width="18.5703125" style="30" customWidth="1"/>
    <col min="1037" max="1037" width="9.42578125" style="30" customWidth="1"/>
    <col min="1038" max="1280" width="9.140625" style="30"/>
    <col min="1281" max="1281" width="3.140625" style="30" customWidth="1"/>
    <col min="1282" max="1282" width="51.7109375" style="30" customWidth="1"/>
    <col min="1283" max="1288" width="0" style="30" hidden="1" customWidth="1"/>
    <col min="1289" max="1289" width="13.42578125" style="30" customWidth="1"/>
    <col min="1290" max="1290" width="13.28515625" style="30" customWidth="1"/>
    <col min="1291" max="1291" width="12.85546875" style="30" customWidth="1"/>
    <col min="1292" max="1292" width="18.5703125" style="30" customWidth="1"/>
    <col min="1293" max="1293" width="9.42578125" style="30" customWidth="1"/>
    <col min="1294" max="1536" width="9.140625" style="30"/>
    <col min="1537" max="1537" width="3.140625" style="30" customWidth="1"/>
    <col min="1538" max="1538" width="51.7109375" style="30" customWidth="1"/>
    <col min="1539" max="1544" width="0" style="30" hidden="1" customWidth="1"/>
    <col min="1545" max="1545" width="13.42578125" style="30" customWidth="1"/>
    <col min="1546" max="1546" width="13.28515625" style="30" customWidth="1"/>
    <col min="1547" max="1547" width="12.85546875" style="30" customWidth="1"/>
    <col min="1548" max="1548" width="18.5703125" style="30" customWidth="1"/>
    <col min="1549" max="1549" width="9.42578125" style="30" customWidth="1"/>
    <col min="1550" max="1792" width="9.140625" style="30"/>
    <col min="1793" max="1793" width="3.140625" style="30" customWidth="1"/>
    <col min="1794" max="1794" width="51.7109375" style="30" customWidth="1"/>
    <col min="1795" max="1800" width="0" style="30" hidden="1" customWidth="1"/>
    <col min="1801" max="1801" width="13.42578125" style="30" customWidth="1"/>
    <col min="1802" max="1802" width="13.28515625" style="30" customWidth="1"/>
    <col min="1803" max="1803" width="12.85546875" style="30" customWidth="1"/>
    <col min="1804" max="1804" width="18.5703125" style="30" customWidth="1"/>
    <col min="1805" max="1805" width="9.42578125" style="30" customWidth="1"/>
    <col min="1806" max="2048" width="9.140625" style="30"/>
    <col min="2049" max="2049" width="3.140625" style="30" customWidth="1"/>
    <col min="2050" max="2050" width="51.7109375" style="30" customWidth="1"/>
    <col min="2051" max="2056" width="0" style="30" hidden="1" customWidth="1"/>
    <col min="2057" max="2057" width="13.42578125" style="30" customWidth="1"/>
    <col min="2058" max="2058" width="13.28515625" style="30" customWidth="1"/>
    <col min="2059" max="2059" width="12.85546875" style="30" customWidth="1"/>
    <col min="2060" max="2060" width="18.5703125" style="30" customWidth="1"/>
    <col min="2061" max="2061" width="9.42578125" style="30" customWidth="1"/>
    <col min="2062" max="2304" width="9.140625" style="30"/>
    <col min="2305" max="2305" width="3.140625" style="30" customWidth="1"/>
    <col min="2306" max="2306" width="51.7109375" style="30" customWidth="1"/>
    <col min="2307" max="2312" width="0" style="30" hidden="1" customWidth="1"/>
    <col min="2313" max="2313" width="13.42578125" style="30" customWidth="1"/>
    <col min="2314" max="2314" width="13.28515625" style="30" customWidth="1"/>
    <col min="2315" max="2315" width="12.85546875" style="30" customWidth="1"/>
    <col min="2316" max="2316" width="18.5703125" style="30" customWidth="1"/>
    <col min="2317" max="2317" width="9.42578125" style="30" customWidth="1"/>
    <col min="2318" max="2560" width="9.140625" style="30"/>
    <col min="2561" max="2561" width="3.140625" style="30" customWidth="1"/>
    <col min="2562" max="2562" width="51.7109375" style="30" customWidth="1"/>
    <col min="2563" max="2568" width="0" style="30" hidden="1" customWidth="1"/>
    <col min="2569" max="2569" width="13.42578125" style="30" customWidth="1"/>
    <col min="2570" max="2570" width="13.28515625" style="30" customWidth="1"/>
    <col min="2571" max="2571" width="12.85546875" style="30" customWidth="1"/>
    <col min="2572" max="2572" width="18.5703125" style="30" customWidth="1"/>
    <col min="2573" max="2573" width="9.42578125" style="30" customWidth="1"/>
    <col min="2574" max="2816" width="9.140625" style="30"/>
    <col min="2817" max="2817" width="3.140625" style="30" customWidth="1"/>
    <col min="2818" max="2818" width="51.7109375" style="30" customWidth="1"/>
    <col min="2819" max="2824" width="0" style="30" hidden="1" customWidth="1"/>
    <col min="2825" max="2825" width="13.42578125" style="30" customWidth="1"/>
    <col min="2826" max="2826" width="13.28515625" style="30" customWidth="1"/>
    <col min="2827" max="2827" width="12.85546875" style="30" customWidth="1"/>
    <col min="2828" max="2828" width="18.5703125" style="30" customWidth="1"/>
    <col min="2829" max="2829" width="9.42578125" style="30" customWidth="1"/>
    <col min="2830" max="3072" width="9.140625" style="30"/>
    <col min="3073" max="3073" width="3.140625" style="30" customWidth="1"/>
    <col min="3074" max="3074" width="51.7109375" style="30" customWidth="1"/>
    <col min="3075" max="3080" width="0" style="30" hidden="1" customWidth="1"/>
    <col min="3081" max="3081" width="13.42578125" style="30" customWidth="1"/>
    <col min="3082" max="3082" width="13.28515625" style="30" customWidth="1"/>
    <col min="3083" max="3083" width="12.85546875" style="30" customWidth="1"/>
    <col min="3084" max="3084" width="18.5703125" style="30" customWidth="1"/>
    <col min="3085" max="3085" width="9.42578125" style="30" customWidth="1"/>
    <col min="3086" max="3328" width="9.140625" style="30"/>
    <col min="3329" max="3329" width="3.140625" style="30" customWidth="1"/>
    <col min="3330" max="3330" width="51.7109375" style="30" customWidth="1"/>
    <col min="3331" max="3336" width="0" style="30" hidden="1" customWidth="1"/>
    <col min="3337" max="3337" width="13.42578125" style="30" customWidth="1"/>
    <col min="3338" max="3338" width="13.28515625" style="30" customWidth="1"/>
    <col min="3339" max="3339" width="12.85546875" style="30" customWidth="1"/>
    <col min="3340" max="3340" width="18.5703125" style="30" customWidth="1"/>
    <col min="3341" max="3341" width="9.42578125" style="30" customWidth="1"/>
    <col min="3342" max="3584" width="9.140625" style="30"/>
    <col min="3585" max="3585" width="3.140625" style="30" customWidth="1"/>
    <col min="3586" max="3586" width="51.7109375" style="30" customWidth="1"/>
    <col min="3587" max="3592" width="0" style="30" hidden="1" customWidth="1"/>
    <col min="3593" max="3593" width="13.42578125" style="30" customWidth="1"/>
    <col min="3594" max="3594" width="13.28515625" style="30" customWidth="1"/>
    <col min="3595" max="3595" width="12.85546875" style="30" customWidth="1"/>
    <col min="3596" max="3596" width="18.5703125" style="30" customWidth="1"/>
    <col min="3597" max="3597" width="9.42578125" style="30" customWidth="1"/>
    <col min="3598" max="3840" width="9.140625" style="30"/>
    <col min="3841" max="3841" width="3.140625" style="30" customWidth="1"/>
    <col min="3842" max="3842" width="51.7109375" style="30" customWidth="1"/>
    <col min="3843" max="3848" width="0" style="30" hidden="1" customWidth="1"/>
    <col min="3849" max="3849" width="13.42578125" style="30" customWidth="1"/>
    <col min="3850" max="3850" width="13.28515625" style="30" customWidth="1"/>
    <col min="3851" max="3851" width="12.85546875" style="30" customWidth="1"/>
    <col min="3852" max="3852" width="18.5703125" style="30" customWidth="1"/>
    <col min="3853" max="3853" width="9.42578125" style="30" customWidth="1"/>
    <col min="3854" max="4096" width="9.140625" style="30"/>
    <col min="4097" max="4097" width="3.140625" style="30" customWidth="1"/>
    <col min="4098" max="4098" width="51.7109375" style="30" customWidth="1"/>
    <col min="4099" max="4104" width="0" style="30" hidden="1" customWidth="1"/>
    <col min="4105" max="4105" width="13.42578125" style="30" customWidth="1"/>
    <col min="4106" max="4106" width="13.28515625" style="30" customWidth="1"/>
    <col min="4107" max="4107" width="12.85546875" style="30" customWidth="1"/>
    <col min="4108" max="4108" width="18.5703125" style="30" customWidth="1"/>
    <col min="4109" max="4109" width="9.42578125" style="30" customWidth="1"/>
    <col min="4110" max="4352" width="9.140625" style="30"/>
    <col min="4353" max="4353" width="3.140625" style="30" customWidth="1"/>
    <col min="4354" max="4354" width="51.7109375" style="30" customWidth="1"/>
    <col min="4355" max="4360" width="0" style="30" hidden="1" customWidth="1"/>
    <col min="4361" max="4361" width="13.42578125" style="30" customWidth="1"/>
    <col min="4362" max="4362" width="13.28515625" style="30" customWidth="1"/>
    <col min="4363" max="4363" width="12.85546875" style="30" customWidth="1"/>
    <col min="4364" max="4364" width="18.5703125" style="30" customWidth="1"/>
    <col min="4365" max="4365" width="9.42578125" style="30" customWidth="1"/>
    <col min="4366" max="4608" width="9.140625" style="30"/>
    <col min="4609" max="4609" width="3.140625" style="30" customWidth="1"/>
    <col min="4610" max="4610" width="51.7109375" style="30" customWidth="1"/>
    <col min="4611" max="4616" width="0" style="30" hidden="1" customWidth="1"/>
    <col min="4617" max="4617" width="13.42578125" style="30" customWidth="1"/>
    <col min="4618" max="4618" width="13.28515625" style="30" customWidth="1"/>
    <col min="4619" max="4619" width="12.85546875" style="30" customWidth="1"/>
    <col min="4620" max="4620" width="18.5703125" style="30" customWidth="1"/>
    <col min="4621" max="4621" width="9.42578125" style="30" customWidth="1"/>
    <col min="4622" max="4864" width="9.140625" style="30"/>
    <col min="4865" max="4865" width="3.140625" style="30" customWidth="1"/>
    <col min="4866" max="4866" width="51.7109375" style="30" customWidth="1"/>
    <col min="4867" max="4872" width="0" style="30" hidden="1" customWidth="1"/>
    <col min="4873" max="4873" width="13.42578125" style="30" customWidth="1"/>
    <col min="4874" max="4874" width="13.28515625" style="30" customWidth="1"/>
    <col min="4875" max="4875" width="12.85546875" style="30" customWidth="1"/>
    <col min="4876" max="4876" width="18.5703125" style="30" customWidth="1"/>
    <col min="4877" max="4877" width="9.42578125" style="30" customWidth="1"/>
    <col min="4878" max="5120" width="9.140625" style="30"/>
    <col min="5121" max="5121" width="3.140625" style="30" customWidth="1"/>
    <col min="5122" max="5122" width="51.7109375" style="30" customWidth="1"/>
    <col min="5123" max="5128" width="0" style="30" hidden="1" customWidth="1"/>
    <col min="5129" max="5129" width="13.42578125" style="30" customWidth="1"/>
    <col min="5130" max="5130" width="13.28515625" style="30" customWidth="1"/>
    <col min="5131" max="5131" width="12.85546875" style="30" customWidth="1"/>
    <col min="5132" max="5132" width="18.5703125" style="30" customWidth="1"/>
    <col min="5133" max="5133" width="9.42578125" style="30" customWidth="1"/>
    <col min="5134" max="5376" width="9.140625" style="30"/>
    <col min="5377" max="5377" width="3.140625" style="30" customWidth="1"/>
    <col min="5378" max="5378" width="51.7109375" style="30" customWidth="1"/>
    <col min="5379" max="5384" width="0" style="30" hidden="1" customWidth="1"/>
    <col min="5385" max="5385" width="13.42578125" style="30" customWidth="1"/>
    <col min="5386" max="5386" width="13.28515625" style="30" customWidth="1"/>
    <col min="5387" max="5387" width="12.85546875" style="30" customWidth="1"/>
    <col min="5388" max="5388" width="18.5703125" style="30" customWidth="1"/>
    <col min="5389" max="5389" width="9.42578125" style="30" customWidth="1"/>
    <col min="5390" max="5632" width="9.140625" style="30"/>
    <col min="5633" max="5633" width="3.140625" style="30" customWidth="1"/>
    <col min="5634" max="5634" width="51.7109375" style="30" customWidth="1"/>
    <col min="5635" max="5640" width="0" style="30" hidden="1" customWidth="1"/>
    <col min="5641" max="5641" width="13.42578125" style="30" customWidth="1"/>
    <col min="5642" max="5642" width="13.28515625" style="30" customWidth="1"/>
    <col min="5643" max="5643" width="12.85546875" style="30" customWidth="1"/>
    <col min="5644" max="5644" width="18.5703125" style="30" customWidth="1"/>
    <col min="5645" max="5645" width="9.42578125" style="30" customWidth="1"/>
    <col min="5646" max="5888" width="9.140625" style="30"/>
    <col min="5889" max="5889" width="3.140625" style="30" customWidth="1"/>
    <col min="5890" max="5890" width="51.7109375" style="30" customWidth="1"/>
    <col min="5891" max="5896" width="0" style="30" hidden="1" customWidth="1"/>
    <col min="5897" max="5897" width="13.42578125" style="30" customWidth="1"/>
    <col min="5898" max="5898" width="13.28515625" style="30" customWidth="1"/>
    <col min="5899" max="5899" width="12.85546875" style="30" customWidth="1"/>
    <col min="5900" max="5900" width="18.5703125" style="30" customWidth="1"/>
    <col min="5901" max="5901" width="9.42578125" style="30" customWidth="1"/>
    <col min="5902" max="6144" width="9.140625" style="30"/>
    <col min="6145" max="6145" width="3.140625" style="30" customWidth="1"/>
    <col min="6146" max="6146" width="51.7109375" style="30" customWidth="1"/>
    <col min="6147" max="6152" width="0" style="30" hidden="1" customWidth="1"/>
    <col min="6153" max="6153" width="13.42578125" style="30" customWidth="1"/>
    <col min="6154" max="6154" width="13.28515625" style="30" customWidth="1"/>
    <col min="6155" max="6155" width="12.85546875" style="30" customWidth="1"/>
    <col min="6156" max="6156" width="18.5703125" style="30" customWidth="1"/>
    <col min="6157" max="6157" width="9.42578125" style="30" customWidth="1"/>
    <col min="6158" max="6400" width="9.140625" style="30"/>
    <col min="6401" max="6401" width="3.140625" style="30" customWidth="1"/>
    <col min="6402" max="6402" width="51.7109375" style="30" customWidth="1"/>
    <col min="6403" max="6408" width="0" style="30" hidden="1" customWidth="1"/>
    <col min="6409" max="6409" width="13.42578125" style="30" customWidth="1"/>
    <col min="6410" max="6410" width="13.28515625" style="30" customWidth="1"/>
    <col min="6411" max="6411" width="12.85546875" style="30" customWidth="1"/>
    <col min="6412" max="6412" width="18.5703125" style="30" customWidth="1"/>
    <col min="6413" max="6413" width="9.42578125" style="30" customWidth="1"/>
    <col min="6414" max="6656" width="9.140625" style="30"/>
    <col min="6657" max="6657" width="3.140625" style="30" customWidth="1"/>
    <col min="6658" max="6658" width="51.7109375" style="30" customWidth="1"/>
    <col min="6659" max="6664" width="0" style="30" hidden="1" customWidth="1"/>
    <col min="6665" max="6665" width="13.42578125" style="30" customWidth="1"/>
    <col min="6666" max="6666" width="13.28515625" style="30" customWidth="1"/>
    <col min="6667" max="6667" width="12.85546875" style="30" customWidth="1"/>
    <col min="6668" max="6668" width="18.5703125" style="30" customWidth="1"/>
    <col min="6669" max="6669" width="9.42578125" style="30" customWidth="1"/>
    <col min="6670" max="6912" width="9.140625" style="30"/>
    <col min="6913" max="6913" width="3.140625" style="30" customWidth="1"/>
    <col min="6914" max="6914" width="51.7109375" style="30" customWidth="1"/>
    <col min="6915" max="6920" width="0" style="30" hidden="1" customWidth="1"/>
    <col min="6921" max="6921" width="13.42578125" style="30" customWidth="1"/>
    <col min="6922" max="6922" width="13.28515625" style="30" customWidth="1"/>
    <col min="6923" max="6923" width="12.85546875" style="30" customWidth="1"/>
    <col min="6924" max="6924" width="18.5703125" style="30" customWidth="1"/>
    <col min="6925" max="6925" width="9.42578125" style="30" customWidth="1"/>
    <col min="6926" max="7168" width="9.140625" style="30"/>
    <col min="7169" max="7169" width="3.140625" style="30" customWidth="1"/>
    <col min="7170" max="7170" width="51.7109375" style="30" customWidth="1"/>
    <col min="7171" max="7176" width="0" style="30" hidden="1" customWidth="1"/>
    <col min="7177" max="7177" width="13.42578125" style="30" customWidth="1"/>
    <col min="7178" max="7178" width="13.28515625" style="30" customWidth="1"/>
    <col min="7179" max="7179" width="12.85546875" style="30" customWidth="1"/>
    <col min="7180" max="7180" width="18.5703125" style="30" customWidth="1"/>
    <col min="7181" max="7181" width="9.42578125" style="30" customWidth="1"/>
    <col min="7182" max="7424" width="9.140625" style="30"/>
    <col min="7425" max="7425" width="3.140625" style="30" customWidth="1"/>
    <col min="7426" max="7426" width="51.7109375" style="30" customWidth="1"/>
    <col min="7427" max="7432" width="0" style="30" hidden="1" customWidth="1"/>
    <col min="7433" max="7433" width="13.42578125" style="30" customWidth="1"/>
    <col min="7434" max="7434" width="13.28515625" style="30" customWidth="1"/>
    <col min="7435" max="7435" width="12.85546875" style="30" customWidth="1"/>
    <col min="7436" max="7436" width="18.5703125" style="30" customWidth="1"/>
    <col min="7437" max="7437" width="9.42578125" style="30" customWidth="1"/>
    <col min="7438" max="7680" width="9.140625" style="30"/>
    <col min="7681" max="7681" width="3.140625" style="30" customWidth="1"/>
    <col min="7682" max="7682" width="51.7109375" style="30" customWidth="1"/>
    <col min="7683" max="7688" width="0" style="30" hidden="1" customWidth="1"/>
    <col min="7689" max="7689" width="13.42578125" style="30" customWidth="1"/>
    <col min="7690" max="7690" width="13.28515625" style="30" customWidth="1"/>
    <col min="7691" max="7691" width="12.85546875" style="30" customWidth="1"/>
    <col min="7692" max="7692" width="18.5703125" style="30" customWidth="1"/>
    <col min="7693" max="7693" width="9.42578125" style="30" customWidth="1"/>
    <col min="7694" max="7936" width="9.140625" style="30"/>
    <col min="7937" max="7937" width="3.140625" style="30" customWidth="1"/>
    <col min="7938" max="7938" width="51.7109375" style="30" customWidth="1"/>
    <col min="7939" max="7944" width="0" style="30" hidden="1" customWidth="1"/>
    <col min="7945" max="7945" width="13.42578125" style="30" customWidth="1"/>
    <col min="7946" max="7946" width="13.28515625" style="30" customWidth="1"/>
    <col min="7947" max="7947" width="12.85546875" style="30" customWidth="1"/>
    <col min="7948" max="7948" width="18.5703125" style="30" customWidth="1"/>
    <col min="7949" max="7949" width="9.42578125" style="30" customWidth="1"/>
    <col min="7950" max="8192" width="9.140625" style="30"/>
    <col min="8193" max="8193" width="3.140625" style="30" customWidth="1"/>
    <col min="8194" max="8194" width="51.7109375" style="30" customWidth="1"/>
    <col min="8195" max="8200" width="0" style="30" hidden="1" customWidth="1"/>
    <col min="8201" max="8201" width="13.42578125" style="30" customWidth="1"/>
    <col min="8202" max="8202" width="13.28515625" style="30" customWidth="1"/>
    <col min="8203" max="8203" width="12.85546875" style="30" customWidth="1"/>
    <col min="8204" max="8204" width="18.5703125" style="30" customWidth="1"/>
    <col min="8205" max="8205" width="9.42578125" style="30" customWidth="1"/>
    <col min="8206" max="8448" width="9.140625" style="30"/>
    <col min="8449" max="8449" width="3.140625" style="30" customWidth="1"/>
    <col min="8450" max="8450" width="51.7109375" style="30" customWidth="1"/>
    <col min="8451" max="8456" width="0" style="30" hidden="1" customWidth="1"/>
    <col min="8457" max="8457" width="13.42578125" style="30" customWidth="1"/>
    <col min="8458" max="8458" width="13.28515625" style="30" customWidth="1"/>
    <col min="8459" max="8459" width="12.85546875" style="30" customWidth="1"/>
    <col min="8460" max="8460" width="18.5703125" style="30" customWidth="1"/>
    <col min="8461" max="8461" width="9.42578125" style="30" customWidth="1"/>
    <col min="8462" max="8704" width="9.140625" style="30"/>
    <col min="8705" max="8705" width="3.140625" style="30" customWidth="1"/>
    <col min="8706" max="8706" width="51.7109375" style="30" customWidth="1"/>
    <col min="8707" max="8712" width="0" style="30" hidden="1" customWidth="1"/>
    <col min="8713" max="8713" width="13.42578125" style="30" customWidth="1"/>
    <col min="8714" max="8714" width="13.28515625" style="30" customWidth="1"/>
    <col min="8715" max="8715" width="12.85546875" style="30" customWidth="1"/>
    <col min="8716" max="8716" width="18.5703125" style="30" customWidth="1"/>
    <col min="8717" max="8717" width="9.42578125" style="30" customWidth="1"/>
    <col min="8718" max="8960" width="9.140625" style="30"/>
    <col min="8961" max="8961" width="3.140625" style="30" customWidth="1"/>
    <col min="8962" max="8962" width="51.7109375" style="30" customWidth="1"/>
    <col min="8963" max="8968" width="0" style="30" hidden="1" customWidth="1"/>
    <col min="8969" max="8969" width="13.42578125" style="30" customWidth="1"/>
    <col min="8970" max="8970" width="13.28515625" style="30" customWidth="1"/>
    <col min="8971" max="8971" width="12.85546875" style="30" customWidth="1"/>
    <col min="8972" max="8972" width="18.5703125" style="30" customWidth="1"/>
    <col min="8973" max="8973" width="9.42578125" style="30" customWidth="1"/>
    <col min="8974" max="9216" width="9.140625" style="30"/>
    <col min="9217" max="9217" width="3.140625" style="30" customWidth="1"/>
    <col min="9218" max="9218" width="51.7109375" style="30" customWidth="1"/>
    <col min="9219" max="9224" width="0" style="30" hidden="1" customWidth="1"/>
    <col min="9225" max="9225" width="13.42578125" style="30" customWidth="1"/>
    <col min="9226" max="9226" width="13.28515625" style="30" customWidth="1"/>
    <col min="9227" max="9227" width="12.85546875" style="30" customWidth="1"/>
    <col min="9228" max="9228" width="18.5703125" style="30" customWidth="1"/>
    <col min="9229" max="9229" width="9.42578125" style="30" customWidth="1"/>
    <col min="9230" max="9472" width="9.140625" style="30"/>
    <col min="9473" max="9473" width="3.140625" style="30" customWidth="1"/>
    <col min="9474" max="9474" width="51.7109375" style="30" customWidth="1"/>
    <col min="9475" max="9480" width="0" style="30" hidden="1" customWidth="1"/>
    <col min="9481" max="9481" width="13.42578125" style="30" customWidth="1"/>
    <col min="9482" max="9482" width="13.28515625" style="30" customWidth="1"/>
    <col min="9483" max="9483" width="12.85546875" style="30" customWidth="1"/>
    <col min="9484" max="9484" width="18.5703125" style="30" customWidth="1"/>
    <col min="9485" max="9485" width="9.42578125" style="30" customWidth="1"/>
    <col min="9486" max="9728" width="9.140625" style="30"/>
    <col min="9729" max="9729" width="3.140625" style="30" customWidth="1"/>
    <col min="9730" max="9730" width="51.7109375" style="30" customWidth="1"/>
    <col min="9731" max="9736" width="0" style="30" hidden="1" customWidth="1"/>
    <col min="9737" max="9737" width="13.42578125" style="30" customWidth="1"/>
    <col min="9738" max="9738" width="13.28515625" style="30" customWidth="1"/>
    <col min="9739" max="9739" width="12.85546875" style="30" customWidth="1"/>
    <col min="9740" max="9740" width="18.5703125" style="30" customWidth="1"/>
    <col min="9741" max="9741" width="9.42578125" style="30" customWidth="1"/>
    <col min="9742" max="9984" width="9.140625" style="30"/>
    <col min="9985" max="9985" width="3.140625" style="30" customWidth="1"/>
    <col min="9986" max="9986" width="51.7109375" style="30" customWidth="1"/>
    <col min="9987" max="9992" width="0" style="30" hidden="1" customWidth="1"/>
    <col min="9993" max="9993" width="13.42578125" style="30" customWidth="1"/>
    <col min="9994" max="9994" width="13.28515625" style="30" customWidth="1"/>
    <col min="9995" max="9995" width="12.85546875" style="30" customWidth="1"/>
    <col min="9996" max="9996" width="18.5703125" style="30" customWidth="1"/>
    <col min="9997" max="9997" width="9.42578125" style="30" customWidth="1"/>
    <col min="9998" max="10240" width="9.140625" style="30"/>
    <col min="10241" max="10241" width="3.140625" style="30" customWidth="1"/>
    <col min="10242" max="10242" width="51.7109375" style="30" customWidth="1"/>
    <col min="10243" max="10248" width="0" style="30" hidden="1" customWidth="1"/>
    <col min="10249" max="10249" width="13.42578125" style="30" customWidth="1"/>
    <col min="10250" max="10250" width="13.28515625" style="30" customWidth="1"/>
    <col min="10251" max="10251" width="12.85546875" style="30" customWidth="1"/>
    <col min="10252" max="10252" width="18.5703125" style="30" customWidth="1"/>
    <col min="10253" max="10253" width="9.42578125" style="30" customWidth="1"/>
    <col min="10254" max="10496" width="9.140625" style="30"/>
    <col min="10497" max="10497" width="3.140625" style="30" customWidth="1"/>
    <col min="10498" max="10498" width="51.7109375" style="30" customWidth="1"/>
    <col min="10499" max="10504" width="0" style="30" hidden="1" customWidth="1"/>
    <col min="10505" max="10505" width="13.42578125" style="30" customWidth="1"/>
    <col min="10506" max="10506" width="13.28515625" style="30" customWidth="1"/>
    <col min="10507" max="10507" width="12.85546875" style="30" customWidth="1"/>
    <col min="10508" max="10508" width="18.5703125" style="30" customWidth="1"/>
    <col min="10509" max="10509" width="9.42578125" style="30" customWidth="1"/>
    <col min="10510" max="10752" width="9.140625" style="30"/>
    <col min="10753" max="10753" width="3.140625" style="30" customWidth="1"/>
    <col min="10754" max="10754" width="51.7109375" style="30" customWidth="1"/>
    <col min="10755" max="10760" width="0" style="30" hidden="1" customWidth="1"/>
    <col min="10761" max="10761" width="13.42578125" style="30" customWidth="1"/>
    <col min="10762" max="10762" width="13.28515625" style="30" customWidth="1"/>
    <col min="10763" max="10763" width="12.85546875" style="30" customWidth="1"/>
    <col min="10764" max="10764" width="18.5703125" style="30" customWidth="1"/>
    <col min="10765" max="10765" width="9.42578125" style="30" customWidth="1"/>
    <col min="10766" max="11008" width="9.140625" style="30"/>
    <col min="11009" max="11009" width="3.140625" style="30" customWidth="1"/>
    <col min="11010" max="11010" width="51.7109375" style="30" customWidth="1"/>
    <col min="11011" max="11016" width="0" style="30" hidden="1" customWidth="1"/>
    <col min="11017" max="11017" width="13.42578125" style="30" customWidth="1"/>
    <col min="11018" max="11018" width="13.28515625" style="30" customWidth="1"/>
    <col min="11019" max="11019" width="12.85546875" style="30" customWidth="1"/>
    <col min="11020" max="11020" width="18.5703125" style="30" customWidth="1"/>
    <col min="11021" max="11021" width="9.42578125" style="30" customWidth="1"/>
    <col min="11022" max="11264" width="9.140625" style="30"/>
    <col min="11265" max="11265" width="3.140625" style="30" customWidth="1"/>
    <col min="11266" max="11266" width="51.7109375" style="30" customWidth="1"/>
    <col min="11267" max="11272" width="0" style="30" hidden="1" customWidth="1"/>
    <col min="11273" max="11273" width="13.42578125" style="30" customWidth="1"/>
    <col min="11274" max="11274" width="13.28515625" style="30" customWidth="1"/>
    <col min="11275" max="11275" width="12.85546875" style="30" customWidth="1"/>
    <col min="11276" max="11276" width="18.5703125" style="30" customWidth="1"/>
    <col min="11277" max="11277" width="9.42578125" style="30" customWidth="1"/>
    <col min="11278" max="11520" width="9.140625" style="30"/>
    <col min="11521" max="11521" width="3.140625" style="30" customWidth="1"/>
    <col min="11522" max="11522" width="51.7109375" style="30" customWidth="1"/>
    <col min="11523" max="11528" width="0" style="30" hidden="1" customWidth="1"/>
    <col min="11529" max="11529" width="13.42578125" style="30" customWidth="1"/>
    <col min="11530" max="11530" width="13.28515625" style="30" customWidth="1"/>
    <col min="11531" max="11531" width="12.85546875" style="30" customWidth="1"/>
    <col min="11532" max="11532" width="18.5703125" style="30" customWidth="1"/>
    <col min="11533" max="11533" width="9.42578125" style="30" customWidth="1"/>
    <col min="11534" max="11776" width="9.140625" style="30"/>
    <col min="11777" max="11777" width="3.140625" style="30" customWidth="1"/>
    <col min="11778" max="11778" width="51.7109375" style="30" customWidth="1"/>
    <col min="11779" max="11784" width="0" style="30" hidden="1" customWidth="1"/>
    <col min="11785" max="11785" width="13.42578125" style="30" customWidth="1"/>
    <col min="11786" max="11786" width="13.28515625" style="30" customWidth="1"/>
    <col min="11787" max="11787" width="12.85546875" style="30" customWidth="1"/>
    <col min="11788" max="11788" width="18.5703125" style="30" customWidth="1"/>
    <col min="11789" max="11789" width="9.42578125" style="30" customWidth="1"/>
    <col min="11790" max="12032" width="9.140625" style="30"/>
    <col min="12033" max="12033" width="3.140625" style="30" customWidth="1"/>
    <col min="12034" max="12034" width="51.7109375" style="30" customWidth="1"/>
    <col min="12035" max="12040" width="0" style="30" hidden="1" customWidth="1"/>
    <col min="12041" max="12041" width="13.42578125" style="30" customWidth="1"/>
    <col min="12042" max="12042" width="13.28515625" style="30" customWidth="1"/>
    <col min="12043" max="12043" width="12.85546875" style="30" customWidth="1"/>
    <col min="12044" max="12044" width="18.5703125" style="30" customWidth="1"/>
    <col min="12045" max="12045" width="9.42578125" style="30" customWidth="1"/>
    <col min="12046" max="12288" width="9.140625" style="30"/>
    <col min="12289" max="12289" width="3.140625" style="30" customWidth="1"/>
    <col min="12290" max="12290" width="51.7109375" style="30" customWidth="1"/>
    <col min="12291" max="12296" width="0" style="30" hidden="1" customWidth="1"/>
    <col min="12297" max="12297" width="13.42578125" style="30" customWidth="1"/>
    <col min="12298" max="12298" width="13.28515625" style="30" customWidth="1"/>
    <col min="12299" max="12299" width="12.85546875" style="30" customWidth="1"/>
    <col min="12300" max="12300" width="18.5703125" style="30" customWidth="1"/>
    <col min="12301" max="12301" width="9.42578125" style="30" customWidth="1"/>
    <col min="12302" max="12544" width="9.140625" style="30"/>
    <col min="12545" max="12545" width="3.140625" style="30" customWidth="1"/>
    <col min="12546" max="12546" width="51.7109375" style="30" customWidth="1"/>
    <col min="12547" max="12552" width="0" style="30" hidden="1" customWidth="1"/>
    <col min="12553" max="12553" width="13.42578125" style="30" customWidth="1"/>
    <col min="12554" max="12554" width="13.28515625" style="30" customWidth="1"/>
    <col min="12555" max="12555" width="12.85546875" style="30" customWidth="1"/>
    <col min="12556" max="12556" width="18.5703125" style="30" customWidth="1"/>
    <col min="12557" max="12557" width="9.42578125" style="30" customWidth="1"/>
    <col min="12558" max="12800" width="9.140625" style="30"/>
    <col min="12801" max="12801" width="3.140625" style="30" customWidth="1"/>
    <col min="12802" max="12802" width="51.7109375" style="30" customWidth="1"/>
    <col min="12803" max="12808" width="0" style="30" hidden="1" customWidth="1"/>
    <col min="12809" max="12809" width="13.42578125" style="30" customWidth="1"/>
    <col min="12810" max="12810" width="13.28515625" style="30" customWidth="1"/>
    <col min="12811" max="12811" width="12.85546875" style="30" customWidth="1"/>
    <col min="12812" max="12812" width="18.5703125" style="30" customWidth="1"/>
    <col min="12813" max="12813" width="9.42578125" style="30" customWidth="1"/>
    <col min="12814" max="13056" width="9.140625" style="30"/>
    <col min="13057" max="13057" width="3.140625" style="30" customWidth="1"/>
    <col min="13058" max="13058" width="51.7109375" style="30" customWidth="1"/>
    <col min="13059" max="13064" width="0" style="30" hidden="1" customWidth="1"/>
    <col min="13065" max="13065" width="13.42578125" style="30" customWidth="1"/>
    <col min="13066" max="13066" width="13.28515625" style="30" customWidth="1"/>
    <col min="13067" max="13067" width="12.85546875" style="30" customWidth="1"/>
    <col min="13068" max="13068" width="18.5703125" style="30" customWidth="1"/>
    <col min="13069" max="13069" width="9.42578125" style="30" customWidth="1"/>
    <col min="13070" max="13312" width="9.140625" style="30"/>
    <col min="13313" max="13313" width="3.140625" style="30" customWidth="1"/>
    <col min="13314" max="13314" width="51.7109375" style="30" customWidth="1"/>
    <col min="13315" max="13320" width="0" style="30" hidden="1" customWidth="1"/>
    <col min="13321" max="13321" width="13.42578125" style="30" customWidth="1"/>
    <col min="13322" max="13322" width="13.28515625" style="30" customWidth="1"/>
    <col min="13323" max="13323" width="12.85546875" style="30" customWidth="1"/>
    <col min="13324" max="13324" width="18.5703125" style="30" customWidth="1"/>
    <col min="13325" max="13325" width="9.42578125" style="30" customWidth="1"/>
    <col min="13326" max="13568" width="9.140625" style="30"/>
    <col min="13569" max="13569" width="3.140625" style="30" customWidth="1"/>
    <col min="13570" max="13570" width="51.7109375" style="30" customWidth="1"/>
    <col min="13571" max="13576" width="0" style="30" hidden="1" customWidth="1"/>
    <col min="13577" max="13577" width="13.42578125" style="30" customWidth="1"/>
    <col min="13578" max="13578" width="13.28515625" style="30" customWidth="1"/>
    <col min="13579" max="13579" width="12.85546875" style="30" customWidth="1"/>
    <col min="13580" max="13580" width="18.5703125" style="30" customWidth="1"/>
    <col min="13581" max="13581" width="9.42578125" style="30" customWidth="1"/>
    <col min="13582" max="13824" width="9.140625" style="30"/>
    <col min="13825" max="13825" width="3.140625" style="30" customWidth="1"/>
    <col min="13826" max="13826" width="51.7109375" style="30" customWidth="1"/>
    <col min="13827" max="13832" width="0" style="30" hidden="1" customWidth="1"/>
    <col min="13833" max="13833" width="13.42578125" style="30" customWidth="1"/>
    <col min="13834" max="13834" width="13.28515625" style="30" customWidth="1"/>
    <col min="13835" max="13835" width="12.85546875" style="30" customWidth="1"/>
    <col min="13836" max="13836" width="18.5703125" style="30" customWidth="1"/>
    <col min="13837" max="13837" width="9.42578125" style="30" customWidth="1"/>
    <col min="13838" max="14080" width="9.140625" style="30"/>
    <col min="14081" max="14081" width="3.140625" style="30" customWidth="1"/>
    <col min="14082" max="14082" width="51.7109375" style="30" customWidth="1"/>
    <col min="14083" max="14088" width="0" style="30" hidden="1" customWidth="1"/>
    <col min="14089" max="14089" width="13.42578125" style="30" customWidth="1"/>
    <col min="14090" max="14090" width="13.28515625" style="30" customWidth="1"/>
    <col min="14091" max="14091" width="12.85546875" style="30" customWidth="1"/>
    <col min="14092" max="14092" width="18.5703125" style="30" customWidth="1"/>
    <col min="14093" max="14093" width="9.42578125" style="30" customWidth="1"/>
    <col min="14094" max="14336" width="9.140625" style="30"/>
    <col min="14337" max="14337" width="3.140625" style="30" customWidth="1"/>
    <col min="14338" max="14338" width="51.7109375" style="30" customWidth="1"/>
    <col min="14339" max="14344" width="0" style="30" hidden="1" customWidth="1"/>
    <col min="14345" max="14345" width="13.42578125" style="30" customWidth="1"/>
    <col min="14346" max="14346" width="13.28515625" style="30" customWidth="1"/>
    <col min="14347" max="14347" width="12.85546875" style="30" customWidth="1"/>
    <col min="14348" max="14348" width="18.5703125" style="30" customWidth="1"/>
    <col min="14349" max="14349" width="9.42578125" style="30" customWidth="1"/>
    <col min="14350" max="14592" width="9.140625" style="30"/>
    <col min="14593" max="14593" width="3.140625" style="30" customWidth="1"/>
    <col min="14594" max="14594" width="51.7109375" style="30" customWidth="1"/>
    <col min="14595" max="14600" width="0" style="30" hidden="1" customWidth="1"/>
    <col min="14601" max="14601" width="13.42578125" style="30" customWidth="1"/>
    <col min="14602" max="14602" width="13.28515625" style="30" customWidth="1"/>
    <col min="14603" max="14603" width="12.85546875" style="30" customWidth="1"/>
    <col min="14604" max="14604" width="18.5703125" style="30" customWidth="1"/>
    <col min="14605" max="14605" width="9.42578125" style="30" customWidth="1"/>
    <col min="14606" max="14848" width="9.140625" style="30"/>
    <col min="14849" max="14849" width="3.140625" style="30" customWidth="1"/>
    <col min="14850" max="14850" width="51.7109375" style="30" customWidth="1"/>
    <col min="14851" max="14856" width="0" style="30" hidden="1" customWidth="1"/>
    <col min="14857" max="14857" width="13.42578125" style="30" customWidth="1"/>
    <col min="14858" max="14858" width="13.28515625" style="30" customWidth="1"/>
    <col min="14859" max="14859" width="12.85546875" style="30" customWidth="1"/>
    <col min="14860" max="14860" width="18.5703125" style="30" customWidth="1"/>
    <col min="14861" max="14861" width="9.42578125" style="30" customWidth="1"/>
    <col min="14862" max="15104" width="9.140625" style="30"/>
    <col min="15105" max="15105" width="3.140625" style="30" customWidth="1"/>
    <col min="15106" max="15106" width="51.7109375" style="30" customWidth="1"/>
    <col min="15107" max="15112" width="0" style="30" hidden="1" customWidth="1"/>
    <col min="15113" max="15113" width="13.42578125" style="30" customWidth="1"/>
    <col min="15114" max="15114" width="13.28515625" style="30" customWidth="1"/>
    <col min="15115" max="15115" width="12.85546875" style="30" customWidth="1"/>
    <col min="15116" max="15116" width="18.5703125" style="30" customWidth="1"/>
    <col min="15117" max="15117" width="9.42578125" style="30" customWidth="1"/>
    <col min="15118" max="15360" width="9.140625" style="30"/>
    <col min="15361" max="15361" width="3.140625" style="30" customWidth="1"/>
    <col min="15362" max="15362" width="51.7109375" style="30" customWidth="1"/>
    <col min="15363" max="15368" width="0" style="30" hidden="1" customWidth="1"/>
    <col min="15369" max="15369" width="13.42578125" style="30" customWidth="1"/>
    <col min="15370" max="15370" width="13.28515625" style="30" customWidth="1"/>
    <col min="15371" max="15371" width="12.85546875" style="30" customWidth="1"/>
    <col min="15372" max="15372" width="18.5703125" style="30" customWidth="1"/>
    <col min="15373" max="15373" width="9.42578125" style="30" customWidth="1"/>
    <col min="15374" max="15616" width="9.140625" style="30"/>
    <col min="15617" max="15617" width="3.140625" style="30" customWidth="1"/>
    <col min="15618" max="15618" width="51.7109375" style="30" customWidth="1"/>
    <col min="15619" max="15624" width="0" style="30" hidden="1" customWidth="1"/>
    <col min="15625" max="15625" width="13.42578125" style="30" customWidth="1"/>
    <col min="15626" max="15626" width="13.28515625" style="30" customWidth="1"/>
    <col min="15627" max="15627" width="12.85546875" style="30" customWidth="1"/>
    <col min="15628" max="15628" width="18.5703125" style="30" customWidth="1"/>
    <col min="15629" max="15629" width="9.42578125" style="30" customWidth="1"/>
    <col min="15630" max="15872" width="9.140625" style="30"/>
    <col min="15873" max="15873" width="3.140625" style="30" customWidth="1"/>
    <col min="15874" max="15874" width="51.7109375" style="30" customWidth="1"/>
    <col min="15875" max="15880" width="0" style="30" hidden="1" customWidth="1"/>
    <col min="15881" max="15881" width="13.42578125" style="30" customWidth="1"/>
    <col min="15882" max="15882" width="13.28515625" style="30" customWidth="1"/>
    <col min="15883" max="15883" width="12.85546875" style="30" customWidth="1"/>
    <col min="15884" max="15884" width="18.5703125" style="30" customWidth="1"/>
    <col min="15885" max="15885" width="9.42578125" style="30" customWidth="1"/>
    <col min="15886" max="16128" width="9.140625" style="30"/>
    <col min="16129" max="16129" width="3.140625" style="30" customWidth="1"/>
    <col min="16130" max="16130" width="51.7109375" style="30" customWidth="1"/>
    <col min="16131" max="16136" width="0" style="30" hidden="1" customWidth="1"/>
    <col min="16137" max="16137" width="13.42578125" style="30" customWidth="1"/>
    <col min="16138" max="16138" width="13.28515625" style="30" customWidth="1"/>
    <col min="16139" max="16139" width="12.85546875" style="30" customWidth="1"/>
    <col min="16140" max="16140" width="18.5703125" style="30" customWidth="1"/>
    <col min="16141" max="16141" width="9.42578125" style="30" customWidth="1"/>
    <col min="16142" max="16384" width="9.140625" style="30"/>
  </cols>
  <sheetData>
    <row r="1" spans="1:15" x14ac:dyDescent="0.25">
      <c r="K1" s="608" t="s">
        <v>906</v>
      </c>
      <c r="L1" s="608"/>
      <c r="M1" s="608"/>
    </row>
    <row r="2" spans="1:15" x14ac:dyDescent="0.25">
      <c r="K2" s="608" t="s">
        <v>30</v>
      </c>
      <c r="L2" s="608"/>
      <c r="M2" s="608"/>
    </row>
    <row r="3" spans="1:15" x14ac:dyDescent="0.25">
      <c r="K3" s="608" t="s">
        <v>0</v>
      </c>
      <c r="L3" s="608"/>
      <c r="M3" s="608"/>
    </row>
    <row r="4" spans="1:15" x14ac:dyDescent="0.25">
      <c r="K4" s="608" t="s">
        <v>1252</v>
      </c>
      <c r="L4" s="608"/>
      <c r="M4" s="608"/>
    </row>
    <row r="6" spans="1:15" x14ac:dyDescent="0.25">
      <c r="A6" s="609" t="s">
        <v>549</v>
      </c>
      <c r="B6" s="609"/>
      <c r="C6" s="609"/>
      <c r="D6" s="609"/>
      <c r="E6" s="609"/>
      <c r="F6" s="609"/>
      <c r="G6" s="609"/>
      <c r="H6" s="609"/>
      <c r="I6" s="609"/>
      <c r="J6" s="609"/>
      <c r="K6" s="609"/>
      <c r="L6" s="609"/>
      <c r="M6" s="609"/>
    </row>
    <row r="7" spans="1:15" x14ac:dyDescent="0.25">
      <c r="M7" s="33" t="s">
        <v>188</v>
      </c>
    </row>
    <row r="8" spans="1:15" x14ac:dyDescent="0.25">
      <c r="A8" s="597"/>
      <c r="B8" s="600" t="s">
        <v>189</v>
      </c>
      <c r="C8" s="603" t="s">
        <v>190</v>
      </c>
      <c r="D8" s="603"/>
      <c r="E8" s="603"/>
      <c r="F8" s="604" t="s">
        <v>191</v>
      </c>
      <c r="G8" s="605"/>
      <c r="H8" s="605"/>
      <c r="I8" s="605"/>
      <c r="J8" s="605"/>
      <c r="K8" s="605"/>
      <c r="L8" s="606" t="s">
        <v>192</v>
      </c>
      <c r="M8" s="606"/>
    </row>
    <row r="9" spans="1:15" x14ac:dyDescent="0.25">
      <c r="A9" s="598"/>
      <c r="B9" s="601"/>
      <c r="C9" s="603" t="s">
        <v>193</v>
      </c>
      <c r="D9" s="603" t="s">
        <v>194</v>
      </c>
      <c r="E9" s="603" t="s">
        <v>1</v>
      </c>
      <c r="F9" s="548" t="s">
        <v>195</v>
      </c>
      <c r="G9" s="549"/>
      <c r="H9" s="550"/>
      <c r="I9" s="607" t="s">
        <v>196</v>
      </c>
      <c r="J9" s="607"/>
      <c r="K9" s="607"/>
      <c r="L9" s="607" t="s">
        <v>197</v>
      </c>
      <c r="M9" s="600" t="s">
        <v>198</v>
      </c>
    </row>
    <row r="10" spans="1:15" x14ac:dyDescent="0.25">
      <c r="A10" s="599"/>
      <c r="B10" s="602"/>
      <c r="C10" s="603"/>
      <c r="D10" s="603"/>
      <c r="E10" s="603"/>
      <c r="F10" s="34">
        <v>2014</v>
      </c>
      <c r="G10" s="35">
        <v>2015</v>
      </c>
      <c r="H10" s="35">
        <v>2016</v>
      </c>
      <c r="I10" s="34">
        <v>2017</v>
      </c>
      <c r="J10" s="35">
        <v>2018</v>
      </c>
      <c r="K10" s="35">
        <v>2019</v>
      </c>
      <c r="L10" s="607"/>
      <c r="M10" s="602"/>
    </row>
    <row r="11" spans="1:15" ht="78.75" x14ac:dyDescent="0.25">
      <c r="A11" s="388"/>
      <c r="B11" s="594" t="s">
        <v>266</v>
      </c>
      <c r="C11" s="387"/>
      <c r="D11" s="387"/>
      <c r="E11" s="387"/>
      <c r="F11" s="34"/>
      <c r="G11" s="35"/>
      <c r="H11" s="35"/>
      <c r="I11" s="389">
        <f>П4ВСР!Z297</f>
        <v>350000</v>
      </c>
      <c r="J11" s="35">
        <v>0</v>
      </c>
      <c r="K11" s="35">
        <v>0</v>
      </c>
      <c r="L11" s="42" t="s">
        <v>31</v>
      </c>
      <c r="M11" s="594" t="s">
        <v>550</v>
      </c>
    </row>
    <row r="12" spans="1:15" ht="47.25" x14ac:dyDescent="0.25">
      <c r="A12" s="36"/>
      <c r="B12" s="596"/>
      <c r="C12" s="38">
        <v>41537</v>
      </c>
      <c r="D12" s="39">
        <v>1159</v>
      </c>
      <c r="E12" s="39" t="s">
        <v>199</v>
      </c>
      <c r="F12" s="40">
        <v>3500000</v>
      </c>
      <c r="G12" s="40">
        <v>4500000</v>
      </c>
      <c r="H12" s="40">
        <v>6000000</v>
      </c>
      <c r="I12" s="40">
        <f>П4ВСР!Z50+П4ВСР!Z80+П4ВСР!Z82+П4ВСР!Z84+П4ВСР!Z86+П4ВСР!Z92+П4ВСР!Z94+П4ВСР!Z163+П4ВСР!Z88+П4ВСР!Z90+П4ВСР!Z97</f>
        <v>313961.31999999995</v>
      </c>
      <c r="J12" s="40">
        <f>П4ВСР!AA50+П4ВСР!AA80+П4ВСР!AA82+П4ВСР!AA84+П4ВСР!AA86+П4ВСР!AA92+П4ВСР!AA94+П4ВСР!AA163+П4ВСР!AA88+П4ВСР!AA90+П4ВСР!AA97</f>
        <v>1200000</v>
      </c>
      <c r="K12" s="40">
        <f>П4ВСР!AB50+П4ВСР!AB80+П4ВСР!AB82+П4ВСР!AB84+П4ВСР!AB86+П4ВСР!AB92+П4ВСР!AB94+П4ВСР!AB163+П4ВСР!AB88+П4ВСР!AB90+П4ВСР!AB97</f>
        <v>800000</v>
      </c>
      <c r="L12" s="42" t="s">
        <v>28</v>
      </c>
      <c r="M12" s="595"/>
      <c r="O12" s="328"/>
    </row>
    <row r="13" spans="1:15" x14ac:dyDescent="0.25">
      <c r="A13" s="36">
        <v>1</v>
      </c>
      <c r="B13" s="446" t="s">
        <v>200</v>
      </c>
      <c r="C13" s="43"/>
      <c r="D13" s="43"/>
      <c r="E13" s="44"/>
      <c r="F13" s="45">
        <f>SUM(F12:F12)</f>
        <v>3500000</v>
      </c>
      <c r="G13" s="45">
        <f>SUM(G12:G12)</f>
        <v>4500000</v>
      </c>
      <c r="H13" s="45">
        <f>H12</f>
        <v>6000000</v>
      </c>
      <c r="I13" s="45">
        <f>I12+I11</f>
        <v>663961.31999999995</v>
      </c>
      <c r="J13" s="45">
        <f>J12</f>
        <v>1200000</v>
      </c>
      <c r="K13" s="45">
        <f>SUM(K12:K12)</f>
        <v>800000</v>
      </c>
      <c r="L13" s="46"/>
      <c r="M13" s="596"/>
    </row>
    <row r="14" spans="1:15" ht="47.25" x14ac:dyDescent="0.25">
      <c r="A14" s="34"/>
      <c r="B14" s="442" t="s">
        <v>263</v>
      </c>
      <c r="C14" s="47">
        <v>40533</v>
      </c>
      <c r="D14" s="37">
        <v>1496</v>
      </c>
      <c r="E14" s="39" t="s">
        <v>199</v>
      </c>
      <c r="F14" s="40">
        <v>1142460</v>
      </c>
      <c r="G14" s="40">
        <v>0</v>
      </c>
      <c r="H14" s="40">
        <v>0</v>
      </c>
      <c r="I14" s="41">
        <f>П4ВСР!Z233</f>
        <v>21005.699999999997</v>
      </c>
      <c r="J14" s="41">
        <f>П4ВСР!AA233</f>
        <v>100000</v>
      </c>
      <c r="K14" s="41">
        <f>П4ВСР!AB233</f>
        <v>100000</v>
      </c>
      <c r="L14" s="42" t="s">
        <v>28</v>
      </c>
      <c r="M14" s="594" t="s">
        <v>551</v>
      </c>
      <c r="O14" s="329"/>
    </row>
    <row r="15" spans="1:15" x14ac:dyDescent="0.25">
      <c r="A15" s="34">
        <v>2</v>
      </c>
      <c r="B15" s="446" t="s">
        <v>200</v>
      </c>
      <c r="C15" s="43"/>
      <c r="D15" s="43"/>
      <c r="E15" s="44"/>
      <c r="F15" s="45">
        <f t="shared" ref="F15:K15" si="0">SUM(F14:F14)</f>
        <v>1142460</v>
      </c>
      <c r="G15" s="45">
        <f t="shared" si="0"/>
        <v>0</v>
      </c>
      <c r="H15" s="45">
        <f t="shared" si="0"/>
        <v>0</v>
      </c>
      <c r="I15" s="45">
        <f t="shared" si="0"/>
        <v>21005.699999999997</v>
      </c>
      <c r="J15" s="45">
        <f t="shared" si="0"/>
        <v>100000</v>
      </c>
      <c r="K15" s="45">
        <f t="shared" si="0"/>
        <v>100000</v>
      </c>
      <c r="L15" s="46"/>
      <c r="M15" s="596"/>
    </row>
    <row r="16" spans="1:15" ht="63" x14ac:dyDescent="0.25">
      <c r="A16" s="34"/>
      <c r="B16" s="594" t="s">
        <v>269</v>
      </c>
      <c r="C16" s="218"/>
      <c r="D16" s="218"/>
      <c r="E16" s="219"/>
      <c r="F16" s="45"/>
      <c r="G16" s="45"/>
      <c r="H16" s="45"/>
      <c r="I16" s="40">
        <f>П4ВСР!Z472+П4ВСР!Z474+П4ВСР!Z476</f>
        <v>14200158.439999999</v>
      </c>
      <c r="J16" s="40">
        <f>П4ВСР!AA472+П4ВСР!AA474+П4ВСР!AA476</f>
        <v>14469758.34</v>
      </c>
      <c r="K16" s="40">
        <f>П4ВСР!AB472+П4ВСР!AB474+П4ВСР!AB476</f>
        <v>14469758.34</v>
      </c>
      <c r="L16" s="42" t="s">
        <v>521</v>
      </c>
      <c r="M16" s="594" t="s">
        <v>552</v>
      </c>
      <c r="O16" s="328"/>
    </row>
    <row r="17" spans="1:15" ht="78.75" x14ac:dyDescent="0.25">
      <c r="A17" s="34"/>
      <c r="B17" s="595"/>
      <c r="C17" s="218"/>
      <c r="D17" s="218"/>
      <c r="E17" s="219"/>
      <c r="F17" s="45"/>
      <c r="G17" s="45"/>
      <c r="H17" s="45"/>
      <c r="I17" s="40">
        <f>П4ВСР!Z347</f>
        <v>872473.59000000008</v>
      </c>
      <c r="J17" s="40">
        <v>0</v>
      </c>
      <c r="K17" s="40">
        <v>0</v>
      </c>
      <c r="L17" s="42" t="s">
        <v>31</v>
      </c>
      <c r="M17" s="595"/>
      <c r="O17" s="328"/>
    </row>
    <row r="18" spans="1:15" ht="47.25" x14ac:dyDescent="0.25">
      <c r="A18" s="36"/>
      <c r="B18" s="596"/>
      <c r="C18" s="38">
        <v>41537</v>
      </c>
      <c r="D18" s="39">
        <v>1161</v>
      </c>
      <c r="E18" s="39" t="s">
        <v>199</v>
      </c>
      <c r="F18" s="40">
        <v>5000000</v>
      </c>
      <c r="G18" s="40">
        <v>7000000</v>
      </c>
      <c r="H18" s="40">
        <v>9000000</v>
      </c>
      <c r="I18" s="40">
        <f>П4ВСР!Z24+П4ВСР!Z209+П4ВСР!Z211+П4ВСР!Z213+П4ВСР!Z215+П4ВСР!Z217</f>
        <v>6726025.7999999998</v>
      </c>
      <c r="J18" s="41">
        <f>П4ВСР!AA24+П4ВСР!AA209+П4ВСР!AA211+П4ВСР!AA213+П4ВСР!AA215</f>
        <v>250000</v>
      </c>
      <c r="K18" s="41">
        <f>П4ВСР!AB24+П4ВСР!AB209+П4ВСР!AB211+П4ВСР!AB213+П4ВСР!AB215</f>
        <v>300000</v>
      </c>
      <c r="L18" s="42" t="s">
        <v>28</v>
      </c>
      <c r="M18" s="595"/>
      <c r="O18" s="328"/>
    </row>
    <row r="19" spans="1:15" x14ac:dyDescent="0.25">
      <c r="A19" s="36">
        <v>3</v>
      </c>
      <c r="B19" s="446" t="s">
        <v>200</v>
      </c>
      <c r="C19" s="43"/>
      <c r="D19" s="43"/>
      <c r="E19" s="44"/>
      <c r="F19" s="45">
        <f t="shared" ref="F19:H19" si="1">SUM(F18:F18)</f>
        <v>5000000</v>
      </c>
      <c r="G19" s="45">
        <f t="shared" si="1"/>
        <v>7000000</v>
      </c>
      <c r="H19" s="45">
        <f t="shared" si="1"/>
        <v>9000000</v>
      </c>
      <c r="I19" s="45">
        <f>I16+I18+I17</f>
        <v>21798657.829999998</v>
      </c>
      <c r="J19" s="45">
        <f>J16+J18</f>
        <v>14719758.34</v>
      </c>
      <c r="K19" s="45">
        <f>K16+K18</f>
        <v>14769758.34</v>
      </c>
      <c r="L19" s="46"/>
      <c r="M19" s="537"/>
    </row>
    <row r="20" spans="1:15" ht="47.25" x14ac:dyDescent="0.25">
      <c r="A20" s="36"/>
      <c r="B20" s="594" t="s">
        <v>268</v>
      </c>
      <c r="C20" s="48">
        <v>41540</v>
      </c>
      <c r="D20" s="35">
        <v>1181</v>
      </c>
      <c r="E20" s="39" t="s">
        <v>199</v>
      </c>
      <c r="F20" s="40">
        <v>100000</v>
      </c>
      <c r="G20" s="40">
        <v>100000</v>
      </c>
      <c r="H20" s="40">
        <v>100000</v>
      </c>
      <c r="I20" s="41">
        <f>П4ВСР!Z76+П4ВСР!Z105+П4ВСР!Z107+П4ВСР!Z170+П4ВСР!Z172+П4ВСР!Z174+П4ВСР!Z109</f>
        <v>544266.11</v>
      </c>
      <c r="J20" s="41">
        <f>П4ВСР!AA76+П4ВСР!AA105+П4ВСР!AA107+П4ВСР!AA170+П4ВСР!AA172+П4ВСР!AA174</f>
        <v>594392.11</v>
      </c>
      <c r="K20" s="41">
        <f>П4ВСР!AB76+П4ВСР!AB105+П4ВСР!AB107+П4ВСР!AB170+П4ВСР!AB172+П4ВСР!AB174</f>
        <v>700000</v>
      </c>
      <c r="L20" s="42" t="s">
        <v>28</v>
      </c>
      <c r="M20" s="594" t="s">
        <v>553</v>
      </c>
      <c r="O20" s="328"/>
    </row>
    <row r="21" spans="1:15" ht="78.75" x14ac:dyDescent="0.25">
      <c r="A21" s="50"/>
      <c r="B21" s="596"/>
      <c r="C21" s="48"/>
      <c r="D21" s="35"/>
      <c r="E21" s="336"/>
      <c r="F21" s="40"/>
      <c r="G21" s="40"/>
      <c r="H21" s="40"/>
      <c r="I21" s="41">
        <f>П4ВСР!Z319+П4ВСР!Z330</f>
        <v>1830136</v>
      </c>
      <c r="J21" s="41">
        <f>П4ВСР!AA319+П4ВСР!AA106+П4ВСР!AA330</f>
        <v>0</v>
      </c>
      <c r="K21" s="41">
        <f>П4ВСР!AB319+П4ВСР!AB106+П4ВСР!AB330</f>
        <v>0</v>
      </c>
      <c r="L21" s="42" t="s">
        <v>31</v>
      </c>
      <c r="M21" s="595"/>
      <c r="O21" s="328"/>
    </row>
    <row r="22" spans="1:15" x14ac:dyDescent="0.25">
      <c r="A22" s="50">
        <v>4</v>
      </c>
      <c r="B22" s="446" t="s">
        <v>200</v>
      </c>
      <c r="C22" s="35"/>
      <c r="D22" s="35"/>
      <c r="E22" s="39"/>
      <c r="F22" s="45">
        <f t="shared" ref="F22:K22" si="2">SUM(F20)</f>
        <v>100000</v>
      </c>
      <c r="G22" s="45">
        <f t="shared" si="2"/>
        <v>100000</v>
      </c>
      <c r="H22" s="45">
        <f t="shared" si="2"/>
        <v>100000</v>
      </c>
      <c r="I22" s="45">
        <f>SUM(I20)+I21</f>
        <v>2374402.11</v>
      </c>
      <c r="J22" s="45">
        <f t="shared" si="2"/>
        <v>594392.11</v>
      </c>
      <c r="K22" s="45">
        <f t="shared" si="2"/>
        <v>700000</v>
      </c>
      <c r="L22" s="51"/>
      <c r="M22" s="49"/>
    </row>
    <row r="23" spans="1:15" ht="47.25" customHeight="1" x14ac:dyDescent="0.25">
      <c r="A23" s="50"/>
      <c r="B23" s="594" t="s">
        <v>267</v>
      </c>
      <c r="C23" s="35"/>
      <c r="D23" s="35"/>
      <c r="E23" s="217"/>
      <c r="F23" s="45"/>
      <c r="G23" s="45"/>
      <c r="H23" s="45"/>
      <c r="I23" s="40">
        <f>П4ВСР!Z165+П4ВСР!Z153</f>
        <v>12402357.52</v>
      </c>
      <c r="J23" s="40">
        <f>П4ВСР!AA165+П4ВСР!AA159</f>
        <v>4400000</v>
      </c>
      <c r="K23" s="40">
        <f>П4ВСР!AB165+П4ВСР!AB159</f>
        <v>1500000</v>
      </c>
      <c r="L23" s="42" t="s">
        <v>28</v>
      </c>
      <c r="M23" s="595" t="s">
        <v>554</v>
      </c>
    </row>
    <row r="24" spans="1:15" ht="78.75" x14ac:dyDescent="0.25">
      <c r="A24" s="52"/>
      <c r="B24" s="595"/>
      <c r="C24" s="48">
        <v>40564</v>
      </c>
      <c r="D24" s="35">
        <v>75</v>
      </c>
      <c r="E24" s="53" t="s">
        <v>199</v>
      </c>
      <c r="F24" s="40">
        <v>2674000</v>
      </c>
      <c r="G24" s="40">
        <v>2684000</v>
      </c>
      <c r="H24" s="40">
        <v>0</v>
      </c>
      <c r="I24" s="41">
        <f>П4ВСР!Z359+П4ВСР!Z372+П4ВСР!Z361+П4ВСР!Z374</f>
        <v>2444923.92</v>
      </c>
      <c r="J24" s="41">
        <f>П4ВСР!AA359+П4ВСР!AA372</f>
        <v>550000</v>
      </c>
      <c r="K24" s="41">
        <f>П4ВСР!AB359+П4ВСР!AB372</f>
        <v>550000</v>
      </c>
      <c r="L24" s="54" t="s">
        <v>837</v>
      </c>
      <c r="M24" s="595"/>
    </row>
    <row r="25" spans="1:15" ht="78.75" x14ac:dyDescent="0.25">
      <c r="A25" s="283"/>
      <c r="B25" s="596"/>
      <c r="C25" s="48"/>
      <c r="D25" s="35"/>
      <c r="E25" s="284"/>
      <c r="F25" s="40"/>
      <c r="G25" s="40"/>
      <c r="H25" s="40"/>
      <c r="I25" s="41">
        <f>П4ВСР!Z308+П4ВСР!Z302</f>
        <v>8907449.4399999995</v>
      </c>
      <c r="J25" s="41">
        <f>П4ВСР!AA308</f>
        <v>0</v>
      </c>
      <c r="K25" s="41">
        <f>П4ВСР!AB308</f>
        <v>0</v>
      </c>
      <c r="L25" s="42" t="s">
        <v>31</v>
      </c>
      <c r="M25" s="595"/>
    </row>
    <row r="26" spans="1:15" x14ac:dyDescent="0.25">
      <c r="A26" s="34">
        <v>5</v>
      </c>
      <c r="B26" s="446" t="s">
        <v>200</v>
      </c>
      <c r="C26" s="43"/>
      <c r="D26" s="43"/>
      <c r="E26" s="44"/>
      <c r="F26" s="45">
        <f t="shared" ref="F26:H26" si="3">SUM(F24)</f>
        <v>2674000</v>
      </c>
      <c r="G26" s="45">
        <f t="shared" si="3"/>
        <v>2684000</v>
      </c>
      <c r="H26" s="45">
        <f t="shared" si="3"/>
        <v>0</v>
      </c>
      <c r="I26" s="45">
        <f>I23+I24+I25</f>
        <v>23754730.879999999</v>
      </c>
      <c r="J26" s="45">
        <f>J23+J24</f>
        <v>4950000</v>
      </c>
      <c r="K26" s="45">
        <f>K23+K24</f>
        <v>2050000</v>
      </c>
      <c r="L26" s="46"/>
      <c r="M26" s="596"/>
    </row>
    <row r="27" spans="1:15" ht="47.25" x14ac:dyDescent="0.25">
      <c r="A27" s="52"/>
      <c r="B27" s="447" t="s">
        <v>270</v>
      </c>
      <c r="C27" s="48">
        <v>39800</v>
      </c>
      <c r="D27" s="35">
        <v>978</v>
      </c>
      <c r="E27" s="53" t="s">
        <v>201</v>
      </c>
      <c r="F27" s="40">
        <v>23996000</v>
      </c>
      <c r="G27" s="40">
        <v>22033000</v>
      </c>
      <c r="H27" s="40">
        <v>0</v>
      </c>
      <c r="I27" s="40">
        <f>П4ВСР!Z191</f>
        <v>70000</v>
      </c>
      <c r="J27" s="40">
        <f>П4ВСР!AA191</f>
        <v>50000</v>
      </c>
      <c r="K27" s="40">
        <f>П4ВСР!AB191</f>
        <v>50000</v>
      </c>
      <c r="L27" s="54" t="s">
        <v>28</v>
      </c>
      <c r="M27" s="594" t="s">
        <v>555</v>
      </c>
    </row>
    <row r="28" spans="1:15" x14ac:dyDescent="0.25">
      <c r="A28" s="34">
        <v>6</v>
      </c>
      <c r="B28" s="446" t="s">
        <v>200</v>
      </c>
      <c r="C28" s="43"/>
      <c r="D28" s="43"/>
      <c r="E28" s="44"/>
      <c r="F28" s="45">
        <f t="shared" ref="F28:K28" si="4">F27</f>
        <v>23996000</v>
      </c>
      <c r="G28" s="45">
        <f t="shared" si="4"/>
        <v>22033000</v>
      </c>
      <c r="H28" s="45">
        <f t="shared" si="4"/>
        <v>0</v>
      </c>
      <c r="I28" s="45">
        <f t="shared" si="4"/>
        <v>70000</v>
      </c>
      <c r="J28" s="45">
        <f t="shared" si="4"/>
        <v>50000</v>
      </c>
      <c r="K28" s="45">
        <f t="shared" si="4"/>
        <v>50000</v>
      </c>
      <c r="L28" s="55"/>
      <c r="M28" s="596"/>
    </row>
    <row r="29" spans="1:15" ht="47.25" x14ac:dyDescent="0.25">
      <c r="A29" s="34"/>
      <c r="B29" s="447" t="s">
        <v>272</v>
      </c>
      <c r="C29" s="48">
        <v>41176</v>
      </c>
      <c r="D29" s="56">
        <v>1127</v>
      </c>
      <c r="E29" s="57" t="s">
        <v>199</v>
      </c>
      <c r="F29" s="40">
        <v>1033000</v>
      </c>
      <c r="G29" s="40">
        <v>1083000</v>
      </c>
      <c r="H29" s="40">
        <v>1133000</v>
      </c>
      <c r="I29" s="40">
        <f>П4ВСР!Z154+П4ВСР!Z156+П4ВСР!Z239+П4ВСР!Z235+П4ВСР!Z158</f>
        <v>42370992.170000002</v>
      </c>
      <c r="J29" s="40">
        <f>П4ВСР!AA154+П4ВСР!AA156+П4ВСР!AA239+П4ВСР!AA235</f>
        <v>100000</v>
      </c>
      <c r="K29" s="40">
        <f>П4ВСР!AB154+П4ВСР!AB156+П4ВСР!AB239+П4ВСР!AB235</f>
        <v>100000</v>
      </c>
      <c r="L29" s="42" t="s">
        <v>28</v>
      </c>
      <c r="M29" s="594" t="s">
        <v>556</v>
      </c>
    </row>
    <row r="30" spans="1:15" x14ac:dyDescent="0.25">
      <c r="A30" s="34">
        <v>7</v>
      </c>
      <c r="B30" s="446" t="s">
        <v>200</v>
      </c>
      <c r="C30" s="43"/>
      <c r="D30" s="43"/>
      <c r="E30" s="53"/>
      <c r="F30" s="45">
        <f t="shared" ref="F30:K30" si="5">SUM(F29)</f>
        <v>1033000</v>
      </c>
      <c r="G30" s="45">
        <f t="shared" si="5"/>
        <v>1083000</v>
      </c>
      <c r="H30" s="45">
        <f t="shared" si="5"/>
        <v>1133000</v>
      </c>
      <c r="I30" s="45">
        <f t="shared" si="5"/>
        <v>42370992.170000002</v>
      </c>
      <c r="J30" s="45">
        <f t="shared" si="5"/>
        <v>100000</v>
      </c>
      <c r="K30" s="45">
        <f t="shared" si="5"/>
        <v>100000</v>
      </c>
      <c r="L30" s="46"/>
      <c r="M30" s="596"/>
    </row>
    <row r="31" spans="1:15" ht="47.25" x14ac:dyDescent="0.25">
      <c r="A31" s="34"/>
      <c r="B31" s="447" t="s">
        <v>271</v>
      </c>
      <c r="C31" s="48">
        <v>41540</v>
      </c>
      <c r="D31" s="35">
        <v>1188</v>
      </c>
      <c r="E31" s="53" t="s">
        <v>199</v>
      </c>
      <c r="F31" s="40">
        <v>500000</v>
      </c>
      <c r="G31" s="40">
        <v>600000</v>
      </c>
      <c r="H31" s="40">
        <v>800000</v>
      </c>
      <c r="I31" s="40">
        <f>П4ВСР!Z100+П4ВСР!Z102+П4ВСР!Z142+П4ВСР!Z144+П4ВСР!Z146+П4ВСР!Z148</f>
        <v>1304177.54</v>
      </c>
      <c r="J31" s="40">
        <f>П4ВСР!AA100+П4ВСР!AA102+П4ВСР!AA142+П4ВСР!AA144+П4ВСР!AA146</f>
        <v>250000</v>
      </c>
      <c r="K31" s="40">
        <f>П4ВСР!AB100+П4ВСР!AB102+П4ВСР!AB142+П4ВСР!AB144+П4ВСР!AB146</f>
        <v>250000</v>
      </c>
      <c r="L31" s="42" t="s">
        <v>28</v>
      </c>
      <c r="M31" s="594" t="s">
        <v>557</v>
      </c>
    </row>
    <row r="32" spans="1:15" x14ac:dyDescent="0.25">
      <c r="A32" s="34">
        <v>8</v>
      </c>
      <c r="B32" s="446" t="s">
        <v>200</v>
      </c>
      <c r="C32" s="43"/>
      <c r="D32" s="43"/>
      <c r="E32" s="53"/>
      <c r="F32" s="45">
        <f t="shared" ref="F32:K32" si="6">SUM(F31)</f>
        <v>500000</v>
      </c>
      <c r="G32" s="45">
        <f t="shared" si="6"/>
        <v>600000</v>
      </c>
      <c r="H32" s="45">
        <f t="shared" si="6"/>
        <v>800000</v>
      </c>
      <c r="I32" s="45">
        <f t="shared" si="6"/>
        <v>1304177.54</v>
      </c>
      <c r="J32" s="45">
        <f t="shared" si="6"/>
        <v>250000</v>
      </c>
      <c r="K32" s="45">
        <f t="shared" si="6"/>
        <v>250000</v>
      </c>
      <c r="L32" s="46"/>
      <c r="M32" s="596"/>
    </row>
    <row r="33" spans="1:13" ht="47.25" x14ac:dyDescent="0.25">
      <c r="A33" s="34"/>
      <c r="B33" s="442" t="s">
        <v>265</v>
      </c>
      <c r="C33" s="38">
        <v>41537</v>
      </c>
      <c r="D33" s="39">
        <v>1167</v>
      </c>
      <c r="E33" s="39" t="s">
        <v>201</v>
      </c>
      <c r="F33" s="40">
        <v>50000</v>
      </c>
      <c r="G33" s="40">
        <v>100000</v>
      </c>
      <c r="H33" s="40">
        <v>150000</v>
      </c>
      <c r="I33" s="40">
        <f>П4ВСР!Z255+П4ВСР!Z257+П4ВСР!Z260+П4ВСР!Z262+П4ВСР!Z264</f>
        <v>1656998.0000000002</v>
      </c>
      <c r="J33" s="40">
        <f>П4ВСР!AA255+П4ВСР!AA257+П4ВСР!AA260+П4ВСР!AA262+П4ВСР!AA264</f>
        <v>2828700</v>
      </c>
      <c r="K33" s="40">
        <f>П4ВСР!AB255+П4ВСР!AB257+П4ВСР!AB260+П4ВСР!AB262+П4ВСР!AB264</f>
        <v>750000</v>
      </c>
      <c r="L33" s="42" t="s">
        <v>28</v>
      </c>
      <c r="M33" s="594" t="s">
        <v>558</v>
      </c>
    </row>
    <row r="34" spans="1:13" x14ac:dyDescent="0.25">
      <c r="A34" s="34">
        <v>9</v>
      </c>
      <c r="B34" s="446" t="s">
        <v>200</v>
      </c>
      <c r="C34" s="43"/>
      <c r="D34" s="43"/>
      <c r="E34" s="53"/>
      <c r="F34" s="45">
        <f t="shared" ref="F34:K34" si="7">SUM(F33:F33)</f>
        <v>50000</v>
      </c>
      <c r="G34" s="45">
        <f t="shared" si="7"/>
        <v>100000</v>
      </c>
      <c r="H34" s="45">
        <f t="shared" si="7"/>
        <v>150000</v>
      </c>
      <c r="I34" s="45">
        <f t="shared" si="7"/>
        <v>1656998.0000000002</v>
      </c>
      <c r="J34" s="45">
        <f t="shared" si="7"/>
        <v>2828700</v>
      </c>
      <c r="K34" s="45">
        <f t="shared" si="7"/>
        <v>750000</v>
      </c>
      <c r="L34" s="46"/>
      <c r="M34" s="596"/>
    </row>
    <row r="35" spans="1:13" ht="47.25" x14ac:dyDescent="0.25">
      <c r="A35" s="597"/>
      <c r="B35" s="594" t="s">
        <v>273</v>
      </c>
      <c r="C35" s="610">
        <v>41537</v>
      </c>
      <c r="D35" s="613">
        <v>1165</v>
      </c>
      <c r="E35" s="600" t="s">
        <v>201</v>
      </c>
      <c r="F35" s="40">
        <v>2000000</v>
      </c>
      <c r="G35" s="40">
        <v>2700000</v>
      </c>
      <c r="H35" s="40">
        <v>3000000</v>
      </c>
      <c r="I35" s="40">
        <f>П4ВСР!Z26+П4ВСР!Z45+П4ВСР!Z52+П4ВСР!Z241+П4ВСР!Z43+П4ВСР!Z56+П4ВСР!Z54+П4ВСР!Z49</f>
        <v>48342332.82</v>
      </c>
      <c r="J35" s="40">
        <f>П4ВСР!AA26+П4ВСР!AA45+П4ВСР!AA52+П4ВСР!AA241</f>
        <v>42125979.57</v>
      </c>
      <c r="K35" s="40">
        <f>П4ВСР!AB26+П4ВСР!AB45+П4ВСР!AB52+П4ВСР!AB241</f>
        <v>42125979.57</v>
      </c>
      <c r="L35" s="58" t="s">
        <v>28</v>
      </c>
      <c r="M35" s="594" t="s">
        <v>559</v>
      </c>
    </row>
    <row r="36" spans="1:13" ht="63" x14ac:dyDescent="0.25">
      <c r="A36" s="598"/>
      <c r="B36" s="595"/>
      <c r="C36" s="611"/>
      <c r="D36" s="614"/>
      <c r="E36" s="601"/>
      <c r="F36" s="40"/>
      <c r="G36" s="40"/>
      <c r="H36" s="40"/>
      <c r="I36" s="40">
        <f>П4ВСР!Z450+П4ВСР!Z454+П4ВСР!Z457</f>
        <v>9480635.8100000005</v>
      </c>
      <c r="J36" s="40">
        <f>П4ВСР!AA450+П4ВСР!AA454</f>
        <v>8874593.4900000002</v>
      </c>
      <c r="K36" s="40">
        <f>П4ВСР!AB450+П4ВСР!AB454</f>
        <v>8874593.4900000002</v>
      </c>
      <c r="L36" s="42" t="s">
        <v>521</v>
      </c>
      <c r="M36" s="595"/>
    </row>
    <row r="37" spans="1:13" ht="78.75" x14ac:dyDescent="0.25">
      <c r="A37" s="599"/>
      <c r="B37" s="596"/>
      <c r="C37" s="612"/>
      <c r="D37" s="612"/>
      <c r="E37" s="602"/>
      <c r="F37" s="40">
        <v>15000</v>
      </c>
      <c r="G37" s="40">
        <v>15000</v>
      </c>
      <c r="H37" s="40">
        <v>15000</v>
      </c>
      <c r="I37" s="40">
        <f>П4ВСР!Z272+П4ВСР!Z276+П4ВСР!Z354+П4ВСР!Z280</f>
        <v>31242533.730999999</v>
      </c>
      <c r="J37" s="40">
        <f>П4ВСР!AA272+П4ВСР!AA276+П4ВСР!AA354</f>
        <v>28991270.77</v>
      </c>
      <c r="K37" s="40">
        <f>П4ВСР!AB272+П4ВСР!AB276+П4ВСР!AB354</f>
        <v>28991270.77</v>
      </c>
      <c r="L37" s="42" t="s">
        <v>31</v>
      </c>
      <c r="M37" s="595"/>
    </row>
    <row r="38" spans="1:13" x14ac:dyDescent="0.25">
      <c r="A38" s="34">
        <v>10</v>
      </c>
      <c r="B38" s="446" t="s">
        <v>200</v>
      </c>
      <c r="C38" s="43"/>
      <c r="D38" s="43"/>
      <c r="E38" s="53"/>
      <c r="F38" s="45">
        <f t="shared" ref="F38:K38" si="8">SUM(F35:F37)</f>
        <v>2015000</v>
      </c>
      <c r="G38" s="45">
        <f t="shared" si="8"/>
        <v>2715000</v>
      </c>
      <c r="H38" s="45">
        <f t="shared" si="8"/>
        <v>3015000</v>
      </c>
      <c r="I38" s="45">
        <f t="shared" si="8"/>
        <v>89065502.361000001</v>
      </c>
      <c r="J38" s="45">
        <f t="shared" si="8"/>
        <v>79991843.829999998</v>
      </c>
      <c r="K38" s="45">
        <f t="shared" si="8"/>
        <v>79991843.829999998</v>
      </c>
      <c r="L38" s="46"/>
      <c r="M38" s="182"/>
    </row>
    <row r="39" spans="1:13" ht="63" x14ac:dyDescent="0.25">
      <c r="A39" s="34"/>
      <c r="B39" s="594" t="s">
        <v>274</v>
      </c>
      <c r="C39" s="43"/>
      <c r="D39" s="43"/>
      <c r="E39" s="128"/>
      <c r="F39" s="45"/>
      <c r="G39" s="45"/>
      <c r="H39" s="45"/>
      <c r="I39" s="40">
        <f>П4ВСР!Z461</f>
        <v>2914339.99</v>
      </c>
      <c r="J39" s="40">
        <f>П4ВСР!AA461</f>
        <v>2914339.99</v>
      </c>
      <c r="K39" s="40">
        <f>П4ВСР!AB461</f>
        <v>2914339.99</v>
      </c>
      <c r="L39" s="42" t="s">
        <v>521</v>
      </c>
      <c r="M39" s="594" t="s">
        <v>560</v>
      </c>
    </row>
    <row r="40" spans="1:13" ht="81" customHeight="1" x14ac:dyDescent="0.25">
      <c r="A40" s="34"/>
      <c r="B40" s="595"/>
      <c r="C40" s="43"/>
      <c r="D40" s="43"/>
      <c r="E40" s="127"/>
      <c r="F40" s="45"/>
      <c r="G40" s="45"/>
      <c r="H40" s="45"/>
      <c r="I40" s="40">
        <f>П4ВСР!Z376</f>
        <v>275725</v>
      </c>
      <c r="J40" s="40">
        <f>П4ВСР!AA376</f>
        <v>100000</v>
      </c>
      <c r="K40" s="40">
        <f>П4ВСР!AB376</f>
        <v>100000</v>
      </c>
      <c r="L40" s="42" t="s">
        <v>837</v>
      </c>
      <c r="M40" s="595"/>
    </row>
    <row r="41" spans="1:13" ht="47.25" x14ac:dyDescent="0.25">
      <c r="A41" s="34"/>
      <c r="B41" s="443"/>
      <c r="C41" s="48">
        <v>41176</v>
      </c>
      <c r="D41" s="56">
        <v>1126</v>
      </c>
      <c r="E41" s="48" t="s">
        <v>199</v>
      </c>
      <c r="F41" s="40">
        <v>2670405</v>
      </c>
      <c r="G41" s="40">
        <v>0</v>
      </c>
      <c r="H41" s="40">
        <v>0</v>
      </c>
      <c r="I41" s="40">
        <f>П4ВСР!Z67+П4ВСР!Z71+П4ВСР!Z193+П4ВСР!Z195+П4ВСР!Z197+П4ВСР!Z69+П4ВСР!Z199</f>
        <v>6174445.3200000003</v>
      </c>
      <c r="J41" s="40">
        <f>П4ВСР!AA67+П4ВСР!AA71+П4ВСР!AA193+П4ВСР!AA195+П4ВСР!AA197+П4ВСР!AA69</f>
        <v>1233000</v>
      </c>
      <c r="K41" s="40">
        <f>П4ВСР!AB67+П4ВСР!AB71+П4ВСР!AB193+П4ВСР!AB195+П4ВСР!AB197+П4ВСР!AB69</f>
        <v>1353000</v>
      </c>
      <c r="L41" s="42" t="s">
        <v>28</v>
      </c>
      <c r="M41" s="595"/>
    </row>
    <row r="42" spans="1:13" x14ac:dyDescent="0.25">
      <c r="A42" s="34">
        <v>11</v>
      </c>
      <c r="B42" s="446" t="s">
        <v>200</v>
      </c>
      <c r="C42" s="43"/>
      <c r="D42" s="43"/>
      <c r="E42" s="53"/>
      <c r="F42" s="45">
        <f>SUM(F41)</f>
        <v>2670405</v>
      </c>
      <c r="G42" s="45">
        <f>SUM(G41)</f>
        <v>0</v>
      </c>
      <c r="H42" s="45">
        <f>SUM(H41)</f>
        <v>0</v>
      </c>
      <c r="I42" s="45">
        <f>I39+I40+I41</f>
        <v>9364510.3100000005</v>
      </c>
      <c r="J42" s="45">
        <f>J39+J40+J41</f>
        <v>4247339.99</v>
      </c>
      <c r="K42" s="45">
        <f>K39+K40+K41</f>
        <v>4367339.99</v>
      </c>
      <c r="L42" s="46"/>
      <c r="M42" s="182"/>
    </row>
    <row r="43" spans="1:13" ht="85.5" customHeight="1" x14ac:dyDescent="0.25">
      <c r="A43" s="34"/>
      <c r="B43" s="594" t="s">
        <v>262</v>
      </c>
      <c r="C43" s="43"/>
      <c r="D43" s="43"/>
      <c r="E43" s="126"/>
      <c r="F43" s="45"/>
      <c r="G43" s="45"/>
      <c r="H43" s="45"/>
      <c r="I43" s="40">
        <f>П4ВСР!Z363+П4ВСР!Z365+П4ВСР!Z378+П4ВСР!Z380+П4ВСР!Z382+П4ВСР!Z384+П4ВСР!Z386+П4ВСР!Z401+П4ВСР!Z412+П4ВСР!Z416+П4ВСР!Z420+П4ВСР!Z405</f>
        <v>182758568.61000001</v>
      </c>
      <c r="J43" s="40">
        <f>П4ВСР!AA363+П4ВСР!AA365+П4ВСР!AA378+П4ВСР!AA380+П4ВСР!AA382+П4ВСР!AA384+П4ВСР!AA386+П4ВСР!AA401+П4ВСР!AA412+П4ВСР!AA416+П4ВСР!AA420+П4ВСР!AA404</f>
        <v>179785231.34</v>
      </c>
      <c r="K43" s="40">
        <f>П4ВСР!AB363+П4ВСР!AB365+П4ВСР!AB378+П4ВСР!AB380+П4ВСР!AB382+П4ВСР!AB384+П4ВСР!AB386+П4ВСР!AB401+П4ВСР!AB412+П4ВСР!AB416+П4ВСР!AB420+П4ВСР!AB404</f>
        <v>174043345.61000001</v>
      </c>
      <c r="L43" s="42" t="s">
        <v>837</v>
      </c>
      <c r="M43" s="594" t="s">
        <v>561</v>
      </c>
    </row>
    <row r="44" spans="1:13" ht="63" x14ac:dyDescent="0.25">
      <c r="A44" s="34"/>
      <c r="B44" s="595"/>
      <c r="C44" s="43"/>
      <c r="D44" s="43"/>
      <c r="E44" s="127"/>
      <c r="F44" s="45"/>
      <c r="G44" s="45"/>
      <c r="H44" s="45"/>
      <c r="I44" s="40">
        <f>П4ВСР!Z468</f>
        <v>5801834.5599999996</v>
      </c>
      <c r="J44" s="40">
        <f>П4ВСР!AA468</f>
        <v>7636834.5599999996</v>
      </c>
      <c r="K44" s="40">
        <f>П4ВСР!AB468</f>
        <v>7636834.5599999996</v>
      </c>
      <c r="L44" s="59" t="s">
        <v>521</v>
      </c>
      <c r="M44" s="595"/>
    </row>
    <row r="45" spans="1:13" ht="47.25" x14ac:dyDescent="0.25">
      <c r="A45" s="34"/>
      <c r="B45" s="596"/>
      <c r="C45" s="57">
        <v>40869</v>
      </c>
      <c r="D45" s="53">
        <v>1218</v>
      </c>
      <c r="E45" s="53" t="s">
        <v>199</v>
      </c>
      <c r="F45" s="40">
        <v>100000</v>
      </c>
      <c r="G45" s="40">
        <v>0</v>
      </c>
      <c r="H45" s="40">
        <v>0</v>
      </c>
      <c r="I45" s="40">
        <f>П4ВСР!Z188+П4ВСР!Z201</f>
        <v>8300000</v>
      </c>
      <c r="J45" s="40">
        <f>П4ВСР!AA188+П4ВСР!AA201</f>
        <v>150000</v>
      </c>
      <c r="K45" s="40">
        <f>П4ВСР!AB188+П4ВСР!AB201</f>
        <v>150000</v>
      </c>
      <c r="L45" s="59" t="s">
        <v>28</v>
      </c>
      <c r="M45" s="595"/>
    </row>
    <row r="46" spans="1:13" x14ac:dyDescent="0.25">
      <c r="A46" s="34">
        <v>12</v>
      </c>
      <c r="B46" s="446" t="s">
        <v>200</v>
      </c>
      <c r="C46" s="43"/>
      <c r="D46" s="43"/>
      <c r="E46" s="53"/>
      <c r="F46" s="45">
        <f>F45</f>
        <v>100000</v>
      </c>
      <c r="G46" s="45">
        <f>G45</f>
        <v>0</v>
      </c>
      <c r="H46" s="45">
        <f>H45</f>
        <v>0</v>
      </c>
      <c r="I46" s="45">
        <f>I43+I44+I45</f>
        <v>196860403.17000002</v>
      </c>
      <c r="J46" s="45">
        <f>J43+J44+J45</f>
        <v>187572065.90000001</v>
      </c>
      <c r="K46" s="45">
        <f>K43+K44+K45</f>
        <v>181830180.17000002</v>
      </c>
      <c r="L46" s="46"/>
      <c r="M46" s="182"/>
    </row>
    <row r="47" spans="1:13" ht="78.75" x14ac:dyDescent="0.25">
      <c r="A47" s="34"/>
      <c r="B47" s="594" t="s">
        <v>275</v>
      </c>
      <c r="C47" s="43"/>
      <c r="D47" s="43"/>
      <c r="E47" s="129"/>
      <c r="F47" s="45"/>
      <c r="G47" s="45"/>
      <c r="H47" s="45"/>
      <c r="I47" s="40">
        <f>П4ВСР!Z288</f>
        <v>6484000</v>
      </c>
      <c r="J47" s="40">
        <v>0</v>
      </c>
      <c r="K47" s="40">
        <v>0</v>
      </c>
      <c r="L47" s="42" t="s">
        <v>31</v>
      </c>
      <c r="M47" s="594" t="s">
        <v>562</v>
      </c>
    </row>
    <row r="48" spans="1:13" ht="78.75" x14ac:dyDescent="0.25">
      <c r="A48" s="34"/>
      <c r="B48" s="595"/>
      <c r="C48" s="43"/>
      <c r="D48" s="43"/>
      <c r="E48" s="220"/>
      <c r="F48" s="45"/>
      <c r="G48" s="45"/>
      <c r="H48" s="45"/>
      <c r="I48" s="40">
        <f>П4ВСР!Z390+П4ВСР!Z392+П4ВСР!Z394</f>
        <v>150000</v>
      </c>
      <c r="J48" s="40">
        <f>П4ВСР!AA390+П4ВСР!AA392+П4ВСР!AA394</f>
        <v>120000</v>
      </c>
      <c r="K48" s="40">
        <f>П4ВСР!AB390+П4ВСР!AB392+П4ВСР!AB394</f>
        <v>80000</v>
      </c>
      <c r="L48" s="42" t="s">
        <v>837</v>
      </c>
      <c r="M48" s="595"/>
    </row>
    <row r="49" spans="1:13" ht="47.25" x14ac:dyDescent="0.25">
      <c r="A49" s="34"/>
      <c r="B49" s="596"/>
      <c r="C49" s="48">
        <v>40192</v>
      </c>
      <c r="D49" s="60">
        <v>12</v>
      </c>
      <c r="E49" s="48" t="s">
        <v>199</v>
      </c>
      <c r="F49" s="40">
        <v>100000</v>
      </c>
      <c r="G49" s="40">
        <v>0</v>
      </c>
      <c r="H49" s="40">
        <v>0</v>
      </c>
      <c r="I49" s="40">
        <f>П4ВСР!Z112+П4ВСР!Z114+П4ВСР!Z118+П4ВСР!Z120+П4ВСР!Z122+П4ВСР!Z124+П4ВСР!Z128+П4ВСР!Z130+П4ВСР!Z135+П4ВСР!Z137+П4ВСР!Z140+П4ВСР!Z132+П4ВСР!Z126+П4ВСР!Z117</f>
        <v>33649019.130000003</v>
      </c>
      <c r="J49" s="40">
        <f>П4ВСР!AA112+П4ВСР!AA114+П4ВСР!AA118+П4ВСР!AA120+П4ВСР!AA122+П4ВСР!AA124+П4ВСР!AA128+П4ВСР!AA130+П4ВСР!AA135+П4ВСР!AA137</f>
        <v>33018922.379999999</v>
      </c>
      <c r="K49" s="40">
        <f>П4ВСР!AB112+П4ВСР!AB114+П4ВСР!AB118+П4ВСР!AB120+П4ВСР!AB122+П4ВСР!AB124+П4ВСР!AB128+П4ВСР!AB130+П4ВСР!AB135+П4ВСР!AB137</f>
        <v>33790563.450000003</v>
      </c>
      <c r="L49" s="59" t="s">
        <v>28</v>
      </c>
      <c r="M49" s="595"/>
    </row>
    <row r="50" spans="1:13" x14ac:dyDescent="0.25">
      <c r="A50" s="34">
        <v>13</v>
      </c>
      <c r="B50" s="446" t="s">
        <v>200</v>
      </c>
      <c r="C50" s="43"/>
      <c r="D50" s="43"/>
      <c r="E50" s="53"/>
      <c r="F50" s="45">
        <f>F49</f>
        <v>100000</v>
      </c>
      <c r="G50" s="45">
        <f>G49</f>
        <v>0</v>
      </c>
      <c r="H50" s="45">
        <f>H49</f>
        <v>0</v>
      </c>
      <c r="I50" s="45">
        <f>I47+I49+I48</f>
        <v>40283019.130000003</v>
      </c>
      <c r="J50" s="45">
        <f>J47+J49+J48</f>
        <v>33138922.379999999</v>
      </c>
      <c r="K50" s="45">
        <f>K47+K49+K48</f>
        <v>33870563.450000003</v>
      </c>
      <c r="L50" s="46"/>
      <c r="M50" s="182"/>
    </row>
    <row r="51" spans="1:13" ht="78.75" x14ac:dyDescent="0.25">
      <c r="A51" s="34"/>
      <c r="B51" s="594" t="s">
        <v>264</v>
      </c>
      <c r="C51" s="43"/>
      <c r="D51" s="43"/>
      <c r="E51" s="376"/>
      <c r="F51" s="45"/>
      <c r="G51" s="45"/>
      <c r="H51" s="45"/>
      <c r="I51" s="40">
        <f>П4ВСР!Z342</f>
        <v>280000</v>
      </c>
      <c r="J51" s="40">
        <v>0</v>
      </c>
      <c r="K51" s="40">
        <v>0</v>
      </c>
      <c r="L51" s="42" t="s">
        <v>31</v>
      </c>
      <c r="M51" s="600" t="s">
        <v>563</v>
      </c>
    </row>
    <row r="52" spans="1:13" ht="47.25" x14ac:dyDescent="0.25">
      <c r="A52" s="34"/>
      <c r="B52" s="596"/>
      <c r="C52" s="48">
        <v>41108</v>
      </c>
      <c r="D52" s="35">
        <v>814</v>
      </c>
      <c r="E52" s="53" t="s">
        <v>199</v>
      </c>
      <c r="F52" s="40">
        <v>150000</v>
      </c>
      <c r="G52" s="40">
        <v>150000</v>
      </c>
      <c r="H52" s="40">
        <v>150000</v>
      </c>
      <c r="I52" s="40">
        <f>П4ВСР!Z176+П4ВСР!Z178+П4ВСР!Z180+П4ВСР!Z182+П4ВСР!Z184</f>
        <v>5339092.6099999994</v>
      </c>
      <c r="J52" s="40">
        <f>П4ВСР!AA176+П4ВСР!AA178+П4ВСР!AA180+П4ВСР!AA182+П4ВСР!AA184</f>
        <v>250000</v>
      </c>
      <c r="K52" s="40">
        <f>П4ВСР!AB176+П4ВСР!AB178+П4ВСР!AB180+П4ВСР!AB182+П4ВСР!AB184</f>
        <v>300000</v>
      </c>
      <c r="L52" s="59" t="s">
        <v>28</v>
      </c>
      <c r="M52" s="601"/>
    </row>
    <row r="53" spans="1:13" x14ac:dyDescent="0.25">
      <c r="A53" s="34">
        <v>14</v>
      </c>
      <c r="B53" s="446" t="s">
        <v>200</v>
      </c>
      <c r="C53" s="43"/>
      <c r="D53" s="43"/>
      <c r="E53" s="53"/>
      <c r="F53" s="45">
        <f t="shared" ref="F53:K53" si="9">F52</f>
        <v>150000</v>
      </c>
      <c r="G53" s="45">
        <f t="shared" si="9"/>
        <v>150000</v>
      </c>
      <c r="H53" s="45">
        <f t="shared" si="9"/>
        <v>150000</v>
      </c>
      <c r="I53" s="45">
        <f>I52+I51</f>
        <v>5619092.6099999994</v>
      </c>
      <c r="J53" s="45">
        <f t="shared" si="9"/>
        <v>250000</v>
      </c>
      <c r="K53" s="45">
        <f t="shared" si="9"/>
        <v>300000</v>
      </c>
      <c r="L53" s="61"/>
      <c r="M53" s="602"/>
    </row>
    <row r="54" spans="1:13" x14ac:dyDescent="0.25">
      <c r="A54" s="36"/>
      <c r="B54" s="446" t="s">
        <v>202</v>
      </c>
      <c r="C54" s="43"/>
      <c r="D54" s="43"/>
      <c r="E54" s="44"/>
      <c r="F54" s="45" t="e">
        <f>F13+F15+F19+F26+F28+F30+F32+F34+F38+F42+F46+F50+F53+#REF!+#REF!+#REF!+#REF!+#REF!+#REF!+#REF!+F22+#REF!+#REF!</f>
        <v>#REF!</v>
      </c>
      <c r="G54" s="45" t="e">
        <f>G13+G15+G19+G26+G28+G30+G32+G34+G38+G42+G46+G50+G53+#REF!+#REF!+#REF!+#REF!+#REF!+#REF!+#REF!+G22+#REF!+#REF!</f>
        <v>#REF!</v>
      </c>
      <c r="H54" s="45" t="e">
        <f>H13+H15+H19+H26+H28+H30+H32+H34+H38+H42+H46+H50+H53+#REF!+#REF!+#REF!+#REF!+#REF!+#REF!+#REF!+H22+#REF!+#REF!</f>
        <v>#REF!</v>
      </c>
      <c r="I54" s="45">
        <f>I13+I15+I19+I22+I26+I28+I30+I32+I34+I38+I42+I46+I50+I53</f>
        <v>435207453.13100004</v>
      </c>
      <c r="J54" s="45">
        <f>J13+J15+J19+J22+J26+J28+J30+J32+J34+J38+J42+J46+J50+J53</f>
        <v>329993022.55000001</v>
      </c>
      <c r="K54" s="45">
        <f>K13+K15+K19+K22+K26+K28+K30+K32+K34+K38+K42+K46+K50+K53</f>
        <v>319929685.78000003</v>
      </c>
      <c r="L54" s="45"/>
      <c r="M54" s="63"/>
    </row>
    <row r="55" spans="1:13" x14ac:dyDescent="0.25">
      <c r="L55" s="31" t="s">
        <v>203</v>
      </c>
    </row>
    <row r="56" spans="1:13" x14ac:dyDescent="0.25">
      <c r="F56" s="64"/>
      <c r="G56" s="64"/>
      <c r="H56" s="64"/>
    </row>
    <row r="57" spans="1:13" hidden="1" x14ac:dyDescent="0.25">
      <c r="I57" s="64">
        <f>I52+I49+I45+I41+I35+I33+I31+I29+I27+I23+I20+I18+I14+I12</f>
        <v>167214674.04000002</v>
      </c>
    </row>
    <row r="58" spans="1:13" hidden="1" x14ac:dyDescent="0.25">
      <c r="I58" s="64">
        <f>I51+I47+I37+I25+I21+I17+I11</f>
        <v>49966592.761</v>
      </c>
    </row>
    <row r="59" spans="1:13" hidden="1" x14ac:dyDescent="0.25">
      <c r="I59" s="64">
        <f>I48+I43+I40+I24</f>
        <v>185629217.53</v>
      </c>
    </row>
    <row r="60" spans="1:13" hidden="1" x14ac:dyDescent="0.25">
      <c r="I60" s="64">
        <f>I44+I39+I36+I16</f>
        <v>32396968.799999997</v>
      </c>
    </row>
    <row r="61" spans="1:13" hidden="1" x14ac:dyDescent="0.25">
      <c r="I61" s="64">
        <f>SUM(I57:I60)</f>
        <v>435207453.13100004</v>
      </c>
    </row>
    <row r="63" spans="1:13" x14ac:dyDescent="0.25">
      <c r="E63" s="65"/>
      <c r="F63" s="66"/>
      <c r="G63" s="66"/>
      <c r="H63" s="66"/>
      <c r="I63" s="66"/>
      <c r="J63" s="66"/>
      <c r="K63" s="67"/>
      <c r="L63" s="67"/>
    </row>
    <row r="77" spans="1:13" x14ac:dyDescent="0.25">
      <c r="A77" s="66"/>
      <c r="B77" s="448"/>
      <c r="C77" s="68"/>
      <c r="D77" s="68"/>
      <c r="E77" s="65"/>
      <c r="F77" s="66"/>
      <c r="G77" s="66"/>
      <c r="H77" s="66"/>
      <c r="I77" s="66"/>
      <c r="J77" s="66"/>
      <c r="K77" s="67"/>
      <c r="L77" s="67"/>
      <c r="M77" s="69"/>
    </row>
    <row r="78" spans="1:13" x14ac:dyDescent="0.25">
      <c r="A78" s="66"/>
      <c r="B78" s="448"/>
      <c r="C78" s="68"/>
      <c r="D78" s="68"/>
      <c r="E78" s="65"/>
      <c r="F78" s="66"/>
      <c r="G78" s="66"/>
      <c r="H78" s="66"/>
      <c r="I78" s="66"/>
      <c r="J78" s="66"/>
      <c r="K78" s="67"/>
      <c r="L78" s="67"/>
      <c r="M78" s="69"/>
    </row>
    <row r="79" spans="1:13" x14ac:dyDescent="0.25">
      <c r="A79" s="66"/>
      <c r="B79" s="448"/>
      <c r="C79" s="68"/>
      <c r="D79" s="68"/>
      <c r="E79" s="65"/>
      <c r="F79" s="66"/>
      <c r="G79" s="66"/>
      <c r="H79" s="66"/>
      <c r="I79" s="66"/>
      <c r="J79" s="66"/>
      <c r="K79" s="67"/>
      <c r="L79" s="67"/>
      <c r="M79" s="69"/>
    </row>
    <row r="80" spans="1:13" x14ac:dyDescent="0.25">
      <c r="A80" s="66"/>
      <c r="B80" s="448"/>
      <c r="C80" s="68"/>
      <c r="D80" s="68"/>
      <c r="E80" s="65"/>
      <c r="F80" s="66"/>
      <c r="G80" s="66"/>
      <c r="H80" s="66"/>
      <c r="I80" s="66"/>
      <c r="J80" s="66"/>
      <c r="K80" s="67"/>
      <c r="L80" s="67"/>
      <c r="M80" s="69"/>
    </row>
    <row r="81" spans="1:13" x14ac:dyDescent="0.25">
      <c r="A81" s="66"/>
      <c r="B81" s="448"/>
      <c r="C81" s="68"/>
      <c r="D81" s="68"/>
      <c r="E81" s="65"/>
      <c r="F81" s="66"/>
      <c r="G81" s="66"/>
      <c r="H81" s="66"/>
      <c r="I81" s="66"/>
      <c r="J81" s="66"/>
      <c r="K81" s="67"/>
      <c r="L81" s="67"/>
      <c r="M81" s="69"/>
    </row>
    <row r="82" spans="1:13" x14ac:dyDescent="0.25">
      <c r="A82" s="66"/>
      <c r="B82" s="616"/>
      <c r="C82" s="616"/>
      <c r="D82" s="616"/>
      <c r="E82" s="616"/>
      <c r="F82" s="616"/>
      <c r="G82" s="616"/>
      <c r="H82" s="616"/>
      <c r="I82" s="616"/>
      <c r="J82" s="616"/>
      <c r="K82" s="616"/>
      <c r="L82" s="65"/>
      <c r="M82" s="69"/>
    </row>
    <row r="83" spans="1:13" x14ac:dyDescent="0.25">
      <c r="A83" s="66"/>
      <c r="B83" s="448"/>
      <c r="C83" s="68"/>
      <c r="D83" s="68"/>
      <c r="E83" s="65"/>
      <c r="F83" s="66"/>
      <c r="G83" s="66"/>
      <c r="H83" s="66"/>
      <c r="I83" s="66"/>
      <c r="J83" s="66"/>
      <c r="K83" s="67"/>
      <c r="L83" s="67"/>
      <c r="M83" s="69"/>
    </row>
    <row r="84" spans="1:13" x14ac:dyDescent="0.25">
      <c r="A84" s="66"/>
      <c r="B84" s="617"/>
      <c r="C84" s="617"/>
      <c r="D84" s="617"/>
      <c r="E84" s="617"/>
      <c r="F84" s="616"/>
      <c r="G84" s="616"/>
      <c r="H84" s="616"/>
      <c r="I84" s="616"/>
      <c r="J84" s="616"/>
      <c r="K84" s="70"/>
      <c r="L84" s="70"/>
      <c r="M84" s="618"/>
    </row>
    <row r="85" spans="1:13" x14ac:dyDescent="0.25">
      <c r="A85" s="66"/>
      <c r="B85" s="617"/>
      <c r="C85" s="617"/>
      <c r="D85" s="617"/>
      <c r="E85" s="617"/>
      <c r="F85" s="619"/>
      <c r="G85" s="619"/>
      <c r="H85" s="619"/>
      <c r="I85" s="619"/>
      <c r="J85" s="66"/>
      <c r="K85" s="67"/>
      <c r="L85" s="67"/>
      <c r="M85" s="618"/>
    </row>
    <row r="86" spans="1:13" x14ac:dyDescent="0.25">
      <c r="A86" s="66"/>
      <c r="B86" s="617"/>
      <c r="C86" s="617"/>
      <c r="D86" s="617"/>
      <c r="E86" s="617"/>
      <c r="F86" s="66"/>
      <c r="G86" s="66"/>
      <c r="H86" s="66"/>
      <c r="I86" s="66"/>
      <c r="J86" s="66"/>
      <c r="K86" s="67"/>
      <c r="L86" s="67"/>
      <c r="M86" s="618"/>
    </row>
    <row r="87" spans="1:13" x14ac:dyDescent="0.25">
      <c r="A87" s="66"/>
      <c r="B87" s="617"/>
      <c r="C87" s="617"/>
      <c r="D87" s="617"/>
      <c r="E87" s="617"/>
      <c r="F87" s="71"/>
      <c r="G87" s="71"/>
      <c r="H87" s="71"/>
      <c r="I87" s="67"/>
      <c r="J87" s="71"/>
      <c r="K87" s="67"/>
      <c r="L87" s="67"/>
      <c r="M87" s="620"/>
    </row>
    <row r="88" spans="1:13" x14ac:dyDescent="0.25">
      <c r="A88" s="66"/>
      <c r="B88" s="617"/>
      <c r="C88" s="617"/>
      <c r="D88" s="617"/>
      <c r="E88" s="617"/>
      <c r="F88" s="71"/>
      <c r="G88" s="71"/>
      <c r="H88" s="71"/>
      <c r="I88" s="67"/>
      <c r="J88" s="71"/>
      <c r="K88" s="67"/>
      <c r="L88" s="67"/>
      <c r="M88" s="620"/>
    </row>
    <row r="89" spans="1:13" x14ac:dyDescent="0.25">
      <c r="A89" s="66"/>
      <c r="B89" s="617"/>
      <c r="C89" s="617"/>
      <c r="D89" s="617"/>
      <c r="E89" s="617"/>
      <c r="F89" s="71"/>
      <c r="G89" s="71"/>
      <c r="H89" s="71"/>
      <c r="I89" s="67"/>
      <c r="J89" s="71"/>
      <c r="K89" s="67"/>
      <c r="L89" s="67"/>
      <c r="M89" s="620"/>
    </row>
    <row r="90" spans="1:13" x14ac:dyDescent="0.25">
      <c r="A90" s="66"/>
      <c r="B90" s="617"/>
      <c r="C90" s="617"/>
      <c r="D90" s="617"/>
      <c r="E90" s="617"/>
      <c r="F90" s="71"/>
      <c r="G90" s="71"/>
      <c r="H90" s="71"/>
      <c r="I90" s="67"/>
      <c r="J90" s="71"/>
      <c r="K90" s="67"/>
      <c r="L90" s="67"/>
      <c r="M90" s="620"/>
    </row>
    <row r="91" spans="1:13" x14ac:dyDescent="0.25">
      <c r="A91" s="66"/>
      <c r="B91" s="617"/>
      <c r="C91" s="617"/>
      <c r="D91" s="617"/>
      <c r="E91" s="617"/>
      <c r="F91" s="71"/>
      <c r="G91" s="71"/>
      <c r="H91" s="71"/>
      <c r="I91" s="67"/>
      <c r="J91" s="71"/>
      <c r="K91" s="67"/>
      <c r="L91" s="67"/>
      <c r="M91" s="620"/>
    </row>
    <row r="92" spans="1:13" x14ac:dyDescent="0.25">
      <c r="A92" s="66"/>
      <c r="B92" s="617"/>
      <c r="C92" s="617"/>
      <c r="D92" s="617"/>
      <c r="E92" s="617"/>
      <c r="F92" s="71"/>
      <c r="G92" s="71"/>
      <c r="H92" s="71"/>
      <c r="I92" s="67"/>
      <c r="J92" s="71"/>
      <c r="K92" s="67"/>
      <c r="L92" s="67"/>
      <c r="M92" s="620"/>
    </row>
    <row r="93" spans="1:13" x14ac:dyDescent="0.25">
      <c r="A93" s="66"/>
      <c r="B93" s="615"/>
      <c r="C93" s="615"/>
      <c r="D93" s="615"/>
      <c r="E93" s="615"/>
      <c r="F93" s="72"/>
      <c r="G93" s="72"/>
      <c r="H93" s="72"/>
      <c r="I93" s="73"/>
      <c r="J93" s="72"/>
      <c r="K93" s="73"/>
      <c r="L93" s="73"/>
      <c r="M93" s="74"/>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39:B40"/>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65"/>
  <sheetViews>
    <sheetView topLeftCell="A7" workbookViewId="0">
      <selection activeCell="C5" sqref="C5"/>
    </sheetView>
  </sheetViews>
  <sheetFormatPr defaultRowHeight="15" x14ac:dyDescent="0.25"/>
  <cols>
    <col min="1" max="2" width="5.7109375" style="106" customWidth="1"/>
    <col min="3" max="3" width="55.85546875" style="107" customWidth="1"/>
    <col min="4" max="4" width="15.140625" style="93"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0" customFormat="1" ht="15.75" x14ac:dyDescent="0.25">
      <c r="A1" s="1"/>
      <c r="B1" s="1"/>
      <c r="C1" s="621" t="s">
        <v>1082</v>
      </c>
      <c r="D1" s="621"/>
      <c r="E1" s="621"/>
      <c r="F1" s="621"/>
    </row>
    <row r="2" spans="1:6" s="90" customFormat="1" ht="15.75" customHeight="1" x14ac:dyDescent="0.25">
      <c r="A2" s="1"/>
      <c r="B2" s="1"/>
      <c r="C2" s="621" t="s">
        <v>245</v>
      </c>
      <c r="D2" s="621"/>
      <c r="E2" s="621"/>
      <c r="F2" s="621"/>
    </row>
    <row r="3" spans="1:6" s="90" customFormat="1" ht="15.75" x14ac:dyDescent="0.25">
      <c r="A3" s="1"/>
      <c r="B3" s="1"/>
      <c r="C3" s="621" t="s">
        <v>246</v>
      </c>
      <c r="D3" s="621"/>
      <c r="E3" s="621"/>
      <c r="F3" s="621"/>
    </row>
    <row r="4" spans="1:6" s="90" customFormat="1" ht="15.75" x14ac:dyDescent="0.25">
      <c r="A4" s="1"/>
      <c r="B4" s="1"/>
      <c r="C4" s="621" t="s">
        <v>1252</v>
      </c>
      <c r="D4" s="621"/>
      <c r="E4" s="621"/>
      <c r="F4" s="621"/>
    </row>
    <row r="5" spans="1:6" s="90" customFormat="1" ht="15.75" x14ac:dyDescent="0.25">
      <c r="A5" s="1"/>
      <c r="B5" s="1"/>
      <c r="C5" s="92"/>
      <c r="D5" s="33"/>
    </row>
    <row r="6" spans="1:6" ht="15.75" x14ac:dyDescent="0.25">
      <c r="A6" s="1"/>
      <c r="B6" s="1"/>
      <c r="C6" s="92"/>
      <c r="D6" s="33"/>
    </row>
    <row r="7" spans="1:6" ht="40.5" customHeight="1" x14ac:dyDescent="0.25">
      <c r="A7" s="543" t="s">
        <v>840</v>
      </c>
      <c r="B7" s="543"/>
      <c r="C7" s="543"/>
      <c r="D7" s="543"/>
      <c r="E7" s="543"/>
      <c r="F7" s="543"/>
    </row>
    <row r="8" spans="1:6" ht="15.75" x14ac:dyDescent="0.25">
      <c r="A8" s="1"/>
      <c r="B8" s="1"/>
      <c r="C8" s="24"/>
      <c r="F8" s="33" t="s">
        <v>188</v>
      </c>
    </row>
    <row r="9" spans="1:6" ht="15.75" x14ac:dyDescent="0.25">
      <c r="A9" s="544" t="s">
        <v>134</v>
      </c>
      <c r="B9" s="544" t="s">
        <v>135</v>
      </c>
      <c r="C9" s="546" t="s">
        <v>1</v>
      </c>
      <c r="D9" s="548" t="s">
        <v>247</v>
      </c>
      <c r="E9" s="549"/>
      <c r="F9" s="550"/>
    </row>
    <row r="10" spans="1:6" ht="16.5" x14ac:dyDescent="0.3">
      <c r="A10" s="545"/>
      <c r="B10" s="545"/>
      <c r="C10" s="547"/>
      <c r="D10" s="62">
        <v>2017</v>
      </c>
      <c r="E10" s="94">
        <v>2018</v>
      </c>
      <c r="F10" s="94">
        <v>2019</v>
      </c>
    </row>
    <row r="11" spans="1:6" ht="15.75" x14ac:dyDescent="0.25">
      <c r="A11" s="95" t="s">
        <v>122</v>
      </c>
      <c r="B11" s="95" t="s">
        <v>133</v>
      </c>
      <c r="C11" s="43" t="s">
        <v>111</v>
      </c>
      <c r="D11" s="45">
        <f>D12+D13+D14+D16+D18+D19+D15+D17</f>
        <v>78630984.001000002</v>
      </c>
      <c r="E11" s="45">
        <f>E12+E13+E14+E16+E18+E19+E15+E17</f>
        <v>67950725.560000002</v>
      </c>
      <c r="F11" s="45">
        <f>F12+F13+F14+F16+F18+F19+F15+F17</f>
        <v>67950725.460000008</v>
      </c>
    </row>
    <row r="12" spans="1:6" ht="31.5" x14ac:dyDescent="0.25">
      <c r="A12" s="96" t="s">
        <v>122</v>
      </c>
      <c r="B12" s="96" t="s">
        <v>132</v>
      </c>
      <c r="C12" s="35" t="s">
        <v>248</v>
      </c>
      <c r="D12" s="40">
        <f>П4ВСР!Z13</f>
        <v>1494696</v>
      </c>
      <c r="E12" s="40">
        <f>П4ВСР!AA13</f>
        <v>1494696</v>
      </c>
      <c r="F12" s="40">
        <f>П4ВСР!AB13</f>
        <v>1494696</v>
      </c>
    </row>
    <row r="13" spans="1:6" ht="47.25" x14ac:dyDescent="0.25">
      <c r="A13" s="96" t="s">
        <v>122</v>
      </c>
      <c r="B13" s="96" t="s">
        <v>123</v>
      </c>
      <c r="C13" s="35" t="s">
        <v>249</v>
      </c>
      <c r="D13" s="40">
        <f>П4ВСР!Z16</f>
        <v>2902134.2199999997</v>
      </c>
      <c r="E13" s="40">
        <f>П4ВСР!AA16</f>
        <v>2838921.7199999997</v>
      </c>
      <c r="F13" s="40">
        <f>П4ВСР!AB16</f>
        <v>2838921.62</v>
      </c>
    </row>
    <row r="14" spans="1:6" ht="63" x14ac:dyDescent="0.25">
      <c r="A14" s="96" t="s">
        <v>122</v>
      </c>
      <c r="B14" s="96" t="s">
        <v>136</v>
      </c>
      <c r="C14" s="35" t="s">
        <v>250</v>
      </c>
      <c r="D14" s="40">
        <f>П4ВСР!Z23</f>
        <v>29593778.750000004</v>
      </c>
      <c r="E14" s="40">
        <f>П4ВСР!AA23</f>
        <v>28187774.07</v>
      </c>
      <c r="F14" s="40">
        <f>П4ВСР!AB23</f>
        <v>28187774.07</v>
      </c>
    </row>
    <row r="15" spans="1:6" ht="15.75" x14ac:dyDescent="0.25">
      <c r="A15" s="96" t="s">
        <v>122</v>
      </c>
      <c r="B15" s="96" t="s">
        <v>124</v>
      </c>
      <c r="C15" s="20" t="s">
        <v>137</v>
      </c>
      <c r="D15" s="40">
        <f>П4ВСР!Z35</f>
        <v>8790</v>
      </c>
      <c r="E15" s="40">
        <f>П4ВСР!AA35</f>
        <v>0</v>
      </c>
      <c r="F15" s="40">
        <f>П4ВСР!AB35</f>
        <v>0</v>
      </c>
    </row>
    <row r="16" spans="1:6" ht="47.25" x14ac:dyDescent="0.25">
      <c r="A16" s="96" t="s">
        <v>122</v>
      </c>
      <c r="B16" s="96" t="s">
        <v>125</v>
      </c>
      <c r="C16" s="35" t="s">
        <v>251</v>
      </c>
      <c r="D16" s="40">
        <f>П4ВСР!Z38+П4ВСР!Z271</f>
        <v>12134687.779999999</v>
      </c>
      <c r="E16" s="40">
        <f>П4ВСР!AA38+П4ВСР!AA271</f>
        <v>11524134.779999999</v>
      </c>
      <c r="F16" s="40">
        <f>П4ВСР!AB38+П4ВСР!AB271</f>
        <v>11524134.779999999</v>
      </c>
    </row>
    <row r="17" spans="1:6" ht="15.75" x14ac:dyDescent="0.25">
      <c r="A17" s="96" t="s">
        <v>122</v>
      </c>
      <c r="B17" s="96" t="s">
        <v>138</v>
      </c>
      <c r="C17" s="35" t="s">
        <v>139</v>
      </c>
      <c r="D17" s="40">
        <f>П4ВСР!Z43</f>
        <v>2085575.02</v>
      </c>
      <c r="E17" s="40">
        <f>П4ВСР!AA42</f>
        <v>0</v>
      </c>
      <c r="F17" s="40">
        <f>П4ВСР!AB42</f>
        <v>0</v>
      </c>
    </row>
    <row r="18" spans="1:6" ht="15.75" x14ac:dyDescent="0.25">
      <c r="A18" s="96" t="s">
        <v>122</v>
      </c>
      <c r="B18" s="96" t="s">
        <v>128</v>
      </c>
      <c r="C18" s="35" t="s">
        <v>140</v>
      </c>
      <c r="D18" s="40">
        <f>П4ВСР!Z44</f>
        <v>351931</v>
      </c>
      <c r="E18" s="40">
        <f>П4ВСР!AA44</f>
        <v>351931</v>
      </c>
      <c r="F18" s="40">
        <f>П4ВСР!AB44</f>
        <v>351931</v>
      </c>
    </row>
    <row r="19" spans="1:6" ht="15.75" x14ac:dyDescent="0.25">
      <c r="A19" s="96" t="s">
        <v>122</v>
      </c>
      <c r="B19" s="96" t="s">
        <v>130</v>
      </c>
      <c r="C19" s="35" t="s">
        <v>141</v>
      </c>
      <c r="D19" s="40">
        <f>П4ВСР!Z47+П4ВСР!Z449+П4ВСР!Z281</f>
        <v>30059391.230999995</v>
      </c>
      <c r="E19" s="40">
        <f>П4ВСР!AA47+П4ВСР!AA449</f>
        <v>23553267.990000002</v>
      </c>
      <c r="F19" s="40">
        <f>П4ВСР!AB47+П4ВСР!AB449</f>
        <v>23553267.990000002</v>
      </c>
    </row>
    <row r="20" spans="1:6" ht="31.5" x14ac:dyDescent="0.25">
      <c r="A20" s="95" t="s">
        <v>123</v>
      </c>
      <c r="B20" s="95" t="s">
        <v>133</v>
      </c>
      <c r="C20" s="43" t="s">
        <v>112</v>
      </c>
      <c r="D20" s="45">
        <f>D22+D23</f>
        <v>9063774.4199999999</v>
      </c>
      <c r="E20" s="45">
        <f>E22+E23</f>
        <v>4228742.1000000006</v>
      </c>
      <c r="F20" s="45">
        <f>F22+F23</f>
        <v>4414339.99</v>
      </c>
    </row>
    <row r="21" spans="1:6" ht="15.75" hidden="1" x14ac:dyDescent="0.25">
      <c r="A21" s="96" t="s">
        <v>123</v>
      </c>
      <c r="B21" s="96" t="s">
        <v>132</v>
      </c>
      <c r="C21" s="35" t="s">
        <v>142</v>
      </c>
      <c r="D21" s="40">
        <v>0</v>
      </c>
      <c r="E21" s="40">
        <v>0</v>
      </c>
      <c r="F21" s="40">
        <v>0</v>
      </c>
    </row>
    <row r="22" spans="1:6" ht="34.5" customHeight="1" x14ac:dyDescent="0.25">
      <c r="A22" s="96" t="s">
        <v>123</v>
      </c>
      <c r="B22" s="96" t="s">
        <v>127</v>
      </c>
      <c r="C22" s="35" t="s">
        <v>252</v>
      </c>
      <c r="D22" s="40">
        <f>П4ВСР!Z66+П4ВСР!Z460</f>
        <v>8849372.3100000005</v>
      </c>
      <c r="E22" s="40">
        <f>П4ВСР!AA66+П4ВСР!AA460</f>
        <v>4014339.99</v>
      </c>
      <c r="F22" s="40">
        <f>П4ВСР!AB66+П4ВСР!AB460</f>
        <v>4114339.99</v>
      </c>
    </row>
    <row r="23" spans="1:6" ht="22.5" customHeight="1" x14ac:dyDescent="0.25">
      <c r="A23" s="96" t="s">
        <v>123</v>
      </c>
      <c r="B23" s="96" t="s">
        <v>143</v>
      </c>
      <c r="C23" s="35" t="s">
        <v>144</v>
      </c>
      <c r="D23" s="40">
        <f>П4ВСР!Z75</f>
        <v>214402.11</v>
      </c>
      <c r="E23" s="84">
        <f>П4ВСР!AA75</f>
        <v>214402.11</v>
      </c>
      <c r="F23" s="84">
        <f>П4ВСР!AB75</f>
        <v>300000</v>
      </c>
    </row>
    <row r="24" spans="1:6" ht="0.75" hidden="1" customHeight="1" x14ac:dyDescent="0.25">
      <c r="A24" s="96" t="s">
        <v>123</v>
      </c>
      <c r="B24" s="96" t="s">
        <v>131</v>
      </c>
      <c r="C24" s="35" t="s">
        <v>145</v>
      </c>
      <c r="D24" s="40">
        <v>0</v>
      </c>
      <c r="E24" s="97">
        <v>0</v>
      </c>
      <c r="F24" s="97">
        <v>0</v>
      </c>
    </row>
    <row r="25" spans="1:6" ht="15.75" x14ac:dyDescent="0.25">
      <c r="A25" s="95" t="s">
        <v>136</v>
      </c>
      <c r="B25" s="95" t="s">
        <v>133</v>
      </c>
      <c r="C25" s="43" t="s">
        <v>113</v>
      </c>
      <c r="D25" s="45">
        <f>D26+D27+D28+D29+D30+D31</f>
        <v>42059659.639999993</v>
      </c>
      <c r="E25" s="45">
        <f>E26+E27+E28+E29+E30+E31</f>
        <v>33890822.379999995</v>
      </c>
      <c r="F25" s="45">
        <f>F26+F27+F28+F29+F30+F31</f>
        <v>34662463.450000003</v>
      </c>
    </row>
    <row r="26" spans="1:6" ht="15.75" x14ac:dyDescent="0.25">
      <c r="A26" s="96" t="s">
        <v>136</v>
      </c>
      <c r="B26" s="96" t="s">
        <v>122</v>
      </c>
      <c r="C26" s="35" t="s">
        <v>146</v>
      </c>
      <c r="D26" s="40">
        <v>0</v>
      </c>
      <c r="E26" s="40">
        <v>0</v>
      </c>
      <c r="F26" s="40">
        <v>0</v>
      </c>
    </row>
    <row r="27" spans="1:6" ht="15.75" x14ac:dyDescent="0.25">
      <c r="A27" s="96" t="s">
        <v>136</v>
      </c>
      <c r="B27" s="96" t="s">
        <v>124</v>
      </c>
      <c r="C27" s="35" t="s">
        <v>147</v>
      </c>
      <c r="D27" s="40">
        <f>П4ВСР!Z79</f>
        <v>222462.97</v>
      </c>
      <c r="E27" s="40">
        <f>П4ВСР!AA79</f>
        <v>671900</v>
      </c>
      <c r="F27" s="40">
        <f>П4ВСР!AB79</f>
        <v>671900</v>
      </c>
    </row>
    <row r="28" spans="1:6" ht="15.75" x14ac:dyDescent="0.25">
      <c r="A28" s="96" t="s">
        <v>136</v>
      </c>
      <c r="B28" s="96" t="s">
        <v>125</v>
      </c>
      <c r="C28" s="98" t="s">
        <v>253</v>
      </c>
      <c r="D28" s="40">
        <f>П4ВСР!Z104</f>
        <v>50000</v>
      </c>
      <c r="E28" s="40">
        <f>П4ВСР!AA104</f>
        <v>0</v>
      </c>
      <c r="F28" s="40">
        <f>П4ВСР!AB104</f>
        <v>0</v>
      </c>
    </row>
    <row r="29" spans="1:6" ht="15.75" x14ac:dyDescent="0.25">
      <c r="A29" s="96" t="s">
        <v>136</v>
      </c>
      <c r="B29" s="96" t="s">
        <v>126</v>
      </c>
      <c r="C29" s="35" t="s">
        <v>148</v>
      </c>
      <c r="D29" s="40">
        <f>П4ВСР!Z111</f>
        <v>5416469.3599999994</v>
      </c>
      <c r="E29" s="40">
        <f>П4ВСР!AA111</f>
        <v>2350000</v>
      </c>
      <c r="F29" s="40">
        <f>П4ВСР!AB111</f>
        <v>2350000</v>
      </c>
    </row>
    <row r="30" spans="1:6" ht="15.75" x14ac:dyDescent="0.25">
      <c r="A30" s="96" t="s">
        <v>136</v>
      </c>
      <c r="B30" s="96" t="s">
        <v>127</v>
      </c>
      <c r="C30" s="35" t="s">
        <v>520</v>
      </c>
      <c r="D30" s="40">
        <f>П4ВСР!Z134+П4ВСР!Z288</f>
        <v>34716549.769999996</v>
      </c>
      <c r="E30" s="40">
        <f>П4ВСР!AA134</f>
        <v>30668922.379999999</v>
      </c>
      <c r="F30" s="40">
        <f>П4ВСР!AB134</f>
        <v>31440563.449999999</v>
      </c>
    </row>
    <row r="31" spans="1:6" ht="15.75" x14ac:dyDescent="0.25">
      <c r="A31" s="96" t="s">
        <v>136</v>
      </c>
      <c r="B31" s="96" t="s">
        <v>129</v>
      </c>
      <c r="C31" s="35" t="s">
        <v>149</v>
      </c>
      <c r="D31" s="40">
        <f>П4ВСР!Z141+П4ВСР!Z295</f>
        <v>1654177.54</v>
      </c>
      <c r="E31" s="40">
        <f>П4ВСР!AA141</f>
        <v>200000</v>
      </c>
      <c r="F31" s="40">
        <f>П4ВСР!AB141</f>
        <v>200000</v>
      </c>
    </row>
    <row r="32" spans="1:6" ht="15.75" x14ac:dyDescent="0.25">
      <c r="A32" s="95" t="s">
        <v>124</v>
      </c>
      <c r="B32" s="95" t="s">
        <v>133</v>
      </c>
      <c r="C32" s="43" t="s">
        <v>114</v>
      </c>
      <c r="D32" s="99">
        <f>D33+D34+D35+D36</f>
        <v>439650483.57000005</v>
      </c>
      <c r="E32" s="99">
        <f>E33+E34+E35+E36</f>
        <v>92637190</v>
      </c>
      <c r="F32" s="99">
        <f>F33+F34+F35+F36</f>
        <v>89407200</v>
      </c>
    </row>
    <row r="33" spans="1:6" ht="15.75" x14ac:dyDescent="0.25">
      <c r="A33" s="96" t="s">
        <v>124</v>
      </c>
      <c r="B33" s="96" t="s">
        <v>122</v>
      </c>
      <c r="C33" s="35" t="s">
        <v>150</v>
      </c>
      <c r="D33" s="40">
        <f>П4ВСР!Z151+П4ВСР!Z301</f>
        <v>326772793.04000002</v>
      </c>
      <c r="E33" s="40">
        <f>П4ВСР!AA151+П4ВСР!AA301</f>
        <v>3400000</v>
      </c>
      <c r="F33" s="40">
        <f>П4ВСР!AB151+П4ВСР!AB301</f>
        <v>500000</v>
      </c>
    </row>
    <row r="34" spans="1:6" ht="15.75" x14ac:dyDescent="0.25">
      <c r="A34" s="96" t="s">
        <v>124</v>
      </c>
      <c r="B34" s="96" t="s">
        <v>132</v>
      </c>
      <c r="C34" s="35" t="s">
        <v>151</v>
      </c>
      <c r="D34" s="40">
        <f>П4ВСР!Z162+П4ВСР!Z307</f>
        <v>105148597.91999999</v>
      </c>
      <c r="E34" s="40">
        <f>П4ВСР!AA162</f>
        <v>88607200</v>
      </c>
      <c r="F34" s="40">
        <f>П4ВСР!AB162</f>
        <v>88207200</v>
      </c>
    </row>
    <row r="35" spans="1:6" ht="15.75" x14ac:dyDescent="0.25">
      <c r="A35" s="96" t="s">
        <v>124</v>
      </c>
      <c r="B35" s="96" t="s">
        <v>123</v>
      </c>
      <c r="C35" s="98" t="s">
        <v>152</v>
      </c>
      <c r="D35" s="40">
        <f>П4ВСР!Z169+П4ВСР!Z319+П4ВСР!Z342+П4ВСР!Z330</f>
        <v>7729092.6099999994</v>
      </c>
      <c r="E35" s="40">
        <f>П4ВСР!AA169</f>
        <v>629990</v>
      </c>
      <c r="F35" s="40">
        <f>П4ВСР!AB169</f>
        <v>700000</v>
      </c>
    </row>
    <row r="36" spans="1:6" ht="31.5" hidden="1" x14ac:dyDescent="0.25">
      <c r="A36" s="96" t="s">
        <v>124</v>
      </c>
      <c r="B36" s="96" t="s">
        <v>124</v>
      </c>
      <c r="C36" s="35" t="s">
        <v>153</v>
      </c>
      <c r="D36" s="40"/>
      <c r="E36" s="100"/>
      <c r="F36" s="100"/>
    </row>
    <row r="37" spans="1:6" ht="15.75" hidden="1" x14ac:dyDescent="0.25">
      <c r="A37" s="95" t="s">
        <v>125</v>
      </c>
      <c r="B37" s="95" t="s">
        <v>133</v>
      </c>
      <c r="C37" s="43" t="s">
        <v>115</v>
      </c>
      <c r="D37" s="45">
        <f>D38</f>
        <v>0</v>
      </c>
      <c r="E37" s="45">
        <f>E38</f>
        <v>0</v>
      </c>
      <c r="F37" s="45">
        <f>F38</f>
        <v>0</v>
      </c>
    </row>
    <row r="38" spans="1:6" ht="15.75" hidden="1" x14ac:dyDescent="0.25">
      <c r="A38" s="96" t="s">
        <v>125</v>
      </c>
      <c r="B38" s="96" t="s">
        <v>132</v>
      </c>
      <c r="C38" s="98" t="s">
        <v>154</v>
      </c>
      <c r="D38" s="40"/>
      <c r="E38" s="100"/>
      <c r="F38" s="100"/>
    </row>
    <row r="39" spans="1:6" ht="15.75" x14ac:dyDescent="0.25">
      <c r="A39" s="95" t="s">
        <v>138</v>
      </c>
      <c r="B39" s="95" t="s">
        <v>133</v>
      </c>
      <c r="C39" s="43" t="s">
        <v>116</v>
      </c>
      <c r="D39" s="45">
        <f>D40+D41+D43+D44+D42</f>
        <v>398373002.28999996</v>
      </c>
      <c r="E39" s="45">
        <f>E40+E41+E43+E44+E42</f>
        <v>386522265.89999998</v>
      </c>
      <c r="F39" s="45">
        <f>F40+F41+F43+F44+F42</f>
        <v>381283980.17000002</v>
      </c>
    </row>
    <row r="40" spans="1:6" ht="15.75" x14ac:dyDescent="0.25">
      <c r="A40" s="96" t="s">
        <v>138</v>
      </c>
      <c r="B40" s="96" t="s">
        <v>122</v>
      </c>
      <c r="C40" s="35" t="s">
        <v>155</v>
      </c>
      <c r="D40" s="40">
        <f>П4ВСР!Z358</f>
        <v>97408580.539999992</v>
      </c>
      <c r="E40" s="40">
        <f>П4ВСР!AA358</f>
        <v>94466256.439999998</v>
      </c>
      <c r="F40" s="40">
        <f>П4ВСР!AB358</f>
        <v>89808043.680000007</v>
      </c>
    </row>
    <row r="41" spans="1:6" ht="15.75" x14ac:dyDescent="0.25">
      <c r="A41" s="96" t="s">
        <v>138</v>
      </c>
      <c r="B41" s="96" t="s">
        <v>132</v>
      </c>
      <c r="C41" s="35" t="s">
        <v>156</v>
      </c>
      <c r="D41" s="40">
        <f>П4ВСР!Z187+П4ВСР!Z371+П4ВСР!Z464</f>
        <v>265537601.36999997</v>
      </c>
      <c r="E41" s="40">
        <f>П4ВСР!AA187+П4ВСР!AA371+П4ВСР!AA464</f>
        <v>252679280.69999999</v>
      </c>
      <c r="F41" s="40">
        <f>П4ВСР!AB187+П4ВСР!AB371+П4ВСР!AB464</f>
        <v>251997066.65000001</v>
      </c>
    </row>
    <row r="42" spans="1:6" ht="15.75" x14ac:dyDescent="0.25">
      <c r="A42" s="96" t="s">
        <v>138</v>
      </c>
      <c r="B42" s="96" t="s">
        <v>123</v>
      </c>
      <c r="C42" s="326" t="s">
        <v>889</v>
      </c>
      <c r="D42" s="40">
        <f>П4ВСР!Z467</f>
        <v>5801834.5599999996</v>
      </c>
      <c r="E42" s="40">
        <f>П4ВСР!AA467</f>
        <v>7636834.5599999996</v>
      </c>
      <c r="F42" s="40">
        <f>П4ВСР!AB467</f>
        <v>7636834.5599999996</v>
      </c>
    </row>
    <row r="43" spans="1:6" ht="15.75" x14ac:dyDescent="0.25">
      <c r="A43" s="96" t="s">
        <v>138</v>
      </c>
      <c r="B43" s="96" t="s">
        <v>138</v>
      </c>
      <c r="C43" s="35" t="s">
        <v>825</v>
      </c>
      <c r="D43" s="40">
        <f>П4ВСР!Z190+П4ВСР!Z400</f>
        <v>4541731.62</v>
      </c>
      <c r="E43" s="40">
        <f>П4ВСР!AA190+П4ВСР!AA400</f>
        <v>3893200</v>
      </c>
      <c r="F43" s="40">
        <f>П4ВСР!AB190+П4ВСР!AB400</f>
        <v>4280175</v>
      </c>
    </row>
    <row r="44" spans="1:6" ht="15.75" x14ac:dyDescent="0.25">
      <c r="A44" s="96" t="s">
        <v>138</v>
      </c>
      <c r="B44" s="96" t="s">
        <v>127</v>
      </c>
      <c r="C44" s="35" t="s">
        <v>158</v>
      </c>
      <c r="D44" s="40">
        <f>П4ВСР!Z203+П4ВСР!Z411</f>
        <v>25083254.200000003</v>
      </c>
      <c r="E44" s="40">
        <f>П4ВСР!AA203+П4ВСР!AA411</f>
        <v>27846694.199999996</v>
      </c>
      <c r="F44" s="40">
        <f>П4ВСР!AB203+П4ВСР!AB411</f>
        <v>27561860.280000001</v>
      </c>
    </row>
    <row r="45" spans="1:6" ht="15.75" x14ac:dyDescent="0.25">
      <c r="A45" s="95" t="s">
        <v>126</v>
      </c>
      <c r="B45" s="95" t="s">
        <v>133</v>
      </c>
      <c r="C45" s="43" t="s">
        <v>254</v>
      </c>
      <c r="D45" s="45">
        <f>D46</f>
        <v>21970148.870000001</v>
      </c>
      <c r="E45" s="45">
        <f>E46</f>
        <v>14969758.34</v>
      </c>
      <c r="F45" s="45">
        <f>F46</f>
        <v>15019758.34</v>
      </c>
    </row>
    <row r="46" spans="1:6" ht="15.75" x14ac:dyDescent="0.25">
      <c r="A46" s="96" t="s">
        <v>126</v>
      </c>
      <c r="B46" s="96" t="s">
        <v>122</v>
      </c>
      <c r="C46" s="35" t="s">
        <v>159</v>
      </c>
      <c r="D46" s="40">
        <f>П4ВСР!Z207+П4ВСР!Z470+П4ВСР!Z346</f>
        <v>21970148.870000001</v>
      </c>
      <c r="E46" s="40">
        <f>П4ВСР!AA207+П4ВСР!AA470</f>
        <v>14969758.34</v>
      </c>
      <c r="F46" s="40">
        <f>П4ВСР!AB207+П4ВСР!AB470</f>
        <v>15019758.34</v>
      </c>
    </row>
    <row r="47" spans="1:6" ht="15.75" x14ac:dyDescent="0.25">
      <c r="A47" s="95" t="s">
        <v>127</v>
      </c>
      <c r="B47" s="95" t="s">
        <v>133</v>
      </c>
      <c r="C47" s="43" t="s">
        <v>117</v>
      </c>
      <c r="D47" s="45">
        <f>D49+D48</f>
        <v>573397.04999999993</v>
      </c>
      <c r="E47" s="45">
        <f>E49+E48</f>
        <v>573400</v>
      </c>
      <c r="F47" s="45">
        <f>F49+F48</f>
        <v>573400</v>
      </c>
    </row>
    <row r="48" spans="1:6" s="18" customFormat="1" ht="15.75" x14ac:dyDescent="0.25">
      <c r="A48" s="96" t="s">
        <v>127</v>
      </c>
      <c r="B48" s="96" t="s">
        <v>138</v>
      </c>
      <c r="C48" s="35" t="s">
        <v>160</v>
      </c>
      <c r="D48" s="40">
        <v>0</v>
      </c>
      <c r="E48" s="40">
        <v>0</v>
      </c>
      <c r="F48" s="40">
        <v>0</v>
      </c>
    </row>
    <row r="49" spans="1:6" ht="15.75" x14ac:dyDescent="0.25">
      <c r="A49" s="101" t="s">
        <v>127</v>
      </c>
      <c r="B49" s="101" t="s">
        <v>127</v>
      </c>
      <c r="C49" s="20" t="s">
        <v>161</v>
      </c>
      <c r="D49" s="40">
        <f>П4ВСР!Z222</f>
        <v>573397.04999999993</v>
      </c>
      <c r="E49" s="40">
        <f>П4ВСР!AA222</f>
        <v>573400</v>
      </c>
      <c r="F49" s="40">
        <f>П4ВСР!AB222</f>
        <v>573400</v>
      </c>
    </row>
    <row r="50" spans="1:6" ht="15.75" x14ac:dyDescent="0.25">
      <c r="A50" s="102" t="s">
        <v>143</v>
      </c>
      <c r="B50" s="102" t="s">
        <v>133</v>
      </c>
      <c r="C50" s="103" t="s">
        <v>118</v>
      </c>
      <c r="D50" s="45">
        <f>D51+D52+D53+D54</f>
        <v>39450107.399999999</v>
      </c>
      <c r="E50" s="45">
        <f>E51+E52+E53+E54</f>
        <v>32444217.98</v>
      </c>
      <c r="F50" s="45">
        <f>F51+F52+F53+F54</f>
        <v>32444537.98</v>
      </c>
    </row>
    <row r="51" spans="1:6" ht="15.75" x14ac:dyDescent="0.25">
      <c r="A51" s="101" t="s">
        <v>143</v>
      </c>
      <c r="B51" s="101" t="s">
        <v>122</v>
      </c>
      <c r="C51" s="20" t="s">
        <v>162</v>
      </c>
      <c r="D51" s="40">
        <f>П4ВСР!Z227+П4ВСР!Z423</f>
        <v>2175130.73</v>
      </c>
      <c r="E51" s="40">
        <f>П4ВСР!AA227+П4ВСР!AA423</f>
        <v>1892217.98</v>
      </c>
      <c r="F51" s="40">
        <f>П4ВСР!AB227+П4ВСР!AB423</f>
        <v>1892537.98</v>
      </c>
    </row>
    <row r="52" spans="1:6" ht="15.75" x14ac:dyDescent="0.25">
      <c r="A52" s="101" t="s">
        <v>143</v>
      </c>
      <c r="B52" s="101" t="s">
        <v>123</v>
      </c>
      <c r="C52" s="20" t="s">
        <v>163</v>
      </c>
      <c r="D52" s="40">
        <f>П4ВСР!Z232</f>
        <v>3197957.7</v>
      </c>
      <c r="E52" s="40">
        <f>П4ВСР!AA232</f>
        <v>880000</v>
      </c>
      <c r="F52" s="40">
        <f>П4ВСР!AB232</f>
        <v>880000</v>
      </c>
    </row>
    <row r="53" spans="1:6" ht="15.75" x14ac:dyDescent="0.25">
      <c r="A53" s="101" t="s">
        <v>143</v>
      </c>
      <c r="B53" s="101" t="s">
        <v>136</v>
      </c>
      <c r="C53" s="20" t="s">
        <v>164</v>
      </c>
      <c r="D53" s="40">
        <f>П4ВСР!Z248+П4ВСР!Z427</f>
        <v>32326827.82</v>
      </c>
      <c r="E53" s="40">
        <f>П4ВСР!AA248+П4ВСР!AA427</f>
        <v>27921800</v>
      </c>
      <c r="F53" s="40">
        <f>П4ВСР!AB248+П4ВСР!AB427</f>
        <v>27921800</v>
      </c>
    </row>
    <row r="54" spans="1:6" ht="15.75" x14ac:dyDescent="0.25">
      <c r="A54" s="101" t="s">
        <v>143</v>
      </c>
      <c r="B54" s="101" t="s">
        <v>125</v>
      </c>
      <c r="C54" s="203" t="s">
        <v>900</v>
      </c>
      <c r="D54" s="40">
        <f>П4ВСР!Z443</f>
        <v>1750191.15</v>
      </c>
      <c r="E54" s="40">
        <f>П4ВСР!AA443</f>
        <v>1750200</v>
      </c>
      <c r="F54" s="40">
        <f>П4ВСР!AB443</f>
        <v>1750200</v>
      </c>
    </row>
    <row r="55" spans="1:6" ht="15.75" x14ac:dyDescent="0.25">
      <c r="A55" s="102" t="s">
        <v>128</v>
      </c>
      <c r="B55" s="102" t="s">
        <v>133</v>
      </c>
      <c r="C55" s="103" t="s">
        <v>165</v>
      </c>
      <c r="D55" s="45">
        <f>D56+D59</f>
        <v>1656998.0000000002</v>
      </c>
      <c r="E55" s="45">
        <f>E56+E59</f>
        <v>2828700</v>
      </c>
      <c r="F55" s="45">
        <f>F56+F59</f>
        <v>750000</v>
      </c>
    </row>
    <row r="56" spans="1:6" ht="15.75" x14ac:dyDescent="0.25">
      <c r="A56" s="101" t="s">
        <v>128</v>
      </c>
      <c r="B56" s="101" t="s">
        <v>122</v>
      </c>
      <c r="C56" s="20" t="s">
        <v>255</v>
      </c>
      <c r="D56" s="40">
        <f>П4ВСР!Z254</f>
        <v>650000</v>
      </c>
      <c r="E56" s="40">
        <f>П4ВСР!AA254</f>
        <v>1428700</v>
      </c>
      <c r="F56" s="40">
        <f>П4ВСР!AB254</f>
        <v>550000</v>
      </c>
    </row>
    <row r="57" spans="1:6" ht="31.5" hidden="1" x14ac:dyDescent="0.25">
      <c r="A57" s="101" t="s">
        <v>128</v>
      </c>
      <c r="B57" s="101" t="s">
        <v>136</v>
      </c>
      <c r="C57" s="20" t="s">
        <v>167</v>
      </c>
      <c r="D57" s="40">
        <v>0</v>
      </c>
      <c r="E57" s="97">
        <v>0</v>
      </c>
      <c r="F57" s="97">
        <v>0</v>
      </c>
    </row>
    <row r="58" spans="1:6" ht="15.75" hidden="1" x14ac:dyDescent="0.25">
      <c r="A58" s="101" t="s">
        <v>128</v>
      </c>
      <c r="B58" s="101" t="s">
        <v>124</v>
      </c>
      <c r="C58" s="83" t="s">
        <v>168</v>
      </c>
      <c r="D58" s="40">
        <v>0</v>
      </c>
      <c r="E58" s="97">
        <v>0</v>
      </c>
      <c r="F58" s="97">
        <v>0</v>
      </c>
    </row>
    <row r="59" spans="1:6" ht="15.75" x14ac:dyDescent="0.25">
      <c r="A59" s="101" t="s">
        <v>128</v>
      </c>
      <c r="B59" s="101" t="s">
        <v>132</v>
      </c>
      <c r="C59" s="83" t="s">
        <v>166</v>
      </c>
      <c r="D59" s="40">
        <f>П4ВСР!Z259</f>
        <v>1006998.0000000002</v>
      </c>
      <c r="E59" s="40">
        <f>П4ВСР!AA259</f>
        <v>1400000</v>
      </c>
      <c r="F59" s="40">
        <f>П4ВСР!AB259</f>
        <v>200000</v>
      </c>
    </row>
    <row r="60" spans="1:6" ht="31.5" x14ac:dyDescent="0.25">
      <c r="A60" s="102" t="s">
        <v>130</v>
      </c>
      <c r="B60" s="102" t="s">
        <v>133</v>
      </c>
      <c r="C60" s="104" t="s">
        <v>120</v>
      </c>
      <c r="D60" s="45">
        <f>D61</f>
        <v>0</v>
      </c>
      <c r="E60" s="45">
        <f>E61</f>
        <v>0</v>
      </c>
      <c r="F60" s="45">
        <f>F61</f>
        <v>0</v>
      </c>
    </row>
    <row r="61" spans="1:6" ht="31.5" x14ac:dyDescent="0.25">
      <c r="A61" s="101" t="s">
        <v>130</v>
      </c>
      <c r="B61" s="101" t="s">
        <v>122</v>
      </c>
      <c r="C61" s="83" t="s">
        <v>256</v>
      </c>
      <c r="D61" s="40">
        <v>0</v>
      </c>
      <c r="E61" s="40">
        <f>П4ВСР!AA279</f>
        <v>0</v>
      </c>
      <c r="F61" s="40">
        <f>П4ВСР!AB279</f>
        <v>0</v>
      </c>
    </row>
    <row r="62" spans="1:6" ht="47.25" x14ac:dyDescent="0.25">
      <c r="A62" s="102" t="s">
        <v>131</v>
      </c>
      <c r="B62" s="102" t="s">
        <v>133</v>
      </c>
      <c r="C62" s="104" t="s">
        <v>257</v>
      </c>
      <c r="D62" s="45">
        <f>D63</f>
        <v>18000000</v>
      </c>
      <c r="E62" s="45">
        <f>E63</f>
        <v>18000000</v>
      </c>
      <c r="F62" s="45">
        <f>F63</f>
        <v>18000000</v>
      </c>
    </row>
    <row r="63" spans="1:6" ht="47.25" x14ac:dyDescent="0.25">
      <c r="A63" s="101" t="s">
        <v>131</v>
      </c>
      <c r="B63" s="101" t="s">
        <v>122</v>
      </c>
      <c r="C63" s="83" t="s">
        <v>169</v>
      </c>
      <c r="D63" s="40">
        <f>П4ВСР!Z353</f>
        <v>18000000</v>
      </c>
      <c r="E63" s="40">
        <f>П4ВСР!AA353</f>
        <v>18000000</v>
      </c>
      <c r="F63" s="40">
        <f>П4ВСР!AB353</f>
        <v>18000000</v>
      </c>
    </row>
    <row r="64" spans="1:6" s="105" customFormat="1" ht="15.75" x14ac:dyDescent="0.25">
      <c r="A64" s="102" t="s">
        <v>133</v>
      </c>
      <c r="B64" s="102" t="s">
        <v>133</v>
      </c>
      <c r="C64" s="104" t="s">
        <v>110</v>
      </c>
      <c r="D64" s="45">
        <f>[1]П_6!I198</f>
        <v>0</v>
      </c>
      <c r="E64" s="45">
        <f>П4ВСР!AA267</f>
        <v>0</v>
      </c>
      <c r="F64" s="45">
        <f>П4ВСР!AB267</f>
        <v>0</v>
      </c>
    </row>
    <row r="65" spans="1:6" ht="18.75" customHeight="1" x14ac:dyDescent="0.25">
      <c r="A65" s="102" t="s">
        <v>170</v>
      </c>
      <c r="B65" s="102" t="s">
        <v>133</v>
      </c>
      <c r="C65" s="103" t="s">
        <v>171</v>
      </c>
      <c r="D65" s="45">
        <f>D11+D20+D25+D32+D39+D45+D47+D50+D55+D37+D60+D62</f>
        <v>1049428555.2409999</v>
      </c>
      <c r="E65" s="45">
        <f>E11+E20+E25+E32+E39+E45+E47+E50+E55+E37+E60+E62+E64</f>
        <v>654045822.25999999</v>
      </c>
      <c r="F65" s="45">
        <f>F11+F20+F25+F32+F39+F45+F47+F50+F55+F37+F60+F62+F64</f>
        <v>644506405.3900001</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19685039370078741"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A5" sqref="A5"/>
    </sheetView>
  </sheetViews>
  <sheetFormatPr defaultRowHeight="15" x14ac:dyDescent="0.25"/>
  <cols>
    <col min="1" max="1" width="67.7109375" style="491" customWidth="1"/>
    <col min="2" max="4" width="20.7109375" style="491" customWidth="1"/>
    <col min="5" max="256" width="9.140625" style="491"/>
    <col min="257" max="257" width="67.7109375" style="491" customWidth="1"/>
    <col min="258" max="260" width="20.7109375" style="491" customWidth="1"/>
    <col min="261" max="512" width="9.140625" style="491"/>
    <col min="513" max="513" width="67.7109375" style="491" customWidth="1"/>
    <col min="514" max="516" width="20.7109375" style="491" customWidth="1"/>
    <col min="517" max="768" width="9.140625" style="491"/>
    <col min="769" max="769" width="67.7109375" style="491" customWidth="1"/>
    <col min="770" max="772" width="20.7109375" style="491" customWidth="1"/>
    <col min="773" max="1024" width="9.140625" style="491"/>
    <col min="1025" max="1025" width="67.7109375" style="491" customWidth="1"/>
    <col min="1026" max="1028" width="20.7109375" style="491" customWidth="1"/>
    <col min="1029" max="1280" width="9.140625" style="491"/>
    <col min="1281" max="1281" width="67.7109375" style="491" customWidth="1"/>
    <col min="1282" max="1284" width="20.7109375" style="491" customWidth="1"/>
    <col min="1285" max="1536" width="9.140625" style="491"/>
    <col min="1537" max="1537" width="67.7109375" style="491" customWidth="1"/>
    <col min="1538" max="1540" width="20.7109375" style="491" customWidth="1"/>
    <col min="1541" max="1792" width="9.140625" style="491"/>
    <col min="1793" max="1793" width="67.7109375" style="491" customWidth="1"/>
    <col min="1794" max="1796" width="20.7109375" style="491" customWidth="1"/>
    <col min="1797" max="2048" width="9.140625" style="491"/>
    <col min="2049" max="2049" width="67.7109375" style="491" customWidth="1"/>
    <col min="2050" max="2052" width="20.7109375" style="491" customWidth="1"/>
    <col min="2053" max="2304" width="9.140625" style="491"/>
    <col min="2305" max="2305" width="67.7109375" style="491" customWidth="1"/>
    <col min="2306" max="2308" width="20.7109375" style="491" customWidth="1"/>
    <col min="2309" max="2560" width="9.140625" style="491"/>
    <col min="2561" max="2561" width="67.7109375" style="491" customWidth="1"/>
    <col min="2562" max="2564" width="20.7109375" style="491" customWidth="1"/>
    <col min="2565" max="2816" width="9.140625" style="491"/>
    <col min="2817" max="2817" width="67.7109375" style="491" customWidth="1"/>
    <col min="2818" max="2820" width="20.7109375" style="491" customWidth="1"/>
    <col min="2821" max="3072" width="9.140625" style="491"/>
    <col min="3073" max="3073" width="67.7109375" style="491" customWidth="1"/>
    <col min="3074" max="3076" width="20.7109375" style="491" customWidth="1"/>
    <col min="3077" max="3328" width="9.140625" style="491"/>
    <col min="3329" max="3329" width="67.7109375" style="491" customWidth="1"/>
    <col min="3330" max="3332" width="20.7109375" style="491" customWidth="1"/>
    <col min="3333" max="3584" width="9.140625" style="491"/>
    <col min="3585" max="3585" width="67.7109375" style="491" customWidth="1"/>
    <col min="3586" max="3588" width="20.7109375" style="491" customWidth="1"/>
    <col min="3589" max="3840" width="9.140625" style="491"/>
    <col min="3841" max="3841" width="67.7109375" style="491" customWidth="1"/>
    <col min="3842" max="3844" width="20.7109375" style="491" customWidth="1"/>
    <col min="3845" max="4096" width="9.140625" style="491"/>
    <col min="4097" max="4097" width="67.7109375" style="491" customWidth="1"/>
    <col min="4098" max="4100" width="20.7109375" style="491" customWidth="1"/>
    <col min="4101" max="4352" width="9.140625" style="491"/>
    <col min="4353" max="4353" width="67.7109375" style="491" customWidth="1"/>
    <col min="4354" max="4356" width="20.7109375" style="491" customWidth="1"/>
    <col min="4357" max="4608" width="9.140625" style="491"/>
    <col min="4609" max="4609" width="67.7109375" style="491" customWidth="1"/>
    <col min="4610" max="4612" width="20.7109375" style="491" customWidth="1"/>
    <col min="4613" max="4864" width="9.140625" style="491"/>
    <col min="4865" max="4865" width="67.7109375" style="491" customWidth="1"/>
    <col min="4866" max="4868" width="20.7109375" style="491" customWidth="1"/>
    <col min="4869" max="5120" width="9.140625" style="491"/>
    <col min="5121" max="5121" width="67.7109375" style="491" customWidth="1"/>
    <col min="5122" max="5124" width="20.7109375" style="491" customWidth="1"/>
    <col min="5125" max="5376" width="9.140625" style="491"/>
    <col min="5377" max="5377" width="67.7109375" style="491" customWidth="1"/>
    <col min="5378" max="5380" width="20.7109375" style="491" customWidth="1"/>
    <col min="5381" max="5632" width="9.140625" style="491"/>
    <col min="5633" max="5633" width="67.7109375" style="491" customWidth="1"/>
    <col min="5634" max="5636" width="20.7109375" style="491" customWidth="1"/>
    <col min="5637" max="5888" width="9.140625" style="491"/>
    <col min="5889" max="5889" width="67.7109375" style="491" customWidth="1"/>
    <col min="5890" max="5892" width="20.7109375" style="491" customWidth="1"/>
    <col min="5893" max="6144" width="9.140625" style="491"/>
    <col min="6145" max="6145" width="67.7109375" style="491" customWidth="1"/>
    <col min="6146" max="6148" width="20.7109375" style="491" customWidth="1"/>
    <col min="6149" max="6400" width="9.140625" style="491"/>
    <col min="6401" max="6401" width="67.7109375" style="491" customWidth="1"/>
    <col min="6402" max="6404" width="20.7109375" style="491" customWidth="1"/>
    <col min="6405" max="6656" width="9.140625" style="491"/>
    <col min="6657" max="6657" width="67.7109375" style="491" customWidth="1"/>
    <col min="6658" max="6660" width="20.7109375" style="491" customWidth="1"/>
    <col min="6661" max="6912" width="9.140625" style="491"/>
    <col min="6913" max="6913" width="67.7109375" style="491" customWidth="1"/>
    <col min="6914" max="6916" width="20.7109375" style="491" customWidth="1"/>
    <col min="6917" max="7168" width="9.140625" style="491"/>
    <col min="7169" max="7169" width="67.7109375" style="491" customWidth="1"/>
    <col min="7170" max="7172" width="20.7109375" style="491" customWidth="1"/>
    <col min="7173" max="7424" width="9.140625" style="491"/>
    <col min="7425" max="7425" width="67.7109375" style="491" customWidth="1"/>
    <col min="7426" max="7428" width="20.7109375" style="491" customWidth="1"/>
    <col min="7429" max="7680" width="9.140625" style="491"/>
    <col min="7681" max="7681" width="67.7109375" style="491" customWidth="1"/>
    <col min="7682" max="7684" width="20.7109375" style="491" customWidth="1"/>
    <col min="7685" max="7936" width="9.140625" style="491"/>
    <col min="7937" max="7937" width="67.7109375" style="491" customWidth="1"/>
    <col min="7938" max="7940" width="20.7109375" style="491" customWidth="1"/>
    <col min="7941" max="8192" width="9.140625" style="491"/>
    <col min="8193" max="8193" width="67.7109375" style="491" customWidth="1"/>
    <col min="8194" max="8196" width="20.7109375" style="491" customWidth="1"/>
    <col min="8197" max="8448" width="9.140625" style="491"/>
    <col min="8449" max="8449" width="67.7109375" style="491" customWidth="1"/>
    <col min="8450" max="8452" width="20.7109375" style="491" customWidth="1"/>
    <col min="8453" max="8704" width="9.140625" style="491"/>
    <col min="8705" max="8705" width="67.7109375" style="491" customWidth="1"/>
    <col min="8706" max="8708" width="20.7109375" style="491" customWidth="1"/>
    <col min="8709" max="8960" width="9.140625" style="491"/>
    <col min="8961" max="8961" width="67.7109375" style="491" customWidth="1"/>
    <col min="8962" max="8964" width="20.7109375" style="491" customWidth="1"/>
    <col min="8965" max="9216" width="9.140625" style="491"/>
    <col min="9217" max="9217" width="67.7109375" style="491" customWidth="1"/>
    <col min="9218" max="9220" width="20.7109375" style="491" customWidth="1"/>
    <col min="9221" max="9472" width="9.140625" style="491"/>
    <col min="9473" max="9473" width="67.7109375" style="491" customWidth="1"/>
    <col min="9474" max="9476" width="20.7109375" style="491" customWidth="1"/>
    <col min="9477" max="9728" width="9.140625" style="491"/>
    <col min="9729" max="9729" width="67.7109375" style="491" customWidth="1"/>
    <col min="9730" max="9732" width="20.7109375" style="491" customWidth="1"/>
    <col min="9733" max="9984" width="9.140625" style="491"/>
    <col min="9985" max="9985" width="67.7109375" style="491" customWidth="1"/>
    <col min="9986" max="9988" width="20.7109375" style="491" customWidth="1"/>
    <col min="9989" max="10240" width="9.140625" style="491"/>
    <col min="10241" max="10241" width="67.7109375" style="491" customWidth="1"/>
    <col min="10242" max="10244" width="20.7109375" style="491" customWidth="1"/>
    <col min="10245" max="10496" width="9.140625" style="491"/>
    <col min="10497" max="10497" width="67.7109375" style="491" customWidth="1"/>
    <col min="10498" max="10500" width="20.7109375" style="491" customWidth="1"/>
    <col min="10501" max="10752" width="9.140625" style="491"/>
    <col min="10753" max="10753" width="67.7109375" style="491" customWidth="1"/>
    <col min="10754" max="10756" width="20.7109375" style="491" customWidth="1"/>
    <col min="10757" max="11008" width="9.140625" style="491"/>
    <col min="11009" max="11009" width="67.7109375" style="491" customWidth="1"/>
    <col min="11010" max="11012" width="20.7109375" style="491" customWidth="1"/>
    <col min="11013" max="11264" width="9.140625" style="491"/>
    <col min="11265" max="11265" width="67.7109375" style="491" customWidth="1"/>
    <col min="11266" max="11268" width="20.7109375" style="491" customWidth="1"/>
    <col min="11269" max="11520" width="9.140625" style="491"/>
    <col min="11521" max="11521" width="67.7109375" style="491" customWidth="1"/>
    <col min="11522" max="11524" width="20.7109375" style="491" customWidth="1"/>
    <col min="11525" max="11776" width="9.140625" style="491"/>
    <col min="11777" max="11777" width="67.7109375" style="491" customWidth="1"/>
    <col min="11778" max="11780" width="20.7109375" style="491" customWidth="1"/>
    <col min="11781" max="12032" width="9.140625" style="491"/>
    <col min="12033" max="12033" width="67.7109375" style="491" customWidth="1"/>
    <col min="12034" max="12036" width="20.7109375" style="491" customWidth="1"/>
    <col min="12037" max="12288" width="9.140625" style="491"/>
    <col min="12289" max="12289" width="67.7109375" style="491" customWidth="1"/>
    <col min="12290" max="12292" width="20.7109375" style="491" customWidth="1"/>
    <col min="12293" max="12544" width="9.140625" style="491"/>
    <col min="12545" max="12545" width="67.7109375" style="491" customWidth="1"/>
    <col min="12546" max="12548" width="20.7109375" style="491" customWidth="1"/>
    <col min="12549" max="12800" width="9.140625" style="491"/>
    <col min="12801" max="12801" width="67.7109375" style="491" customWidth="1"/>
    <col min="12802" max="12804" width="20.7109375" style="491" customWidth="1"/>
    <col min="12805" max="13056" width="9.140625" style="491"/>
    <col min="13057" max="13057" width="67.7109375" style="491" customWidth="1"/>
    <col min="13058" max="13060" width="20.7109375" style="491" customWidth="1"/>
    <col min="13061" max="13312" width="9.140625" style="491"/>
    <col min="13313" max="13313" width="67.7109375" style="491" customWidth="1"/>
    <col min="13314" max="13316" width="20.7109375" style="491" customWidth="1"/>
    <col min="13317" max="13568" width="9.140625" style="491"/>
    <col min="13569" max="13569" width="67.7109375" style="491" customWidth="1"/>
    <col min="13570" max="13572" width="20.7109375" style="491" customWidth="1"/>
    <col min="13573" max="13824" width="9.140625" style="491"/>
    <col min="13825" max="13825" width="67.7109375" style="491" customWidth="1"/>
    <col min="13826" max="13828" width="20.7109375" style="491" customWidth="1"/>
    <col min="13829" max="14080" width="9.140625" style="491"/>
    <col min="14081" max="14081" width="67.7109375" style="491" customWidth="1"/>
    <col min="14082" max="14084" width="20.7109375" style="491" customWidth="1"/>
    <col min="14085" max="14336" width="9.140625" style="491"/>
    <col min="14337" max="14337" width="67.7109375" style="491" customWidth="1"/>
    <col min="14338" max="14340" width="20.7109375" style="491" customWidth="1"/>
    <col min="14341" max="14592" width="9.140625" style="491"/>
    <col min="14593" max="14593" width="67.7109375" style="491" customWidth="1"/>
    <col min="14594" max="14596" width="20.7109375" style="491" customWidth="1"/>
    <col min="14597" max="14848" width="9.140625" style="491"/>
    <col min="14849" max="14849" width="67.7109375" style="491" customWidth="1"/>
    <col min="14850" max="14852" width="20.7109375" style="491" customWidth="1"/>
    <col min="14853" max="15104" width="9.140625" style="491"/>
    <col min="15105" max="15105" width="67.7109375" style="491" customWidth="1"/>
    <col min="15106" max="15108" width="20.7109375" style="491" customWidth="1"/>
    <col min="15109" max="15360" width="9.140625" style="491"/>
    <col min="15361" max="15361" width="67.7109375" style="491" customWidth="1"/>
    <col min="15362" max="15364" width="20.7109375" style="491" customWidth="1"/>
    <col min="15365" max="15616" width="9.140625" style="491"/>
    <col min="15617" max="15617" width="67.7109375" style="491" customWidth="1"/>
    <col min="15618" max="15620" width="20.7109375" style="491" customWidth="1"/>
    <col min="15621" max="15872" width="9.140625" style="491"/>
    <col min="15873" max="15873" width="67.7109375" style="491" customWidth="1"/>
    <col min="15874" max="15876" width="20.7109375" style="491" customWidth="1"/>
    <col min="15877" max="16128" width="9.140625" style="491"/>
    <col min="16129" max="16129" width="67.7109375" style="491" customWidth="1"/>
    <col min="16130" max="16132" width="20.7109375" style="491" customWidth="1"/>
    <col min="16133" max="16384" width="9.140625" style="491"/>
  </cols>
  <sheetData>
    <row r="1" spans="1:4" ht="15.75" x14ac:dyDescent="0.25">
      <c r="A1" s="583" t="s">
        <v>1083</v>
      </c>
      <c r="B1" s="583"/>
      <c r="C1" s="583"/>
      <c r="D1" s="583"/>
    </row>
    <row r="2" spans="1:4" ht="15.75" x14ac:dyDescent="0.25">
      <c r="A2" s="583" t="s">
        <v>259</v>
      </c>
      <c r="B2" s="583"/>
      <c r="C2" s="583"/>
      <c r="D2" s="583"/>
    </row>
    <row r="3" spans="1:4" ht="15.75" x14ac:dyDescent="0.25">
      <c r="A3" s="583" t="s">
        <v>0</v>
      </c>
      <c r="B3" s="583"/>
      <c r="C3" s="583"/>
      <c r="D3" s="583"/>
    </row>
    <row r="4" spans="1:4" ht="15.75" x14ac:dyDescent="0.25">
      <c r="A4" s="583" t="s">
        <v>1252</v>
      </c>
      <c r="B4" s="583"/>
      <c r="C4" s="583"/>
      <c r="D4" s="583"/>
    </row>
    <row r="5" spans="1:4" ht="15.75" x14ac:dyDescent="0.25">
      <c r="A5" s="1"/>
      <c r="B5" s="1"/>
      <c r="C5" s="1"/>
      <c r="D5" s="1"/>
    </row>
    <row r="6" spans="1:4" ht="18" x14ac:dyDescent="0.25">
      <c r="A6" s="625" t="s">
        <v>260</v>
      </c>
      <c r="B6" s="625"/>
      <c r="C6" s="625"/>
      <c r="D6" s="625"/>
    </row>
    <row r="7" spans="1:4" ht="18" x14ac:dyDescent="0.25">
      <c r="A7" s="625" t="s">
        <v>917</v>
      </c>
      <c r="B7" s="625"/>
      <c r="C7" s="625"/>
      <c r="D7" s="625"/>
    </row>
    <row r="8" spans="1:4" ht="15.75" x14ac:dyDescent="0.25">
      <c r="A8" s="1"/>
      <c r="B8" s="1"/>
      <c r="C8" s="1"/>
      <c r="D8" s="1"/>
    </row>
    <row r="9" spans="1:4" ht="15.75" x14ac:dyDescent="0.25">
      <c r="A9" s="546" t="s">
        <v>1</v>
      </c>
      <c r="B9" s="622" t="s">
        <v>175</v>
      </c>
      <c r="C9" s="623"/>
      <c r="D9" s="624"/>
    </row>
    <row r="10" spans="1:4" ht="15.75" x14ac:dyDescent="0.25">
      <c r="A10" s="547"/>
      <c r="B10" s="489">
        <v>2017</v>
      </c>
      <c r="C10" s="489">
        <v>2018</v>
      </c>
      <c r="D10" s="490">
        <v>2019</v>
      </c>
    </row>
    <row r="11" spans="1:4" ht="15.75" x14ac:dyDescent="0.25">
      <c r="A11" s="20" t="s">
        <v>261</v>
      </c>
      <c r="B11" s="40">
        <f>B13+B16+B19</f>
        <v>6540959.9600000009</v>
      </c>
      <c r="C11" s="40">
        <f>C13+C16+C19</f>
        <v>3965769.9699999997</v>
      </c>
      <c r="D11" s="40">
        <f>D13+D16+D19</f>
        <v>0</v>
      </c>
    </row>
    <row r="12" spans="1:4" ht="15.75" x14ac:dyDescent="0.25">
      <c r="A12" s="20" t="s">
        <v>109</v>
      </c>
      <c r="B12" s="20"/>
      <c r="C12" s="20"/>
      <c r="D12" s="21"/>
    </row>
    <row r="13" spans="1:4" ht="15.75" x14ac:dyDescent="0.25">
      <c r="A13" s="1" t="s">
        <v>176</v>
      </c>
      <c r="B13" s="21">
        <f>B14</f>
        <v>0</v>
      </c>
      <c r="C13" s="21">
        <f>C14</f>
        <v>0</v>
      </c>
      <c r="D13" s="21">
        <f>D14</f>
        <v>0</v>
      </c>
    </row>
    <row r="14" spans="1:4" ht="31.5" x14ac:dyDescent="0.25">
      <c r="A14" s="22" t="s">
        <v>177</v>
      </c>
      <c r="B14" s="23">
        <f>П1ИВФ!C12</f>
        <v>0</v>
      </c>
      <c r="C14" s="23">
        <f>П1ИВФ!D12</f>
        <v>0</v>
      </c>
      <c r="D14" s="23">
        <f>П1ИВФ!E12</f>
        <v>0</v>
      </c>
    </row>
    <row r="15" spans="1:4" ht="31.5" x14ac:dyDescent="0.25">
      <c r="A15" s="22" t="s">
        <v>178</v>
      </c>
      <c r="B15" s="23">
        <f>[1]П_3!C13</f>
        <v>0</v>
      </c>
      <c r="C15" s="23">
        <f>[1]П_3!D13</f>
        <v>0</v>
      </c>
      <c r="D15" s="23">
        <f>[1]П_3!E13</f>
        <v>0</v>
      </c>
    </row>
    <row r="16" spans="1:4" ht="31.5" x14ac:dyDescent="0.25">
      <c r="A16" s="20" t="s">
        <v>179</v>
      </c>
      <c r="B16" s="21">
        <f>B17+B18</f>
        <v>0</v>
      </c>
      <c r="C16" s="21">
        <f>C17+C18</f>
        <v>0</v>
      </c>
      <c r="D16" s="21">
        <f>D17+D18</f>
        <v>0</v>
      </c>
    </row>
    <row r="17" spans="1:4" ht="31.5" x14ac:dyDescent="0.25">
      <c r="A17" s="22" t="s">
        <v>180</v>
      </c>
      <c r="B17" s="23">
        <f>[1]П_3!C15</f>
        <v>0</v>
      </c>
      <c r="C17" s="23">
        <f>[1]П_3!D15</f>
        <v>0</v>
      </c>
      <c r="D17" s="23">
        <f>[1]П_3!E15</f>
        <v>0</v>
      </c>
    </row>
    <row r="18" spans="1:4" ht="31.5" x14ac:dyDescent="0.25">
      <c r="A18" s="22" t="s">
        <v>181</v>
      </c>
      <c r="B18" s="23">
        <f>П1ИВФ!C16</f>
        <v>0</v>
      </c>
      <c r="C18" s="23">
        <f>П1ИВФ!D16</f>
        <v>0</v>
      </c>
      <c r="D18" s="23">
        <f>П1ИВФ!E16</f>
        <v>0</v>
      </c>
    </row>
    <row r="19" spans="1:4" ht="31.5" x14ac:dyDescent="0.25">
      <c r="A19" s="22" t="s">
        <v>182</v>
      </c>
      <c r="B19" s="21">
        <f>B20+B21</f>
        <v>6540959.9600000009</v>
      </c>
      <c r="C19" s="21">
        <f>C20+C21</f>
        <v>3965769.9699999997</v>
      </c>
      <c r="D19" s="21">
        <f>D20+D21</f>
        <v>0</v>
      </c>
    </row>
    <row r="20" spans="1:4" ht="15.75" x14ac:dyDescent="0.25">
      <c r="A20" s="22" t="s">
        <v>183</v>
      </c>
      <c r="B20" s="23">
        <f>[1]П_3!C19+П1ИВФ!C19</f>
        <v>-3000000</v>
      </c>
      <c r="C20" s="23">
        <f>[1]П_3!D19</f>
        <v>0</v>
      </c>
      <c r="D20" s="23">
        <f>[1]П_3!E19</f>
        <v>0</v>
      </c>
    </row>
    <row r="21" spans="1:4" ht="31.5" x14ac:dyDescent="0.25">
      <c r="A21" s="22" t="s">
        <v>184</v>
      </c>
      <c r="B21" s="23">
        <f>П1ИВФ!C20</f>
        <v>9540959.9600000009</v>
      </c>
      <c r="C21" s="23">
        <f>П1ИВФ!D20</f>
        <v>3965769.9699999997</v>
      </c>
      <c r="D21" s="23">
        <f>П1ИВФ!E20</f>
        <v>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vt:i4>
      </vt:variant>
    </vt:vector>
  </HeadingPairs>
  <TitlesOfParts>
    <vt:vector size="14" baseType="lpstr">
      <vt:lpstr>П1ИВФ</vt:lpstr>
      <vt:lpstr>П4ДОХОДЫ </vt:lpstr>
      <vt:lpstr>ДОХОДЫ</vt:lpstr>
      <vt:lpstr>П3РБАЦС</vt:lpstr>
      <vt:lpstr>П3_Доходы</vt:lpstr>
      <vt:lpstr>П4ВСР</vt:lpstr>
      <vt:lpstr>П5МП</vt:lpstr>
      <vt:lpstr>П6РБАРПР</vt:lpstr>
      <vt:lpstr>П7ПМВЗ</vt:lpstr>
      <vt:lpstr>П8ГАДРБ</vt:lpstr>
      <vt:lpstr>адм</vt:lpstr>
      <vt:lpstr>кредиты</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2017-11-17T05:08:03Z</dcterms:modified>
</cp:coreProperties>
</file>