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2" activeTab="6"/>
  </bookViews>
  <sheets>
    <sheet name="П1ГАД(АД)" sheetId="27" r:id="rId1"/>
    <sheet name="П2ГАИФ(АИФ)" sheetId="26" r:id="rId2"/>
    <sheet name="П3ИВФ" sheetId="11" r:id="rId3"/>
    <sheet name="П4ДОХОДЫ " sheetId="20" state="hidden" r:id="rId4"/>
    <sheet name="П4ДОХОДЫ" sheetId="25" r:id="rId5"/>
    <sheet name="П5РБАЦС" sheetId="12" r:id="rId6"/>
    <sheet name="П6ВСР" sheetId="21" r:id="rId7"/>
    <sheet name="П3_Доходы" sheetId="3" state="hidden" r:id="rId8"/>
    <sheet name="П7МП" sheetId="10" r:id="rId9"/>
    <sheet name="П8РБАРПР" sheetId="14" r:id="rId10"/>
    <sheet name="П9ПМВЗ" sheetId="16" r:id="rId11"/>
    <sheet name="П10 Дотация" sheetId="35" r:id="rId12"/>
    <sheet name="П11ПМГРБ" sheetId="38" r:id="rId13"/>
    <sheet name="П12ППБК" sheetId="37" r:id="rId14"/>
    <sheet name="П13НРД" sheetId="36" r:id="rId15"/>
  </sheets>
  <externalReferences>
    <externalReference r:id="rId16"/>
  </externalReferences>
  <definedNames>
    <definedName name="_xlnm.Print_Titles" localSheetId="7">П3_Доходы!$8:$8</definedName>
  </definedNames>
  <calcPr calcId="152511"/>
</workbook>
</file>

<file path=xl/calcChain.xml><?xml version="1.0" encoding="utf-8"?>
<calcChain xmlns="http://schemas.openxmlformats.org/spreadsheetml/2006/main">
  <c r="G151" i="25" l="1"/>
  <c r="F151" i="25"/>
  <c r="E151" i="25"/>
  <c r="AB471" i="21" l="1"/>
  <c r="AA471" i="21"/>
  <c r="AB490" i="21"/>
  <c r="AA490" i="21"/>
  <c r="Z490" i="21"/>
  <c r="E157" i="25" l="1"/>
  <c r="Z159" i="21" l="1"/>
  <c r="C21" i="11" l="1"/>
  <c r="G159" i="25" l="1"/>
  <c r="F159" i="25"/>
  <c r="E159" i="25"/>
  <c r="G123" i="25"/>
  <c r="F123" i="25"/>
  <c r="F104" i="25"/>
  <c r="G117" i="25"/>
  <c r="F117" i="25"/>
  <c r="G101" i="25"/>
  <c r="F101" i="25"/>
  <c r="E123" i="25"/>
  <c r="E101" i="25"/>
  <c r="E117" i="25"/>
  <c r="Z471" i="21"/>
  <c r="E104" i="25"/>
  <c r="E15" i="25" l="1"/>
  <c r="Z470" i="21" l="1"/>
  <c r="U15" i="12"/>
  <c r="Z17" i="21"/>
  <c r="AB227" i="21"/>
  <c r="AA227" i="21"/>
  <c r="Z227" i="21"/>
  <c r="AB457" i="21"/>
  <c r="AA457" i="21"/>
  <c r="Z457" i="21"/>
  <c r="AB461" i="21"/>
  <c r="AA461" i="21"/>
  <c r="Z461" i="21"/>
  <c r="AB465" i="21"/>
  <c r="AA465" i="21"/>
  <c r="Z465" i="21"/>
  <c r="AB463" i="21"/>
  <c r="AA463" i="21"/>
  <c r="Z463" i="21"/>
  <c r="Z439" i="21"/>
  <c r="Z405" i="21"/>
  <c r="Z401" i="21"/>
  <c r="AB271" i="21" l="1"/>
  <c r="AA271" i="21"/>
  <c r="Z271" i="21"/>
  <c r="Z40" i="21" l="1"/>
  <c r="Z27" i="21"/>
  <c r="Z20" i="21"/>
  <c r="Z375" i="21" l="1"/>
  <c r="G111" i="25"/>
  <c r="E111" i="25"/>
  <c r="E107" i="25"/>
  <c r="AB433" i="21" l="1"/>
  <c r="G114" i="25"/>
  <c r="U249" i="12" l="1"/>
  <c r="U248" i="12" s="1"/>
  <c r="AB374" i="21"/>
  <c r="AA374" i="21"/>
  <c r="Z374" i="21" l="1"/>
  <c r="AB369" i="21" l="1"/>
  <c r="F51" i="25" l="1"/>
  <c r="G51" i="25"/>
  <c r="E51" i="25"/>
  <c r="F41" i="25"/>
  <c r="G41" i="25"/>
  <c r="E41" i="25"/>
  <c r="F39" i="25"/>
  <c r="G39" i="25"/>
  <c r="E39" i="25"/>
  <c r="F64" i="25"/>
  <c r="G64" i="25"/>
  <c r="E64" i="25"/>
  <c r="F62" i="25"/>
  <c r="G62" i="25"/>
  <c r="E62" i="25"/>
  <c r="F54" i="25"/>
  <c r="G54" i="25"/>
  <c r="E54" i="25"/>
  <c r="F30" i="25"/>
  <c r="G30" i="25"/>
  <c r="E30" i="25"/>
  <c r="F26" i="25" l="1"/>
  <c r="G26" i="25"/>
  <c r="E26" i="25"/>
  <c r="AB350" i="21" l="1"/>
  <c r="Z350" i="21"/>
  <c r="Z365" i="21"/>
  <c r="F114" i="25"/>
  <c r="E114" i="25"/>
  <c r="Z57" i="21"/>
  <c r="Z63" i="21"/>
  <c r="F111" i="25"/>
  <c r="D13" i="37" l="1"/>
  <c r="C13" i="37"/>
  <c r="B13" i="37"/>
  <c r="D14" i="38"/>
  <c r="C14" i="38"/>
  <c r="B14" i="38"/>
  <c r="W332" i="12" l="1"/>
  <c r="V332" i="12"/>
  <c r="AB412" i="21" l="1"/>
  <c r="AB411" i="21" s="1"/>
  <c r="AA412" i="21"/>
  <c r="W233" i="12" l="1"/>
  <c r="W232" i="12" s="1"/>
  <c r="V233" i="12"/>
  <c r="V232" i="12" s="1"/>
  <c r="W220" i="12"/>
  <c r="W219" i="12" s="1"/>
  <c r="V220" i="12"/>
  <c r="V219" i="12" s="1"/>
  <c r="AA411" i="21"/>
  <c r="AB257" i="21"/>
  <c r="AA257" i="21"/>
  <c r="AB251" i="21"/>
  <c r="AA251" i="21"/>
  <c r="AB252" i="21"/>
  <c r="AA252" i="21"/>
  <c r="AB230" i="21"/>
  <c r="AA230" i="21"/>
  <c r="AB208" i="21"/>
  <c r="AB207" i="21" s="1"/>
  <c r="AA208" i="21"/>
  <c r="AA207" i="21"/>
  <c r="AB190" i="21"/>
  <c r="AA190" i="21"/>
  <c r="AB169" i="21"/>
  <c r="AA169" i="21"/>
  <c r="AB141" i="21"/>
  <c r="AA141" i="21"/>
  <c r="AB134" i="21"/>
  <c r="AA134" i="21"/>
  <c r="AA47" i="21"/>
  <c r="Z30" i="21" l="1"/>
  <c r="AA30" i="21"/>
  <c r="AB30" i="21"/>
  <c r="AC30" i="21"/>
  <c r="Z36" i="21"/>
  <c r="Z35" i="21" s="1"/>
  <c r="D15" i="14" s="1"/>
  <c r="AA36" i="21"/>
  <c r="AA35" i="21" s="1"/>
  <c r="E15" i="14" s="1"/>
  <c r="AB36" i="21"/>
  <c r="AB35" i="21" s="1"/>
  <c r="F15" i="14" s="1"/>
  <c r="U36" i="12"/>
  <c r="U35" i="12" s="1"/>
  <c r="V36" i="12"/>
  <c r="V35" i="12" s="1"/>
  <c r="W36" i="12"/>
  <c r="W35" i="12" s="1"/>
  <c r="W110" i="12" l="1"/>
  <c r="V110" i="12"/>
  <c r="K21" i="10" l="1"/>
  <c r="J21" i="10"/>
  <c r="K11" i="10"/>
  <c r="J11" i="10"/>
  <c r="G74" i="25" l="1"/>
  <c r="F74" i="25"/>
  <c r="AB28" i="21" l="1"/>
  <c r="AA28" i="21"/>
  <c r="Z138" i="21" l="1"/>
  <c r="Z88" i="21"/>
  <c r="Z409" i="21"/>
  <c r="Z51" i="21"/>
  <c r="Z450" i="21"/>
  <c r="AB347" i="21"/>
  <c r="AA347" i="21"/>
  <c r="U110" i="12" l="1"/>
  <c r="W73" i="12" l="1"/>
  <c r="V73" i="12"/>
  <c r="U73" i="12"/>
  <c r="W74" i="12"/>
  <c r="V74" i="12"/>
  <c r="W70" i="12"/>
  <c r="W71" i="12"/>
  <c r="V70" i="12"/>
  <c r="V71" i="12"/>
  <c r="AB59" i="21"/>
  <c r="AA59" i="21"/>
  <c r="U74" i="12"/>
  <c r="AB56" i="21"/>
  <c r="AA56" i="21"/>
  <c r="U71" i="12"/>
  <c r="U70" i="12"/>
  <c r="U69" i="12" l="1"/>
  <c r="U72" i="12"/>
  <c r="W69" i="12"/>
  <c r="V69" i="12"/>
  <c r="V72" i="12"/>
  <c r="W72" i="12"/>
  <c r="Z56" i="21"/>
  <c r="Z59" i="21"/>
  <c r="D20" i="35"/>
  <c r="C20" i="35"/>
  <c r="B20" i="35"/>
  <c r="F21" i="25" l="1"/>
  <c r="E21" i="25"/>
  <c r="Z71" i="21" l="1"/>
  <c r="AB50" i="21" l="1"/>
  <c r="AA50" i="21"/>
  <c r="AB360" i="21" l="1"/>
  <c r="AA360" i="21"/>
  <c r="E72" i="25" l="1"/>
  <c r="F33" i="25"/>
  <c r="G33" i="25"/>
  <c r="Z456" i="21" l="1"/>
  <c r="Z142" i="21" l="1"/>
  <c r="Z122" i="21"/>
  <c r="Z444" i="21" l="1"/>
  <c r="E143" i="25" l="1"/>
  <c r="E142" i="25"/>
  <c r="E141" i="25"/>
  <c r="J25" i="10" l="1"/>
  <c r="K25" i="10"/>
  <c r="I11" i="10" l="1"/>
  <c r="U162" i="12"/>
  <c r="U161" i="12" s="1"/>
  <c r="Z289" i="21"/>
  <c r="Z288" i="21"/>
  <c r="U112" i="12" l="1"/>
  <c r="E131" i="25" l="1"/>
  <c r="E130" i="25"/>
  <c r="E129" i="25"/>
  <c r="E128" i="25"/>
  <c r="E127" i="25"/>
  <c r="E61" i="25"/>
  <c r="E139" i="25" l="1"/>
  <c r="E74" i="25"/>
  <c r="E59" i="25"/>
  <c r="E67" i="25"/>
  <c r="E35" i="25"/>
  <c r="U275" i="12" l="1"/>
  <c r="U274" i="12" s="1"/>
  <c r="Z199" i="21"/>
  <c r="U144" i="12"/>
  <c r="U143" i="12" s="1"/>
  <c r="Z126" i="21"/>
  <c r="Z263" i="21"/>
  <c r="U279" i="12" l="1"/>
  <c r="Z389" i="21" l="1"/>
  <c r="Z443" i="21" l="1"/>
  <c r="Z315" i="21"/>
  <c r="Z316" i="21"/>
  <c r="U202" i="12" l="1"/>
  <c r="U201" i="12" s="1"/>
  <c r="Z333" i="21" l="1"/>
  <c r="I17" i="10" s="1"/>
  <c r="Z332" i="21" l="1"/>
  <c r="U317" i="12" l="1"/>
  <c r="U316" i="12" s="1"/>
  <c r="U134" i="12"/>
  <c r="U133" i="12" s="1"/>
  <c r="Z116" i="21"/>
  <c r="Z329" i="21" l="1"/>
  <c r="Z328" i="21" s="1"/>
  <c r="I51" i="10" l="1"/>
  <c r="U210" i="12"/>
  <c r="E121" i="25"/>
  <c r="V170" i="12" l="1"/>
  <c r="V169" i="12" s="1"/>
  <c r="W170" i="12"/>
  <c r="W169" i="12" s="1"/>
  <c r="U170" i="12"/>
  <c r="U169" i="12" s="1"/>
  <c r="AA148" i="21"/>
  <c r="AB148" i="21"/>
  <c r="Z148" i="21"/>
  <c r="V111" i="12"/>
  <c r="W111" i="12"/>
  <c r="U111" i="12"/>
  <c r="AA94" i="21"/>
  <c r="AB94" i="21"/>
  <c r="Z94" i="21"/>
  <c r="V109" i="12"/>
  <c r="W109" i="12"/>
  <c r="X109" i="12"/>
  <c r="U109" i="12"/>
  <c r="AA92" i="21"/>
  <c r="AB92" i="21"/>
  <c r="AC92" i="21"/>
  <c r="Z92" i="21"/>
  <c r="Z119" i="21"/>
  <c r="V29" i="12"/>
  <c r="W29" i="12"/>
  <c r="U29" i="12"/>
  <c r="AC23" i="21"/>
  <c r="Z296" i="21" l="1"/>
  <c r="E97" i="25" l="1"/>
  <c r="E38" i="25"/>
  <c r="E25" i="25"/>
  <c r="Z283" i="21" l="1"/>
  <c r="G119" i="25" l="1"/>
  <c r="F119" i="25"/>
  <c r="E119" i="25"/>
  <c r="G108" i="25"/>
  <c r="F108" i="25"/>
  <c r="G104" i="25"/>
  <c r="G128" i="25" l="1"/>
  <c r="F128" i="25"/>
  <c r="G130" i="25"/>
  <c r="F130" i="25"/>
  <c r="G129" i="25"/>
  <c r="F129" i="25"/>
  <c r="E133" i="25" l="1"/>
  <c r="E135" i="25" s="1"/>
  <c r="F127" i="25"/>
  <c r="F133" i="25"/>
  <c r="F135" i="25" s="1"/>
  <c r="E108" i="25"/>
  <c r="G127" i="25"/>
  <c r="G133" i="25"/>
  <c r="G135" i="25" s="1"/>
  <c r="G61" i="25"/>
  <c r="F61" i="25"/>
  <c r="G53" i="25"/>
  <c r="F53" i="25"/>
  <c r="E53" i="25"/>
  <c r="G38" i="25"/>
  <c r="F38" i="25"/>
  <c r="G35" i="25"/>
  <c r="F35" i="25"/>
  <c r="G32" i="25"/>
  <c r="F32" i="25"/>
  <c r="E33" i="25"/>
  <c r="E32" i="25" s="1"/>
  <c r="G25" i="25"/>
  <c r="F25" i="25"/>
  <c r="G15" i="25"/>
  <c r="F15" i="25"/>
  <c r="E132" i="25" l="1"/>
  <c r="F131" i="25"/>
  <c r="G131" i="25"/>
  <c r="G132" i="25" s="1"/>
  <c r="F20" i="25"/>
  <c r="F19" i="25" s="1"/>
  <c r="F99" i="25" s="1"/>
  <c r="G20" i="25"/>
  <c r="G19" i="25" s="1"/>
  <c r="G99" i="25" s="1"/>
  <c r="E20" i="25"/>
  <c r="E19" i="25" s="1"/>
  <c r="E99" i="25" s="1"/>
  <c r="E14" i="25"/>
  <c r="E13" i="25" s="1"/>
  <c r="E149" i="25" s="1"/>
  <c r="F14" i="25"/>
  <c r="G14" i="25"/>
  <c r="E147" i="25" l="1"/>
  <c r="G13" i="25"/>
  <c r="G147" i="25" s="1"/>
  <c r="F13" i="25"/>
  <c r="F147" i="25" s="1"/>
  <c r="F132" i="25"/>
  <c r="E144" i="25" l="1"/>
  <c r="E124" i="25"/>
  <c r="Z468" i="21" s="1"/>
  <c r="E134" i="25"/>
  <c r="G124" i="25"/>
  <c r="AB468" i="21" s="1"/>
  <c r="G134" i="25"/>
  <c r="F124" i="25"/>
  <c r="F134" i="25"/>
  <c r="Z282" i="21" l="1"/>
  <c r="G44" i="20"/>
  <c r="G42" i="20"/>
  <c r="F42" i="20"/>
  <c r="F44" i="20"/>
  <c r="Z281" i="21" l="1"/>
  <c r="U157" i="12"/>
  <c r="U156" i="12" s="1"/>
  <c r="E42" i="20"/>
  <c r="E44" i="20"/>
  <c r="I47" i="10" l="1"/>
  <c r="Z280" i="21"/>
  <c r="U66" i="12"/>
  <c r="U65" i="12" s="1"/>
  <c r="Z52" i="21"/>
  <c r="Z371" i="21" l="1"/>
  <c r="Z363" i="21"/>
  <c r="E20" i="20"/>
  <c r="E19" i="20"/>
  <c r="E67" i="20" l="1"/>
  <c r="W338" i="12" l="1"/>
  <c r="W337" i="12" s="1"/>
  <c r="V338" i="12"/>
  <c r="V337" i="12" s="1"/>
  <c r="U338" i="12"/>
  <c r="U337" i="12" s="1"/>
  <c r="U340" i="12"/>
  <c r="U339" i="12" s="1"/>
  <c r="AB233" i="21"/>
  <c r="AA233" i="21"/>
  <c r="Z233" i="21"/>
  <c r="AB238" i="21"/>
  <c r="AA238" i="21"/>
  <c r="Z238" i="21"/>
  <c r="Z235" i="21"/>
  <c r="E64" i="20"/>
  <c r="E72" i="20"/>
  <c r="E70" i="20"/>
  <c r="E61" i="20"/>
  <c r="U150" i="12" l="1"/>
  <c r="U149" i="12" s="1"/>
  <c r="Z164" i="21" l="1"/>
  <c r="Z132" i="21" l="1"/>
  <c r="U295" i="12" l="1"/>
  <c r="W180" i="12"/>
  <c r="W179" i="12" s="1"/>
  <c r="V180" i="12"/>
  <c r="V179" i="12" s="1"/>
  <c r="AB155" i="21"/>
  <c r="AA155" i="21"/>
  <c r="Z155" i="21"/>
  <c r="Z158" i="21"/>
  <c r="Z478" i="21" s="1"/>
  <c r="AB158" i="21"/>
  <c r="AB151" i="21" s="1"/>
  <c r="AA158" i="21"/>
  <c r="AA151" i="21" s="1"/>
  <c r="Z400" i="21"/>
  <c r="W284" i="12"/>
  <c r="V284" i="12"/>
  <c r="U284" i="12"/>
  <c r="W285" i="12"/>
  <c r="V285" i="12"/>
  <c r="U285" i="12"/>
  <c r="Z394" i="21"/>
  <c r="AB398" i="21"/>
  <c r="AA398" i="21"/>
  <c r="Z398" i="21"/>
  <c r="AB394" i="21"/>
  <c r="AB388" i="21" s="1"/>
  <c r="AA394" i="21"/>
  <c r="AA388" i="21" s="1"/>
  <c r="U180" i="12" l="1"/>
  <c r="U179" i="12" s="1"/>
  <c r="V283" i="12"/>
  <c r="W283" i="12"/>
  <c r="U283" i="12"/>
  <c r="W195" i="12"/>
  <c r="V195" i="12"/>
  <c r="Z305" i="21" l="1"/>
  <c r="I21" i="10" s="1"/>
  <c r="Z304" i="21" l="1"/>
  <c r="Z303" i="21" s="1"/>
  <c r="W91" i="12"/>
  <c r="W90" i="12" s="1"/>
  <c r="V91" i="12"/>
  <c r="V90" i="12" s="1"/>
  <c r="U91" i="12"/>
  <c r="U90" i="12" s="1"/>
  <c r="AB73" i="21"/>
  <c r="AA73" i="21"/>
  <c r="Z73" i="21"/>
  <c r="AB78" i="21"/>
  <c r="AA78" i="21"/>
  <c r="Z78" i="21"/>
  <c r="U196" i="12" l="1"/>
  <c r="U195" i="12" s="1"/>
  <c r="Z28" i="21"/>
  <c r="W282" i="12" l="1"/>
  <c r="W281" i="12" s="1"/>
  <c r="V282" i="12"/>
  <c r="V281" i="12" s="1"/>
  <c r="U282" i="12"/>
  <c r="U281" i="12" s="1"/>
  <c r="AB392" i="21"/>
  <c r="AA392" i="21"/>
  <c r="Z392" i="21"/>
  <c r="U364" i="12"/>
  <c r="Z125" i="21"/>
  <c r="U357" i="12"/>
  <c r="Z421" i="21"/>
  <c r="U352" i="12"/>
  <c r="Z416" i="21"/>
  <c r="U332" i="12"/>
  <c r="Z412" i="21"/>
  <c r="Z411" i="21" s="1"/>
  <c r="E18" i="20"/>
  <c r="U159" i="12"/>
  <c r="U158" i="12" s="1"/>
  <c r="Z139" i="21"/>
  <c r="Z360" i="21" l="1"/>
  <c r="U233" i="12" s="1"/>
  <c r="U232" i="12" s="1"/>
  <c r="Z347" i="21"/>
  <c r="U220" i="12" s="1"/>
  <c r="U219" i="12" s="1"/>
  <c r="E14" i="20" l="1"/>
  <c r="Z65" i="21" l="1"/>
  <c r="U79" i="12"/>
  <c r="U78" i="12" s="1"/>
  <c r="AB367" i="21" l="1"/>
  <c r="AA367" i="21"/>
  <c r="Z367" i="21"/>
  <c r="Z295" i="21" l="1"/>
  <c r="I25" i="10" s="1"/>
  <c r="U189" i="12" l="1"/>
  <c r="U188" i="12" s="1"/>
  <c r="Z294" i="21"/>
  <c r="Z293" i="21" s="1"/>
  <c r="W63" i="12"/>
  <c r="V63" i="12"/>
  <c r="U64" i="12"/>
  <c r="U63" i="12" s="1"/>
  <c r="AB445" i="21"/>
  <c r="AA445" i="21"/>
  <c r="Z445" i="21"/>
  <c r="E15" i="20" l="1"/>
  <c r="Z279" i="21" l="1"/>
  <c r="U83" i="12" s="1"/>
  <c r="U82" i="12" s="1"/>
  <c r="Z160" i="21"/>
  <c r="E16" i="20"/>
  <c r="Z278" i="21" l="1"/>
  <c r="Z277" i="21" s="1"/>
  <c r="W373" i="12"/>
  <c r="V373" i="12"/>
  <c r="W372" i="12"/>
  <c r="V372" i="12"/>
  <c r="U372" i="12"/>
  <c r="U373" i="12"/>
  <c r="AB432" i="21"/>
  <c r="AB431" i="21" s="1"/>
  <c r="F54" i="14" s="1"/>
  <c r="AA432" i="21"/>
  <c r="AA431" i="21" s="1"/>
  <c r="E54" i="14" s="1"/>
  <c r="E22" i="20"/>
  <c r="Z432" i="21" l="1"/>
  <c r="Z431" i="21" s="1"/>
  <c r="D54" i="14" s="1"/>
  <c r="W371" i="12"/>
  <c r="W370" i="12" s="1"/>
  <c r="V371" i="12"/>
  <c r="V370" i="12" s="1"/>
  <c r="U371" i="12"/>
  <c r="U370" i="12" s="1"/>
  <c r="W67" i="12" l="1"/>
  <c r="V67" i="12"/>
  <c r="U68" i="12"/>
  <c r="U67" i="12" s="1"/>
  <c r="AB54" i="21"/>
  <c r="AA54" i="21"/>
  <c r="Z54" i="21"/>
  <c r="E24" i="20" l="1"/>
  <c r="E23" i="20"/>
  <c r="E21" i="20"/>
  <c r="E26" i="20"/>
  <c r="E25" i="20"/>
  <c r="Z424" i="21"/>
  <c r="Z243" i="21"/>
  <c r="W264" i="12"/>
  <c r="W263" i="12" s="1"/>
  <c r="W262" i="12" s="1"/>
  <c r="V264" i="12"/>
  <c r="V263" i="12" s="1"/>
  <c r="V262" i="12" s="1"/>
  <c r="U264" i="12"/>
  <c r="U263" i="12" s="1"/>
  <c r="U262" i="12" s="1"/>
  <c r="AB454" i="21" l="1"/>
  <c r="AA454" i="21"/>
  <c r="Z454" i="21"/>
  <c r="AB456" i="21"/>
  <c r="K44" i="10" s="1"/>
  <c r="AA456" i="21"/>
  <c r="J44" i="10" s="1"/>
  <c r="I44" i="10"/>
  <c r="AA455" i="21" l="1"/>
  <c r="E42" i="14" s="1"/>
  <c r="Z455" i="21"/>
  <c r="D42" i="14" s="1"/>
  <c r="AB455" i="21"/>
  <c r="F42" i="14" s="1"/>
  <c r="Z202" i="21" l="1"/>
  <c r="W174" i="12" l="1"/>
  <c r="W173" i="12" s="1"/>
  <c r="V174" i="12"/>
  <c r="V173" i="12" s="1"/>
  <c r="U174" i="12"/>
  <c r="U173" i="12" s="1"/>
  <c r="AB152" i="21"/>
  <c r="AA152" i="21"/>
  <c r="Z152" i="21"/>
  <c r="Z99" i="21" l="1"/>
  <c r="Z97" i="21"/>
  <c r="C18" i="11" l="1"/>
  <c r="AB241" i="21" l="1"/>
  <c r="AA241" i="21"/>
  <c r="W346" i="12"/>
  <c r="V346" i="12"/>
  <c r="U346" i="12"/>
  <c r="AA75" i="21"/>
  <c r="AA266" i="21"/>
  <c r="AB266" i="21"/>
  <c r="Z240" i="21" l="1"/>
  <c r="Z121" i="21"/>
  <c r="Z110" i="21"/>
  <c r="Z241" i="21" l="1"/>
  <c r="AA84" i="21" l="1"/>
  <c r="Z154" i="21" l="1"/>
  <c r="AB258" i="21" l="1"/>
  <c r="AB231" i="21"/>
  <c r="K14" i="10" s="1"/>
  <c r="G71" i="20" l="1"/>
  <c r="F71" i="20"/>
  <c r="E71" i="20"/>
  <c r="G68" i="20"/>
  <c r="F68" i="20"/>
  <c r="E68" i="20"/>
  <c r="G67" i="20"/>
  <c r="F67" i="20"/>
  <c r="G65" i="20"/>
  <c r="F65" i="20"/>
  <c r="E65" i="20"/>
  <c r="E75" i="20" l="1"/>
  <c r="W287" i="12"/>
  <c r="W286" i="12" s="1"/>
  <c r="V287" i="12"/>
  <c r="V286" i="12" s="1"/>
  <c r="U287" i="12"/>
  <c r="U286" i="12" s="1"/>
  <c r="AB172" i="21" l="1"/>
  <c r="D18" i="11"/>
  <c r="E18" i="11" l="1"/>
  <c r="E21" i="11" s="1"/>
  <c r="D21" i="11"/>
  <c r="AA468" i="21" s="1"/>
  <c r="AB397" i="21"/>
  <c r="AA397" i="21"/>
  <c r="Z397" i="21"/>
  <c r="Z388" i="21" s="1"/>
  <c r="Z14" i="21" l="1"/>
  <c r="Z13" i="21" s="1"/>
  <c r="AA14" i="21"/>
  <c r="AA13" i="21" s="1"/>
  <c r="AB14" i="21"/>
  <c r="AB13" i="21" s="1"/>
  <c r="AA17" i="21"/>
  <c r="AB17" i="21"/>
  <c r="AB19" i="21"/>
  <c r="Z19" i="21"/>
  <c r="AA19" i="21"/>
  <c r="Z24" i="21"/>
  <c r="AA24" i="21"/>
  <c r="AB24" i="21"/>
  <c r="Z29" i="21"/>
  <c r="Z26" i="21" s="1"/>
  <c r="AA29" i="21"/>
  <c r="AB29" i="21"/>
  <c r="Z32" i="21"/>
  <c r="AA32" i="21"/>
  <c r="AB32" i="21"/>
  <c r="Z39" i="21"/>
  <c r="Z38" i="21" s="1"/>
  <c r="AA39" i="21"/>
  <c r="AA38" i="21" s="1"/>
  <c r="AB39" i="21"/>
  <c r="AB38" i="21" s="1"/>
  <c r="Z42" i="21"/>
  <c r="Z41" i="21" s="1"/>
  <c r="AA42" i="21"/>
  <c r="AA41" i="21" s="1"/>
  <c r="AB42" i="21"/>
  <c r="AB41" i="21" s="1"/>
  <c r="Z45" i="21"/>
  <c r="AA45" i="21"/>
  <c r="AA44" i="21" s="1"/>
  <c r="AB45" i="21"/>
  <c r="AB44" i="21" s="1"/>
  <c r="Z48" i="21"/>
  <c r="AA48" i="21"/>
  <c r="AB48" i="21"/>
  <c r="Z50" i="21"/>
  <c r="Z62" i="21"/>
  <c r="Z47" i="21" s="1"/>
  <c r="AA62" i="21"/>
  <c r="AB62" i="21"/>
  <c r="AB47" i="21" s="1"/>
  <c r="Z67" i="21"/>
  <c r="AA67" i="21"/>
  <c r="AB67" i="21"/>
  <c r="AA71" i="21"/>
  <c r="AB71" i="21"/>
  <c r="Z75" i="21"/>
  <c r="AB75" i="21"/>
  <c r="AB77" i="21"/>
  <c r="Z77" i="21"/>
  <c r="AA77" i="21"/>
  <c r="AB80" i="21"/>
  <c r="AB79" i="21" s="1"/>
  <c r="Z80" i="21"/>
  <c r="Z79" i="21" s="1"/>
  <c r="AA80" i="21"/>
  <c r="AA79" i="21" s="1"/>
  <c r="Z84" i="21"/>
  <c r="AB84" i="21"/>
  <c r="Z86" i="21"/>
  <c r="AA86" i="21"/>
  <c r="AB86" i="21"/>
  <c r="AA88" i="21"/>
  <c r="AB88" i="21"/>
  <c r="Z90" i="21"/>
  <c r="AA90" i="21"/>
  <c r="AB90" i="21"/>
  <c r="Z96" i="21"/>
  <c r="AA96" i="21"/>
  <c r="AB96" i="21"/>
  <c r="Z98" i="21"/>
  <c r="AA98" i="21"/>
  <c r="AB98" i="21"/>
  <c r="Z100" i="21"/>
  <c r="AA100" i="21"/>
  <c r="AB100" i="21"/>
  <c r="Z102" i="21"/>
  <c r="AA102" i="21"/>
  <c r="AB102" i="21"/>
  <c r="Z104" i="21"/>
  <c r="AA104" i="21"/>
  <c r="AA83" i="21" s="1"/>
  <c r="AB104" i="21"/>
  <c r="Z107" i="21"/>
  <c r="AA107" i="21"/>
  <c r="AB107" i="21"/>
  <c r="Z109" i="21"/>
  <c r="AA109" i="21"/>
  <c r="AB109" i="21"/>
  <c r="Z112" i="21"/>
  <c r="AA112" i="21"/>
  <c r="AB112" i="21"/>
  <c r="Z114" i="21"/>
  <c r="AA114" i="21"/>
  <c r="AB114" i="21"/>
  <c r="Z118" i="21"/>
  <c r="AA118" i="21"/>
  <c r="AB118" i="21"/>
  <c r="Z120" i="21"/>
  <c r="AA120" i="21"/>
  <c r="AB120" i="21"/>
  <c r="AA122" i="21"/>
  <c r="AB122" i="21"/>
  <c r="Z124" i="21"/>
  <c r="AA124" i="21"/>
  <c r="AB124" i="21"/>
  <c r="Z128" i="21"/>
  <c r="AA128" i="21"/>
  <c r="AB128" i="21"/>
  <c r="Z130" i="21"/>
  <c r="AA130" i="21"/>
  <c r="AB130" i="21"/>
  <c r="Z135" i="21"/>
  <c r="AA135" i="21"/>
  <c r="AB135" i="21"/>
  <c r="Z137" i="21"/>
  <c r="AA137" i="21"/>
  <c r="AB137" i="21"/>
  <c r="AA142" i="21"/>
  <c r="AB142" i="21"/>
  <c r="Z144" i="21"/>
  <c r="AA144" i="21"/>
  <c r="AB144" i="21"/>
  <c r="Z146" i="21"/>
  <c r="AA146" i="21"/>
  <c r="AB146" i="21"/>
  <c r="AA154" i="21"/>
  <c r="AB154" i="21"/>
  <c r="Z156" i="21"/>
  <c r="AA156" i="21"/>
  <c r="AB156" i="21"/>
  <c r="AA160" i="21"/>
  <c r="AB160" i="21"/>
  <c r="Z163" i="21"/>
  <c r="AA163" i="21"/>
  <c r="AB163" i="21"/>
  <c r="AB165" i="21"/>
  <c r="Z165" i="21"/>
  <c r="I23" i="10" s="1"/>
  <c r="AA165" i="21"/>
  <c r="Z167" i="21"/>
  <c r="AA167" i="21"/>
  <c r="AB167" i="21"/>
  <c r="Z170" i="21"/>
  <c r="AA170" i="21"/>
  <c r="AB170" i="21"/>
  <c r="Z172" i="21"/>
  <c r="AA172" i="21"/>
  <c r="Z174" i="21"/>
  <c r="AA174" i="21"/>
  <c r="AB174" i="21"/>
  <c r="Z176" i="21"/>
  <c r="AA176" i="21"/>
  <c r="AB176" i="21"/>
  <c r="Z178" i="21"/>
  <c r="AA178" i="21"/>
  <c r="AB178" i="21"/>
  <c r="Z180" i="21"/>
  <c r="AA180" i="21"/>
  <c r="AB180" i="21"/>
  <c r="Z182" i="21"/>
  <c r="U212" i="12" s="1"/>
  <c r="U211" i="12" s="1"/>
  <c r="AA182" i="21"/>
  <c r="AB182" i="21"/>
  <c r="Z184" i="21"/>
  <c r="AA184" i="21"/>
  <c r="AB184" i="21"/>
  <c r="Z188" i="21"/>
  <c r="Z187" i="21" s="1"/>
  <c r="AA188" i="21"/>
  <c r="AB188" i="21"/>
  <c r="Z191" i="21"/>
  <c r="AA191" i="21"/>
  <c r="J27" i="10" s="1"/>
  <c r="AB191" i="21"/>
  <c r="K27" i="10" s="1"/>
  <c r="Z193" i="21"/>
  <c r="AA193" i="21"/>
  <c r="AB193" i="21"/>
  <c r="Z195" i="21"/>
  <c r="AA195" i="21"/>
  <c r="AB195" i="21"/>
  <c r="Z197" i="21"/>
  <c r="AA197" i="21"/>
  <c r="AB197" i="21"/>
  <c r="Z201" i="21"/>
  <c r="AA201" i="21"/>
  <c r="AB201" i="21"/>
  <c r="Z209" i="21"/>
  <c r="AA209" i="21"/>
  <c r="AB209" i="21"/>
  <c r="Z211" i="21"/>
  <c r="AA211" i="21"/>
  <c r="AB211" i="21"/>
  <c r="Z213" i="21"/>
  <c r="AA213" i="21"/>
  <c r="AB213" i="21"/>
  <c r="Z215" i="21"/>
  <c r="AA215" i="21"/>
  <c r="AB215" i="21"/>
  <c r="Z217" i="21"/>
  <c r="AA217" i="21"/>
  <c r="AB217" i="21"/>
  <c r="Z226" i="21"/>
  <c r="AA226" i="21"/>
  <c r="AA225" i="21" s="1"/>
  <c r="AB226" i="21"/>
  <c r="AB225" i="21" s="1"/>
  <c r="Z228" i="21"/>
  <c r="AA228" i="21"/>
  <c r="AB228" i="21"/>
  <c r="Z231" i="21"/>
  <c r="AA231" i="21"/>
  <c r="J14" i="10" s="1"/>
  <c r="Z237" i="21"/>
  <c r="AA237" i="21"/>
  <c r="AB237" i="21"/>
  <c r="Z239" i="21"/>
  <c r="AA239" i="21"/>
  <c r="AB239" i="21"/>
  <c r="Z244" i="21"/>
  <c r="AA244" i="21"/>
  <c r="AB244" i="21"/>
  <c r="Z247" i="21"/>
  <c r="AA247" i="21"/>
  <c r="AB247" i="21"/>
  <c r="Z249" i="21"/>
  <c r="AA249" i="21"/>
  <c r="AB249" i="21"/>
  <c r="AB253" i="21"/>
  <c r="Z253" i="21"/>
  <c r="AA253" i="21"/>
  <c r="Z255" i="21"/>
  <c r="AA255" i="21"/>
  <c r="AB255" i="21"/>
  <c r="Z258" i="21"/>
  <c r="AA258" i="21"/>
  <c r="Z260" i="21"/>
  <c r="AA260" i="21"/>
  <c r="AB260" i="21"/>
  <c r="Z262" i="21"/>
  <c r="AA262" i="21"/>
  <c r="AB262" i="21"/>
  <c r="AA265" i="21"/>
  <c r="AB265" i="21"/>
  <c r="Z272" i="21"/>
  <c r="AA272" i="21"/>
  <c r="AB272" i="21"/>
  <c r="Z273" i="21"/>
  <c r="Z274" i="21"/>
  <c r="AA274" i="21"/>
  <c r="AB274" i="21"/>
  <c r="Z276" i="21"/>
  <c r="AA278" i="21"/>
  <c r="AA277" i="21" s="1"/>
  <c r="AA276" i="21" s="1"/>
  <c r="AB278" i="21"/>
  <c r="AB277" i="21" s="1"/>
  <c r="AB276" i="21" s="1"/>
  <c r="Z340" i="21"/>
  <c r="Z339" i="21" s="1"/>
  <c r="Z338" i="21" s="1"/>
  <c r="AA340" i="21"/>
  <c r="AA339" i="21" s="1"/>
  <c r="AA338" i="21" s="1"/>
  <c r="AB340" i="21"/>
  <c r="AB339" i="21" s="1"/>
  <c r="AB338" i="21" s="1"/>
  <c r="Z345" i="21"/>
  <c r="AA345" i="21"/>
  <c r="AB345" i="21"/>
  <c r="Z349" i="21"/>
  <c r="AA349" i="21"/>
  <c r="AB349" i="21"/>
  <c r="Z351" i="21"/>
  <c r="AA351" i="21"/>
  <c r="AB351" i="21"/>
  <c r="Z353" i="21"/>
  <c r="AA353" i="21"/>
  <c r="AB353" i="21"/>
  <c r="Z355" i="21"/>
  <c r="AA355" i="21"/>
  <c r="AB355" i="21"/>
  <c r="Z358" i="21"/>
  <c r="AA358" i="21"/>
  <c r="AB358" i="21"/>
  <c r="Z362" i="21"/>
  <c r="AA362" i="21"/>
  <c r="J40" i="10" s="1"/>
  <c r="AB362" i="21"/>
  <c r="K40" i="10" s="1"/>
  <c r="Z364" i="21"/>
  <c r="AA364" i="21"/>
  <c r="AB364" i="21"/>
  <c r="Z366" i="21"/>
  <c r="AA366" i="21"/>
  <c r="AB366" i="21"/>
  <c r="Z368" i="21"/>
  <c r="AA368" i="21"/>
  <c r="AB368" i="21"/>
  <c r="Z370" i="21"/>
  <c r="AA370" i="21"/>
  <c r="AB370" i="21"/>
  <c r="Z372" i="21"/>
  <c r="AA372" i="21"/>
  <c r="AB372" i="21"/>
  <c r="Z376" i="21"/>
  <c r="AA376" i="21"/>
  <c r="AA357" i="21" s="1"/>
  <c r="AB376" i="21"/>
  <c r="Z378" i="21"/>
  <c r="AA378" i="21"/>
  <c r="AB378" i="21"/>
  <c r="Z380" i="21"/>
  <c r="AA380" i="21"/>
  <c r="AB380" i="21"/>
  <c r="Z382" i="21"/>
  <c r="AA382" i="21"/>
  <c r="AB382" i="21"/>
  <c r="Z384" i="21"/>
  <c r="AA384" i="21"/>
  <c r="AB384" i="21"/>
  <c r="Z386" i="21"/>
  <c r="AA386" i="21"/>
  <c r="AB386" i="21"/>
  <c r="AA389" i="21"/>
  <c r="AB389" i="21"/>
  <c r="AA400" i="21"/>
  <c r="AB400" i="21"/>
  <c r="Z404" i="21"/>
  <c r="I43" i="10" s="1"/>
  <c r="AA404" i="21"/>
  <c r="AB404" i="21"/>
  <c r="Z408" i="21"/>
  <c r="AA408" i="21"/>
  <c r="AB408" i="21"/>
  <c r="AA416" i="21"/>
  <c r="AB416" i="21"/>
  <c r="Z419" i="21"/>
  <c r="AA419" i="21"/>
  <c r="AB419" i="21"/>
  <c r="AA421" i="21"/>
  <c r="AB421" i="21"/>
  <c r="AA424" i="21"/>
  <c r="AB424" i="21"/>
  <c r="Z440" i="21"/>
  <c r="AA440" i="21"/>
  <c r="AB440" i="21"/>
  <c r="Z441" i="21"/>
  <c r="AA441" i="21"/>
  <c r="AB441" i="21"/>
  <c r="AA443" i="21"/>
  <c r="AB443" i="21"/>
  <c r="Z442" i="21"/>
  <c r="AA444" i="21"/>
  <c r="AB444" i="21"/>
  <c r="Z449" i="21"/>
  <c r="Z448" i="21" s="1"/>
  <c r="Z447" i="21" s="1"/>
  <c r="AA449" i="21"/>
  <c r="AB449" i="21"/>
  <c r="Z453" i="21"/>
  <c r="Z452" i="21" s="1"/>
  <c r="Z451" i="21" s="1"/>
  <c r="AA453" i="21"/>
  <c r="AA452" i="21" s="1"/>
  <c r="AA451" i="21" s="1"/>
  <c r="AB453" i="21"/>
  <c r="AB452" i="21" s="1"/>
  <c r="AB451" i="21" s="1"/>
  <c r="Z460" i="21"/>
  <c r="AA460" i="21"/>
  <c r="AB460" i="21"/>
  <c r="Z462" i="21"/>
  <c r="AA462" i="21"/>
  <c r="AB462" i="21"/>
  <c r="Z464" i="21"/>
  <c r="AA464" i="21"/>
  <c r="AB464" i="21"/>
  <c r="AB83" i="21" l="1"/>
  <c r="AA459" i="21"/>
  <c r="AB459" i="21"/>
  <c r="AB458" i="21" s="1"/>
  <c r="AB399" i="21"/>
  <c r="AA399" i="21"/>
  <c r="Z357" i="21"/>
  <c r="AB357" i="21"/>
  <c r="AB480" i="21"/>
  <c r="AA473" i="21"/>
  <c r="Z480" i="21"/>
  <c r="AB344" i="21"/>
  <c r="AA344" i="21"/>
  <c r="AA343" i="21" s="1"/>
  <c r="AB162" i="21"/>
  <c r="AB150" i="21" s="1"/>
  <c r="AA162" i="21"/>
  <c r="AA150" i="21" s="1"/>
  <c r="AA478" i="21"/>
  <c r="AA480" i="21"/>
  <c r="Z23" i="21"/>
  <c r="J48" i="10"/>
  <c r="AA70" i="21"/>
  <c r="AA69" i="21" s="1"/>
  <c r="K33" i="10"/>
  <c r="AB448" i="21"/>
  <c r="AB447" i="21" s="1"/>
  <c r="K39" i="10"/>
  <c r="AA448" i="21"/>
  <c r="AA447" i="21" s="1"/>
  <c r="J39" i="10"/>
  <c r="J33" i="10"/>
  <c r="J16" i="10"/>
  <c r="K48" i="10"/>
  <c r="J43" i="10"/>
  <c r="J24" i="10"/>
  <c r="K16" i="10"/>
  <c r="K43" i="10"/>
  <c r="J41" i="10"/>
  <c r="J20" i="10"/>
  <c r="K24" i="10"/>
  <c r="K18" i="10"/>
  <c r="J18" i="10"/>
  <c r="K49" i="10"/>
  <c r="J49" i="10"/>
  <c r="K41" i="10"/>
  <c r="AB70" i="21"/>
  <c r="AB69" i="21" s="1"/>
  <c r="J23" i="10"/>
  <c r="K23" i="10"/>
  <c r="AB187" i="21"/>
  <c r="AB186" i="21" s="1"/>
  <c r="K45" i="10"/>
  <c r="AA187" i="21"/>
  <c r="AA186" i="21" s="1"/>
  <c r="J45" i="10"/>
  <c r="K52" i="10"/>
  <c r="J52" i="10"/>
  <c r="Z83" i="21"/>
  <c r="K20" i="10"/>
  <c r="J12" i="10"/>
  <c r="K12" i="10"/>
  <c r="K31" i="10"/>
  <c r="J31" i="10"/>
  <c r="K29" i="10"/>
  <c r="J29" i="10"/>
  <c r="I49" i="10"/>
  <c r="Z190" i="21"/>
  <c r="I41" i="10"/>
  <c r="Z111" i="21"/>
  <c r="I52" i="10"/>
  <c r="Z141" i="21"/>
  <c r="D31" i="14" s="1"/>
  <c r="I12" i="10"/>
  <c r="I13" i="10" s="1"/>
  <c r="I31" i="10"/>
  <c r="Z230" i="21"/>
  <c r="Z151" i="21"/>
  <c r="I29" i="10"/>
  <c r="I35" i="10"/>
  <c r="AB442" i="21"/>
  <c r="Z399" i="21"/>
  <c r="Z270" i="21"/>
  <c r="Z269" i="21" s="1"/>
  <c r="Z268" i="21" s="1"/>
  <c r="Z264" i="21" s="1"/>
  <c r="AB246" i="21"/>
  <c r="Z134" i="21"/>
  <c r="D30" i="14" s="1"/>
  <c r="Z70" i="21"/>
  <c r="Z69" i="21" s="1"/>
  <c r="Z344" i="21"/>
  <c r="I24" i="10"/>
  <c r="Z208" i="21"/>
  <c r="Z207" i="21" s="1"/>
  <c r="Z169" i="21"/>
  <c r="D35" i="14" s="1"/>
  <c r="Z225" i="21"/>
  <c r="AB438" i="21"/>
  <c r="AB437" i="21" s="1"/>
  <c r="AB436" i="21" s="1"/>
  <c r="Z257" i="21"/>
  <c r="AA26" i="21"/>
  <c r="AA23" i="21" s="1"/>
  <c r="Z459" i="21"/>
  <c r="Z458" i="21" s="1"/>
  <c r="AA442" i="21"/>
  <c r="Z415" i="21"/>
  <c r="Z410" i="21" s="1"/>
  <c r="AA270" i="21"/>
  <c r="Z252" i="21"/>
  <c r="Z246" i="21"/>
  <c r="Z162" i="21"/>
  <c r="D34" i="14" s="1"/>
  <c r="AB26" i="21"/>
  <c r="AB23" i="21" s="1"/>
  <c r="Z44" i="21"/>
  <c r="AA438" i="21"/>
  <c r="AA437" i="21" s="1"/>
  <c r="AA436" i="21" s="1"/>
  <c r="Z438" i="21"/>
  <c r="Z106" i="21"/>
  <c r="AA246" i="21"/>
  <c r="AA458" i="21"/>
  <c r="AB270" i="21"/>
  <c r="AA106" i="21"/>
  <c r="AB16" i="21"/>
  <c r="AB470" i="21" s="1"/>
  <c r="AA16" i="21"/>
  <c r="AA470" i="21" s="1"/>
  <c r="Z16" i="21"/>
  <c r="AB106" i="21"/>
  <c r="AB473" i="21"/>
  <c r="AA415" i="21"/>
  <c r="AA410" i="21" s="1"/>
  <c r="AB111" i="21"/>
  <c r="AA111" i="21"/>
  <c r="AA82" i="21" s="1"/>
  <c r="AB415" i="21"/>
  <c r="AB410" i="21" s="1"/>
  <c r="AB82" i="21" l="1"/>
  <c r="Z82" i="21"/>
  <c r="Z479" i="21"/>
  <c r="AB478" i="21"/>
  <c r="Z12" i="21"/>
  <c r="AB343" i="21"/>
  <c r="AB342" i="21" s="1"/>
  <c r="AB224" i="21"/>
  <c r="AA224" i="21"/>
  <c r="AB481" i="21"/>
  <c r="AB435" i="21"/>
  <c r="AA481" i="21"/>
  <c r="AA435" i="21"/>
  <c r="AB12" i="21"/>
  <c r="AA12" i="21"/>
  <c r="K36" i="10"/>
  <c r="AB269" i="21"/>
  <c r="K37" i="10"/>
  <c r="AA269" i="21"/>
  <c r="J37" i="10"/>
  <c r="J36" i="10"/>
  <c r="K35" i="10"/>
  <c r="J35" i="10"/>
  <c r="D43" i="14"/>
  <c r="Z186" i="21"/>
  <c r="D46" i="14"/>
  <c r="I36" i="10"/>
  <c r="Z437" i="21"/>
  <c r="Z481" i="21" s="1"/>
  <c r="Z224" i="21"/>
  <c r="Z150" i="21"/>
  <c r="Z343" i="21"/>
  <c r="Z342" i="21" s="1"/>
  <c r="Z251" i="21"/>
  <c r="AA342" i="21"/>
  <c r="Z11" i="21" l="1"/>
  <c r="AB268" i="21"/>
  <c r="AB264" i="21" s="1"/>
  <c r="AB479" i="21"/>
  <c r="AA268" i="21"/>
  <c r="AA264" i="21" s="1"/>
  <c r="AA479" i="21"/>
  <c r="Z436" i="21"/>
  <c r="Z435" i="21" s="1"/>
  <c r="D19" i="14"/>
  <c r="AB11" i="21"/>
  <c r="AB466" i="21" s="1"/>
  <c r="AA11" i="21"/>
  <c r="G23" i="20"/>
  <c r="G66" i="20" s="1"/>
  <c r="F23" i="20"/>
  <c r="F66" i="20" s="1"/>
  <c r="G15" i="20"/>
  <c r="G61" i="20" s="1"/>
  <c r="F15" i="20"/>
  <c r="AA466" i="21" l="1"/>
  <c r="Z466" i="21"/>
  <c r="Z474" i="21" s="1"/>
  <c r="F61" i="20"/>
  <c r="G70" i="20"/>
  <c r="G64" i="20"/>
  <c r="G69" i="20" s="1"/>
  <c r="AB474" i="21"/>
  <c r="E66" i="20"/>
  <c r="E69" i="20" s="1"/>
  <c r="F64" i="20"/>
  <c r="F69" i="20" s="1"/>
  <c r="F70" i="20"/>
  <c r="F64" i="14"/>
  <c r="E64" i="14"/>
  <c r="F63" i="14"/>
  <c r="E63" i="14"/>
  <c r="D63" i="14"/>
  <c r="F59" i="14"/>
  <c r="E59" i="14"/>
  <c r="D59" i="14"/>
  <c r="F56" i="14"/>
  <c r="E56" i="14"/>
  <c r="D56" i="14"/>
  <c r="F53" i="14"/>
  <c r="E53" i="14"/>
  <c r="D53" i="14"/>
  <c r="F52" i="14"/>
  <c r="E52" i="14"/>
  <c r="D52" i="14"/>
  <c r="F51" i="14"/>
  <c r="E51" i="14"/>
  <c r="D51" i="14"/>
  <c r="F49" i="14"/>
  <c r="E49" i="14"/>
  <c r="D49" i="14"/>
  <c r="F46" i="14"/>
  <c r="E46" i="14"/>
  <c r="F44" i="14"/>
  <c r="E44" i="14"/>
  <c r="D44" i="14"/>
  <c r="F43" i="14"/>
  <c r="E43" i="14"/>
  <c r="F41" i="14"/>
  <c r="E41" i="14"/>
  <c r="D41" i="14"/>
  <c r="F40" i="14"/>
  <c r="E40" i="14"/>
  <c r="D40" i="14"/>
  <c r="F35" i="14"/>
  <c r="E35" i="14"/>
  <c r="F34" i="14"/>
  <c r="E34" i="14"/>
  <c r="F33" i="14"/>
  <c r="E33" i="14"/>
  <c r="D33" i="14"/>
  <c r="F31" i="14"/>
  <c r="E31" i="14"/>
  <c r="F30" i="14"/>
  <c r="E30" i="14"/>
  <c r="F29" i="14"/>
  <c r="E29" i="14"/>
  <c r="D29" i="14"/>
  <c r="F28" i="14"/>
  <c r="E28" i="14"/>
  <c r="D28" i="14"/>
  <c r="F27" i="14"/>
  <c r="E27" i="14"/>
  <c r="D27" i="14"/>
  <c r="F23" i="14"/>
  <c r="E23" i="14"/>
  <c r="D23" i="14"/>
  <c r="F22" i="14"/>
  <c r="E22" i="14"/>
  <c r="D22" i="14"/>
  <c r="F19" i="14"/>
  <c r="E19" i="14"/>
  <c r="D18" i="14"/>
  <c r="F18" i="14"/>
  <c r="E18" i="14"/>
  <c r="F17" i="14"/>
  <c r="E17" i="14"/>
  <c r="D17" i="14"/>
  <c r="W47" i="12"/>
  <c r="W46" i="12" s="1"/>
  <c r="V47" i="12"/>
  <c r="V46" i="12" s="1"/>
  <c r="U47" i="12"/>
  <c r="U46" i="12" s="1"/>
  <c r="AA474" i="21" l="1"/>
  <c r="E50" i="14"/>
  <c r="F50" i="14"/>
  <c r="D50" i="14"/>
  <c r="E39" i="14"/>
  <c r="F39" i="14"/>
  <c r="D39" i="14"/>
  <c r="D20" i="14"/>
  <c r="E20" i="14"/>
  <c r="F20" i="14"/>
  <c r="W257" i="12"/>
  <c r="W256" i="12" s="1"/>
  <c r="V257" i="12"/>
  <c r="V256" i="12" s="1"/>
  <c r="U257" i="12"/>
  <c r="U256" i="12" s="1"/>
  <c r="W293" i="12"/>
  <c r="V293" i="12"/>
  <c r="U293" i="12"/>
  <c r="W294" i="12"/>
  <c r="V294" i="12"/>
  <c r="U294" i="12"/>
  <c r="W122" i="12"/>
  <c r="W121" i="12" s="1"/>
  <c r="V122" i="12"/>
  <c r="V121" i="12" s="1"/>
  <c r="U122" i="12"/>
  <c r="U121" i="12" s="1"/>
  <c r="W120" i="12"/>
  <c r="W119" i="12" s="1"/>
  <c r="V120" i="12"/>
  <c r="V119" i="12" s="1"/>
  <c r="U120" i="12"/>
  <c r="U119" i="12" s="1"/>
  <c r="W362" i="12"/>
  <c r="W361" i="12" s="1"/>
  <c r="V362" i="12"/>
  <c r="V361" i="12" s="1"/>
  <c r="U362" i="12"/>
  <c r="U361" i="12" s="1"/>
  <c r="W360" i="12"/>
  <c r="W359" i="12" s="1"/>
  <c r="V360" i="12"/>
  <c r="V359" i="12" s="1"/>
  <c r="U360" i="12"/>
  <c r="U359" i="12" s="1"/>
  <c r="W390" i="12"/>
  <c r="W389" i="12" s="1"/>
  <c r="W388" i="12" s="1"/>
  <c r="W387" i="12" s="1"/>
  <c r="V390" i="12"/>
  <c r="V389" i="12" s="1"/>
  <c r="V388" i="12" s="1"/>
  <c r="V387" i="12" s="1"/>
  <c r="U390" i="12"/>
  <c r="U389" i="12" s="1"/>
  <c r="U388" i="12" s="1"/>
  <c r="U387" i="12" s="1"/>
  <c r="W386" i="12"/>
  <c r="W385" i="12" s="1"/>
  <c r="V386" i="12"/>
  <c r="V385" i="12" s="1"/>
  <c r="U386" i="12"/>
  <c r="U385" i="12" s="1"/>
  <c r="W384" i="12"/>
  <c r="W383" i="12" s="1"/>
  <c r="V384" i="12"/>
  <c r="V383" i="12" s="1"/>
  <c r="U384" i="12"/>
  <c r="U383" i="12" s="1"/>
  <c r="W382" i="12"/>
  <c r="W381" i="12" s="1"/>
  <c r="V382" i="12"/>
  <c r="V381" i="12" s="1"/>
  <c r="U382" i="12"/>
  <c r="U381" i="12" s="1"/>
  <c r="W379" i="12"/>
  <c r="W378" i="12" s="1"/>
  <c r="V379" i="12"/>
  <c r="V378" i="12" s="1"/>
  <c r="U379" i="12"/>
  <c r="U378" i="12" s="1"/>
  <c r="V380" i="12" l="1"/>
  <c r="W380" i="12"/>
  <c r="U292" i="12"/>
  <c r="U380" i="12"/>
  <c r="W365" i="12"/>
  <c r="V365" i="12"/>
  <c r="U365" i="12"/>
  <c r="W366" i="12"/>
  <c r="V366" i="12"/>
  <c r="U366" i="12"/>
  <c r="W358" i="12"/>
  <c r="W356" i="12" s="1"/>
  <c r="V358" i="12"/>
  <c r="V356" i="12" s="1"/>
  <c r="U358" i="12"/>
  <c r="U356" i="12" s="1"/>
  <c r="W355" i="12"/>
  <c r="W354" i="12" s="1"/>
  <c r="V355" i="12"/>
  <c r="V354" i="12" s="1"/>
  <c r="U355" i="12"/>
  <c r="U354" i="12" s="1"/>
  <c r="W353" i="12"/>
  <c r="W351" i="12" s="1"/>
  <c r="V353" i="12"/>
  <c r="V351" i="12" s="1"/>
  <c r="U353" i="12"/>
  <c r="U351" i="12" s="1"/>
  <c r="W349" i="12"/>
  <c r="W348" i="12" s="1"/>
  <c r="V349" i="12"/>
  <c r="V348" i="12" s="1"/>
  <c r="U349" i="12"/>
  <c r="U348" i="12" s="1"/>
  <c r="W344" i="12"/>
  <c r="W343" i="12" s="1"/>
  <c r="V344" i="12"/>
  <c r="V343" i="12" s="1"/>
  <c r="U344" i="12"/>
  <c r="U343" i="12" s="1"/>
  <c r="W342" i="12"/>
  <c r="W341" i="12" s="1"/>
  <c r="V342" i="12"/>
  <c r="V341" i="12" s="1"/>
  <c r="U342" i="12"/>
  <c r="U341" i="12" s="1"/>
  <c r="W336" i="12"/>
  <c r="W335" i="12" s="1"/>
  <c r="V336" i="12"/>
  <c r="V335" i="12" s="1"/>
  <c r="U336" i="12"/>
  <c r="U335" i="12" s="1"/>
  <c r="W333" i="12"/>
  <c r="W331" i="12" s="1"/>
  <c r="V333" i="12"/>
  <c r="V331" i="12" s="1"/>
  <c r="U333" i="12"/>
  <c r="U331" i="12" s="1"/>
  <c r="W330" i="12"/>
  <c r="W329" i="12" s="1"/>
  <c r="V330" i="12"/>
  <c r="V329" i="12" s="1"/>
  <c r="U330" i="12"/>
  <c r="U329" i="12" s="1"/>
  <c r="W319" i="12"/>
  <c r="W318" i="12" s="1"/>
  <c r="V319" i="12"/>
  <c r="V318" i="12" s="1"/>
  <c r="U319" i="12"/>
  <c r="U318" i="12" s="1"/>
  <c r="W315" i="12"/>
  <c r="W314" i="12" s="1"/>
  <c r="V315" i="12"/>
  <c r="V314" i="12" s="1"/>
  <c r="U315" i="12"/>
  <c r="U314" i="12" s="1"/>
  <c r="W313" i="12"/>
  <c r="W312" i="12" s="1"/>
  <c r="V313" i="12"/>
  <c r="V312" i="12" s="1"/>
  <c r="U313" i="12"/>
  <c r="U312" i="12" s="1"/>
  <c r="W311" i="12"/>
  <c r="W310" i="12" s="1"/>
  <c r="V311" i="12"/>
  <c r="V310" i="12" s="1"/>
  <c r="U311" i="12"/>
  <c r="U310" i="12" s="1"/>
  <c r="W309" i="12"/>
  <c r="W308" i="12" s="1"/>
  <c r="V309" i="12"/>
  <c r="V308" i="12" s="1"/>
  <c r="U309" i="12"/>
  <c r="U308" i="12" s="1"/>
  <c r="W307" i="12"/>
  <c r="W306" i="12" s="1"/>
  <c r="V307" i="12"/>
  <c r="V306" i="12" s="1"/>
  <c r="U307" i="12"/>
  <c r="U306" i="12" s="1"/>
  <c r="W305" i="12"/>
  <c r="W304" i="12" s="1"/>
  <c r="V305" i="12"/>
  <c r="V304" i="12" s="1"/>
  <c r="U305" i="12"/>
  <c r="U304" i="12" s="1"/>
  <c r="W301" i="12"/>
  <c r="W300" i="12" s="1"/>
  <c r="V301" i="12"/>
  <c r="V300" i="12" s="1"/>
  <c r="U301" i="12"/>
  <c r="U300" i="12" s="1"/>
  <c r="W297" i="12"/>
  <c r="V297" i="12"/>
  <c r="U297" i="12"/>
  <c r="W298" i="12"/>
  <c r="V298" i="12"/>
  <c r="U298" i="12"/>
  <c r="W299" i="12"/>
  <c r="V299" i="12"/>
  <c r="U299" i="12"/>
  <c r="V328" i="12" l="1"/>
  <c r="W328" i="12"/>
  <c r="U363" i="12"/>
  <c r="W363" i="12"/>
  <c r="W350" i="12" s="1"/>
  <c r="U328" i="12"/>
  <c r="V363" i="12"/>
  <c r="V350" i="12" s="1"/>
  <c r="U296" i="12"/>
  <c r="V296" i="12"/>
  <c r="W296" i="12"/>
  <c r="W292" i="12"/>
  <c r="V292" i="12"/>
  <c r="W290" i="12"/>
  <c r="U290" i="12"/>
  <c r="W291" i="12"/>
  <c r="U350" i="12" l="1"/>
  <c r="W289" i="12"/>
  <c r="W288" i="12" s="1"/>
  <c r="W280" i="12"/>
  <c r="W278" i="12" s="1"/>
  <c r="V280" i="12"/>
  <c r="V278" i="12" s="1"/>
  <c r="U280" i="12"/>
  <c r="U278" i="12" s="1"/>
  <c r="W277" i="12"/>
  <c r="W276" i="12" s="1"/>
  <c r="V277" i="12"/>
  <c r="V276" i="12" s="1"/>
  <c r="U277" i="12"/>
  <c r="U276" i="12" s="1"/>
  <c r="W273" i="12"/>
  <c r="W272" i="12" s="1"/>
  <c r="V273" i="12"/>
  <c r="V272" i="12" s="1"/>
  <c r="U273" i="12"/>
  <c r="U272" i="12" s="1"/>
  <c r="W271" i="12"/>
  <c r="W270" i="12" s="1"/>
  <c r="V271" i="12"/>
  <c r="V270" i="12" s="1"/>
  <c r="U271" i="12"/>
  <c r="U270" i="12" s="1"/>
  <c r="W269" i="12"/>
  <c r="W268" i="12" s="1"/>
  <c r="V269" i="12"/>
  <c r="V268" i="12" s="1"/>
  <c r="U269" i="12"/>
  <c r="U268" i="12" s="1"/>
  <c r="W267" i="12"/>
  <c r="W266" i="12" s="1"/>
  <c r="V267" i="12"/>
  <c r="V266" i="12" s="1"/>
  <c r="U267" i="12"/>
  <c r="U266" i="12" s="1"/>
  <c r="W243" i="12"/>
  <c r="V243" i="12"/>
  <c r="U243" i="12"/>
  <c r="W239" i="12"/>
  <c r="V239" i="12"/>
  <c r="U239" i="12"/>
  <c r="W261" i="12"/>
  <c r="W260" i="12" s="1"/>
  <c r="V261" i="12"/>
  <c r="V260" i="12" s="1"/>
  <c r="U261" i="12"/>
  <c r="U260" i="12" s="1"/>
  <c r="W259" i="12"/>
  <c r="W258" i="12" s="1"/>
  <c r="V259" i="12"/>
  <c r="V258" i="12" s="1"/>
  <c r="U259" i="12"/>
  <c r="U258" i="12" s="1"/>
  <c r="W255" i="12"/>
  <c r="W254" i="12" s="1"/>
  <c r="V255" i="12"/>
  <c r="V254" i="12" s="1"/>
  <c r="U255" i="12"/>
  <c r="U254" i="12" s="1"/>
  <c r="W253" i="12"/>
  <c r="W252" i="12" s="1"/>
  <c r="V253" i="12"/>
  <c r="V252" i="12" s="1"/>
  <c r="U253" i="12"/>
  <c r="U252" i="12" s="1"/>
  <c r="W251" i="12"/>
  <c r="W250" i="12" s="1"/>
  <c r="V251" i="12"/>
  <c r="V250" i="12" s="1"/>
  <c r="U251" i="12"/>
  <c r="U250" i="12" s="1"/>
  <c r="U229" i="12" s="1"/>
  <c r="W247" i="12"/>
  <c r="W246" i="12" s="1"/>
  <c r="V247" i="12"/>
  <c r="V246" i="12" s="1"/>
  <c r="U247" i="12"/>
  <c r="U246" i="12" s="1"/>
  <c r="W265" i="12" l="1"/>
  <c r="V265" i="12"/>
  <c r="U265" i="12"/>
  <c r="W245" i="12"/>
  <c r="W244" i="12" s="1"/>
  <c r="V245" i="12"/>
  <c r="V244" i="12" s="1"/>
  <c r="U245" i="12"/>
  <c r="U244" i="12" s="1"/>
  <c r="W242" i="12"/>
  <c r="V242" i="12"/>
  <c r="U242" i="12"/>
  <c r="W241" i="12"/>
  <c r="W240" i="12" s="1"/>
  <c r="V241" i="12"/>
  <c r="V240" i="12" s="1"/>
  <c r="U241" i="12"/>
  <c r="U240" i="12" s="1"/>
  <c r="W238" i="12"/>
  <c r="V238" i="12"/>
  <c r="U238" i="12"/>
  <c r="W237" i="12"/>
  <c r="W236" i="12" s="1"/>
  <c r="V237" i="12"/>
  <c r="V236" i="12" s="1"/>
  <c r="U237" i="12"/>
  <c r="U236" i="12" s="1"/>
  <c r="W235" i="12"/>
  <c r="W234" i="12" s="1"/>
  <c r="V235" i="12"/>
  <c r="V234" i="12" s="1"/>
  <c r="U235" i="12"/>
  <c r="U234" i="12" s="1"/>
  <c r="W231" i="12"/>
  <c r="W230" i="12" s="1"/>
  <c r="V231" i="12"/>
  <c r="V230" i="12" s="1"/>
  <c r="U231" i="12"/>
  <c r="U230" i="12" s="1"/>
  <c r="V229" i="12" l="1"/>
  <c r="W229" i="12"/>
  <c r="W228" i="12"/>
  <c r="W227" i="12" s="1"/>
  <c r="V228" i="12"/>
  <c r="V227" i="12" s="1"/>
  <c r="U228" i="12"/>
  <c r="U227" i="12" s="1"/>
  <c r="W226" i="12"/>
  <c r="W225" i="12" s="1"/>
  <c r="V226" i="12"/>
  <c r="V225" i="12" s="1"/>
  <c r="U226" i="12"/>
  <c r="U225" i="12" s="1"/>
  <c r="W224" i="12"/>
  <c r="W223" i="12" s="1"/>
  <c r="V224" i="12"/>
  <c r="V223" i="12" s="1"/>
  <c r="U224" i="12"/>
  <c r="U223" i="12" s="1"/>
  <c r="W222" i="12"/>
  <c r="W221" i="12" s="1"/>
  <c r="V222" i="12"/>
  <c r="V221" i="12" s="1"/>
  <c r="U222" i="12"/>
  <c r="U221" i="12" s="1"/>
  <c r="W218" i="12"/>
  <c r="W217" i="12" s="1"/>
  <c r="V218" i="12"/>
  <c r="V217" i="12" s="1"/>
  <c r="U218" i="12"/>
  <c r="U217" i="12" s="1"/>
  <c r="V216" i="12" l="1"/>
  <c r="W216" i="12"/>
  <c r="W215" i="12" s="1"/>
  <c r="U216" i="12"/>
  <c r="W214" i="12"/>
  <c r="W213" i="12" s="1"/>
  <c r="V214" i="12"/>
  <c r="V213" i="12" s="1"/>
  <c r="U214" i="12"/>
  <c r="U213" i="12" s="1"/>
  <c r="W210" i="12"/>
  <c r="W209" i="12" s="1"/>
  <c r="V210" i="12"/>
  <c r="V209" i="12" s="1"/>
  <c r="U209" i="12"/>
  <c r="W208" i="12"/>
  <c r="W207" i="12" s="1"/>
  <c r="V208" i="12"/>
  <c r="V207" i="12" s="1"/>
  <c r="U208" i="12"/>
  <c r="U207" i="12" s="1"/>
  <c r="W206" i="12"/>
  <c r="W205" i="12" s="1"/>
  <c r="V206" i="12"/>
  <c r="V205" i="12" s="1"/>
  <c r="U206" i="12"/>
  <c r="U205" i="12" s="1"/>
  <c r="W204" i="12"/>
  <c r="W203" i="12" s="1"/>
  <c r="W192" i="12" s="1"/>
  <c r="V204" i="12"/>
  <c r="V203" i="12" s="1"/>
  <c r="U204" i="12"/>
  <c r="U203" i="12" s="1"/>
  <c r="W200" i="12"/>
  <c r="W199" i="12" s="1"/>
  <c r="V200" i="12"/>
  <c r="V199" i="12" s="1"/>
  <c r="U200" i="12"/>
  <c r="U199" i="12" s="1"/>
  <c r="W198" i="12"/>
  <c r="W197" i="12" s="1"/>
  <c r="V198" i="12"/>
  <c r="V197" i="12" s="1"/>
  <c r="U198" i="12"/>
  <c r="U197" i="12" s="1"/>
  <c r="W194" i="12"/>
  <c r="W193" i="12" s="1"/>
  <c r="V194" i="12"/>
  <c r="V193" i="12" s="1"/>
  <c r="U194" i="12"/>
  <c r="U193" i="12" s="1"/>
  <c r="W191" i="12"/>
  <c r="W190" i="12" s="1"/>
  <c r="V191" i="12"/>
  <c r="V190" i="12" s="1"/>
  <c r="U191" i="12"/>
  <c r="U190" i="12" s="1"/>
  <c r="W178" i="12"/>
  <c r="W177" i="12" s="1"/>
  <c r="V178" i="12"/>
  <c r="V177" i="12" s="1"/>
  <c r="U178" i="12"/>
  <c r="U177" i="12" s="1"/>
  <c r="W182" i="12"/>
  <c r="W181" i="12" s="1"/>
  <c r="V182" i="12"/>
  <c r="V181" i="12" s="1"/>
  <c r="U182" i="12"/>
  <c r="U181" i="12" s="1"/>
  <c r="W176" i="12"/>
  <c r="W175" i="12" s="1"/>
  <c r="V176" i="12"/>
  <c r="V175" i="12" s="1"/>
  <c r="U176" i="12"/>
  <c r="U175" i="12" s="1"/>
  <c r="W168" i="12"/>
  <c r="W167" i="12" s="1"/>
  <c r="V168" i="12"/>
  <c r="V167" i="12" s="1"/>
  <c r="U168" i="12"/>
  <c r="U167" i="12" s="1"/>
  <c r="W166" i="12"/>
  <c r="W165" i="12" s="1"/>
  <c r="V166" i="12"/>
  <c r="V165" i="12" s="1"/>
  <c r="U166" i="12"/>
  <c r="U165" i="12" s="1"/>
  <c r="V192" i="12" l="1"/>
  <c r="V172" i="12"/>
  <c r="W172" i="12"/>
  <c r="U192" i="12"/>
  <c r="U172" i="12"/>
  <c r="W164" i="12"/>
  <c r="W163" i="12" s="1"/>
  <c r="W160" i="12" s="1"/>
  <c r="V164" i="12"/>
  <c r="V163" i="12" s="1"/>
  <c r="V160" i="12" s="1"/>
  <c r="U164" i="12"/>
  <c r="U163" i="12" s="1"/>
  <c r="U160" i="12" s="1"/>
  <c r="W155" i="12"/>
  <c r="W154" i="12" s="1"/>
  <c r="V155" i="12"/>
  <c r="V154" i="12" s="1"/>
  <c r="U155" i="12"/>
  <c r="U154" i="12" s="1"/>
  <c r="W153" i="12"/>
  <c r="W152" i="12" s="1"/>
  <c r="V153" i="12"/>
  <c r="V152" i="12" s="1"/>
  <c r="U153" i="12"/>
  <c r="U152" i="12" s="1"/>
  <c r="V151" i="12" l="1"/>
  <c r="W151" i="12"/>
  <c r="U151" i="12"/>
  <c r="W148" i="12"/>
  <c r="W147" i="12" s="1"/>
  <c r="V148" i="12"/>
  <c r="V147" i="12" s="1"/>
  <c r="U148" i="12"/>
  <c r="U147" i="12" s="1"/>
  <c r="W146" i="12"/>
  <c r="W145" i="12" s="1"/>
  <c r="V146" i="12"/>
  <c r="V145" i="12" s="1"/>
  <c r="U146" i="12"/>
  <c r="U145" i="12" s="1"/>
  <c r="W142" i="12"/>
  <c r="W141" i="12" s="1"/>
  <c r="V142" i="12"/>
  <c r="V141" i="12" s="1"/>
  <c r="U142" i="12"/>
  <c r="U141" i="12" s="1"/>
  <c r="W140" i="12"/>
  <c r="W139" i="12" s="1"/>
  <c r="V140" i="12"/>
  <c r="V139" i="12" s="1"/>
  <c r="U140" i="12"/>
  <c r="U139" i="12" s="1"/>
  <c r="W138" i="12"/>
  <c r="W137" i="12" s="1"/>
  <c r="V138" i="12"/>
  <c r="V137" i="12" s="1"/>
  <c r="U138" i="12"/>
  <c r="U137" i="12" s="1"/>
  <c r="W136" i="12"/>
  <c r="W135" i="12" s="1"/>
  <c r="V136" i="12"/>
  <c r="V135" i="12" s="1"/>
  <c r="U136" i="12"/>
  <c r="U135" i="12" s="1"/>
  <c r="W132" i="12"/>
  <c r="W131" i="12" s="1"/>
  <c r="V132" i="12"/>
  <c r="V131" i="12" s="1"/>
  <c r="U132" i="12"/>
  <c r="U131" i="12" s="1"/>
  <c r="W130" i="12"/>
  <c r="W129" i="12" s="1"/>
  <c r="V130" i="12"/>
  <c r="V129" i="12" s="1"/>
  <c r="U130" i="12"/>
  <c r="U129" i="12" s="1"/>
  <c r="W125" i="12"/>
  <c r="W124" i="12" s="1"/>
  <c r="V125" i="12"/>
  <c r="V124" i="12" s="1"/>
  <c r="U125" i="12"/>
  <c r="U124" i="12" s="1"/>
  <c r="W118" i="12"/>
  <c r="W117" i="12" s="1"/>
  <c r="V118" i="12"/>
  <c r="V117" i="12" s="1"/>
  <c r="U118" i="12"/>
  <c r="U117" i="12" s="1"/>
  <c r="W116" i="12"/>
  <c r="W115" i="12" s="1"/>
  <c r="V116" i="12"/>
  <c r="V115" i="12" s="1"/>
  <c r="U116" i="12"/>
  <c r="U115" i="12" s="1"/>
  <c r="W114" i="12"/>
  <c r="W113" i="12" s="1"/>
  <c r="V114" i="12"/>
  <c r="V113" i="12" s="1"/>
  <c r="U114" i="12"/>
  <c r="U113" i="12" s="1"/>
  <c r="W108" i="12"/>
  <c r="W107" i="12" s="1"/>
  <c r="V108" i="12"/>
  <c r="V107" i="12" s="1"/>
  <c r="U108" i="12"/>
  <c r="U107" i="12" s="1"/>
  <c r="W106" i="12"/>
  <c r="W105" i="12" s="1"/>
  <c r="V106" i="12"/>
  <c r="V105" i="12" s="1"/>
  <c r="U106" i="12"/>
  <c r="U105" i="12" s="1"/>
  <c r="W104" i="12"/>
  <c r="W103" i="12" s="1"/>
  <c r="V104" i="12"/>
  <c r="V103" i="12" s="1"/>
  <c r="U104" i="12"/>
  <c r="U103" i="12" s="1"/>
  <c r="W102" i="12"/>
  <c r="W101" i="12" s="1"/>
  <c r="V102" i="12"/>
  <c r="V101" i="12" s="1"/>
  <c r="U102" i="12"/>
  <c r="U101" i="12" s="1"/>
  <c r="W87" i="12"/>
  <c r="W86" i="12" s="1"/>
  <c r="V87" i="12"/>
  <c r="V86" i="12" s="1"/>
  <c r="U87" i="12"/>
  <c r="U86" i="12" s="1"/>
  <c r="W89" i="12"/>
  <c r="W88" i="12" s="1"/>
  <c r="V89" i="12"/>
  <c r="V88" i="12" s="1"/>
  <c r="U89" i="12"/>
  <c r="U88" i="12" s="1"/>
  <c r="W77" i="12"/>
  <c r="V77" i="12"/>
  <c r="U77" i="12"/>
  <c r="W76" i="12"/>
  <c r="V76" i="12"/>
  <c r="U76" i="12"/>
  <c r="W81" i="12"/>
  <c r="W80" i="12" s="1"/>
  <c r="V81" i="12"/>
  <c r="V80" i="12" s="1"/>
  <c r="U81" i="12"/>
  <c r="U80" i="12" s="1"/>
  <c r="W62" i="12"/>
  <c r="W61" i="12" s="1"/>
  <c r="V62" i="12"/>
  <c r="V61" i="12" s="1"/>
  <c r="U62" i="12"/>
  <c r="U61" i="12" s="1"/>
  <c r="W53" i="12"/>
  <c r="W52" i="12" s="1"/>
  <c r="V53" i="12"/>
  <c r="V52" i="12" s="1"/>
  <c r="U53" i="12"/>
  <c r="U52" i="12" s="1"/>
  <c r="V100" i="12" l="1"/>
  <c r="W100" i="12"/>
  <c r="U128" i="12"/>
  <c r="U100" i="12"/>
  <c r="W128" i="12"/>
  <c r="V128" i="12"/>
  <c r="U75" i="12"/>
  <c r="V75" i="12"/>
  <c r="W75" i="12"/>
  <c r="W50" i="12"/>
  <c r="W49" i="12" s="1"/>
  <c r="W48" i="12" s="1"/>
  <c r="V50" i="12"/>
  <c r="V49" i="12" s="1"/>
  <c r="V48" i="12" s="1"/>
  <c r="U50" i="12"/>
  <c r="U49" i="12" s="1"/>
  <c r="U48" i="12" s="1"/>
  <c r="W43" i="12" l="1"/>
  <c r="W42" i="12" s="1"/>
  <c r="V43" i="12"/>
  <c r="V42" i="12" s="1"/>
  <c r="U43" i="12"/>
  <c r="U42" i="12" s="1"/>
  <c r="W41" i="12"/>
  <c r="V41" i="12"/>
  <c r="W34" i="12"/>
  <c r="V34" i="12"/>
  <c r="U34" i="12"/>
  <c r="W32" i="12"/>
  <c r="V32" i="12"/>
  <c r="U32" i="12"/>
  <c r="W33" i="12"/>
  <c r="V33" i="12"/>
  <c r="U33" i="12"/>
  <c r="W24" i="12"/>
  <c r="W23" i="12" s="1"/>
  <c r="V24" i="12"/>
  <c r="V23" i="12" s="1"/>
  <c r="U24" i="12"/>
  <c r="U23" i="12" s="1"/>
  <c r="W21" i="12"/>
  <c r="V21" i="12"/>
  <c r="U21" i="12"/>
  <c r="V17" i="12"/>
  <c r="V16" i="12" s="1"/>
  <c r="U17" i="12"/>
  <c r="U16" i="12" s="1"/>
  <c r="V391" i="12" l="1"/>
  <c r="W391" i="12"/>
  <c r="U31" i="12"/>
  <c r="V31" i="12"/>
  <c r="W31" i="12"/>
  <c r="I40" i="10" l="1"/>
  <c r="U41" i="12"/>
  <c r="W40" i="12"/>
  <c r="V40" i="12"/>
  <c r="U40" i="12"/>
  <c r="W39" i="12"/>
  <c r="V39" i="12"/>
  <c r="U39" i="12"/>
  <c r="I14" i="10"/>
  <c r="W20" i="12"/>
  <c r="V20" i="12"/>
  <c r="W38" i="12" l="1"/>
  <c r="U38" i="12"/>
  <c r="V38" i="12"/>
  <c r="I26" i="10"/>
  <c r="I48" i="10"/>
  <c r="I37" i="10" l="1"/>
  <c r="W59" i="12"/>
  <c r="V59" i="12"/>
  <c r="U59" i="12"/>
  <c r="I16" i="10" l="1"/>
  <c r="W57" i="12"/>
  <c r="V57" i="12"/>
  <c r="U57" i="12"/>
  <c r="W56" i="12"/>
  <c r="V56" i="12"/>
  <c r="U56" i="12"/>
  <c r="W55" i="12"/>
  <c r="V55" i="12"/>
  <c r="U55" i="12"/>
  <c r="I27" i="10"/>
  <c r="I53" i="10"/>
  <c r="W54" i="12" l="1"/>
  <c r="W347" i="12"/>
  <c r="V377" i="12"/>
  <c r="V376" i="12" s="1"/>
  <c r="V375" i="12" s="1"/>
  <c r="V374" i="12" s="1"/>
  <c r="V60" i="12"/>
  <c r="V58" i="12" s="1"/>
  <c r="U321" i="12"/>
  <c r="U320" i="12" s="1"/>
  <c r="W377" i="12"/>
  <c r="W376" i="12" s="1"/>
  <c r="W375" i="12" s="1"/>
  <c r="W374" i="12" s="1"/>
  <c r="W60" i="12"/>
  <c r="W58" i="12" s="1"/>
  <c r="V321" i="12"/>
  <c r="V320" i="12" s="1"/>
  <c r="V303" i="12" s="1"/>
  <c r="V302" i="12" s="1"/>
  <c r="U347" i="12"/>
  <c r="U54" i="12"/>
  <c r="I39" i="10"/>
  <c r="I45" i="10"/>
  <c r="W321" i="12"/>
  <c r="W320" i="12" s="1"/>
  <c r="W303" i="12" s="1"/>
  <c r="W302" i="12" s="1"/>
  <c r="V347" i="12"/>
  <c r="I33" i="10"/>
  <c r="U377" i="12"/>
  <c r="U376" i="12" s="1"/>
  <c r="U375" i="12" s="1"/>
  <c r="U374" i="12" s="1"/>
  <c r="V54" i="12"/>
  <c r="U60" i="12"/>
  <c r="U58" i="12" s="1"/>
  <c r="V51" i="12" l="1"/>
  <c r="W51" i="12"/>
  <c r="U51" i="12"/>
  <c r="U303" i="12"/>
  <c r="U302" i="12" s="1"/>
  <c r="V345" i="12"/>
  <c r="V334" i="12" s="1"/>
  <c r="V327" i="12" s="1"/>
  <c r="W345" i="12"/>
  <c r="W334" i="12" s="1"/>
  <c r="W327" i="12" s="1"/>
  <c r="U345" i="12"/>
  <c r="W185" i="12"/>
  <c r="W184" i="12" s="1"/>
  <c r="V185" i="12"/>
  <c r="V184" i="12" s="1"/>
  <c r="U185" i="12"/>
  <c r="U184" i="12" s="1"/>
  <c r="U334" i="12" l="1"/>
  <c r="U327" i="12" s="1"/>
  <c r="J26" i="10"/>
  <c r="V187" i="12"/>
  <c r="V186" i="12" s="1"/>
  <c r="V183" i="12" s="1"/>
  <c r="U187" i="12"/>
  <c r="U186" i="12" s="1"/>
  <c r="W187" i="12"/>
  <c r="W186" i="12" s="1"/>
  <c r="K26" i="10"/>
  <c r="W183" i="12" l="1"/>
  <c r="W171" i="12" s="1"/>
  <c r="V171" i="12"/>
  <c r="U183" i="12"/>
  <c r="U171" i="12" s="1"/>
  <c r="V127" i="12"/>
  <c r="V126" i="12" s="1"/>
  <c r="V123" i="12" s="1"/>
  <c r="V99" i="12" s="1"/>
  <c r="F16" i="14" l="1"/>
  <c r="W45" i="12"/>
  <c r="W44" i="12" s="1"/>
  <c r="W37" i="12" s="1"/>
  <c r="W127" i="12"/>
  <c r="W126" i="12" s="1"/>
  <c r="W123" i="12" s="1"/>
  <c r="W99" i="12" s="1"/>
  <c r="D16" i="14"/>
  <c r="U45" i="12"/>
  <c r="U44" i="12" s="1"/>
  <c r="U37" i="12" s="1"/>
  <c r="E16" i="14"/>
  <c r="V45" i="12"/>
  <c r="V44" i="12" s="1"/>
  <c r="V37" i="12" s="1"/>
  <c r="U127" i="12"/>
  <c r="U126" i="12" s="1"/>
  <c r="U123" i="12" s="1"/>
  <c r="U99" i="12" s="1"/>
  <c r="W98" i="12"/>
  <c r="W97" i="12" s="1"/>
  <c r="W96" i="12" s="1"/>
  <c r="V98" i="12"/>
  <c r="V97" i="12" s="1"/>
  <c r="V96" i="12" s="1"/>
  <c r="U98" i="12"/>
  <c r="U97" i="12" s="1"/>
  <c r="U96" i="12" s="1"/>
  <c r="V93" i="12" l="1"/>
  <c r="V92" i="12" s="1"/>
  <c r="W95" i="12"/>
  <c r="W94" i="12" s="1"/>
  <c r="U95" i="12"/>
  <c r="U94" i="12" s="1"/>
  <c r="J42" i="10"/>
  <c r="K42" i="10"/>
  <c r="W93" i="12"/>
  <c r="W92" i="12" s="1"/>
  <c r="U93" i="12"/>
  <c r="U92" i="12" s="1"/>
  <c r="V95" i="12"/>
  <c r="V94" i="12" s="1"/>
  <c r="W28" i="12"/>
  <c r="V28" i="12"/>
  <c r="U28" i="12"/>
  <c r="W27" i="12"/>
  <c r="V27" i="12"/>
  <c r="U27" i="12"/>
  <c r="W26" i="12"/>
  <c r="V26" i="12"/>
  <c r="U26" i="12"/>
  <c r="K19" i="10"/>
  <c r="J19" i="10"/>
  <c r="I18" i="10"/>
  <c r="I19" i="10" s="1"/>
  <c r="U85" i="12" l="1"/>
  <c r="U84" i="12" s="1"/>
  <c r="W85" i="12"/>
  <c r="W84" i="12" s="1"/>
  <c r="V85" i="12"/>
  <c r="V84" i="12" s="1"/>
  <c r="V25" i="12"/>
  <c r="V22" i="12" s="1"/>
  <c r="W25" i="12"/>
  <c r="W22" i="12" s="1"/>
  <c r="U25" i="12"/>
  <c r="U22" i="12" s="1"/>
  <c r="U20" i="12"/>
  <c r="U19" i="12"/>
  <c r="U18" i="12" l="1"/>
  <c r="E12" i="14"/>
  <c r="V14" i="12"/>
  <c r="V13" i="12" s="1"/>
  <c r="V12" i="12" s="1"/>
  <c r="W14" i="12"/>
  <c r="W13" i="12" s="1"/>
  <c r="W12" i="12" s="1"/>
  <c r="V19" i="12"/>
  <c r="V18" i="12" s="1"/>
  <c r="V15" i="12" s="1"/>
  <c r="W19" i="12"/>
  <c r="W18" i="12" s="1"/>
  <c r="U14" i="12"/>
  <c r="U13" i="12" s="1"/>
  <c r="U12" i="12" s="1"/>
  <c r="W17" i="12"/>
  <c r="W16" i="12" s="1"/>
  <c r="F12" i="14"/>
  <c r="D12" i="14"/>
  <c r="E14" i="14"/>
  <c r="D14" i="14"/>
  <c r="F14" i="14"/>
  <c r="F13" i="14"/>
  <c r="D21" i="16"/>
  <c r="C21" i="16"/>
  <c r="B21" i="16"/>
  <c r="D20" i="16"/>
  <c r="D19" i="16" s="1"/>
  <c r="C20" i="16"/>
  <c r="B20" i="16"/>
  <c r="D18" i="16"/>
  <c r="C18" i="16"/>
  <c r="B18" i="16"/>
  <c r="D17" i="16"/>
  <c r="D16" i="16" s="1"/>
  <c r="C17" i="16"/>
  <c r="B17" i="16"/>
  <c r="B16" i="16" s="1"/>
  <c r="D15" i="16"/>
  <c r="C15" i="16"/>
  <c r="B15" i="16"/>
  <c r="D14" i="16"/>
  <c r="D13" i="16" s="1"/>
  <c r="C14" i="16"/>
  <c r="C13" i="16" s="1"/>
  <c r="B14" i="16"/>
  <c r="B13" i="16" s="1"/>
  <c r="D64" i="14"/>
  <c r="F62" i="14"/>
  <c r="E62" i="14"/>
  <c r="D62" i="14"/>
  <c r="F47" i="14"/>
  <c r="E47" i="14"/>
  <c r="D47" i="14"/>
  <c r="F45" i="14"/>
  <c r="E45" i="14"/>
  <c r="D45" i="14"/>
  <c r="F37" i="14"/>
  <c r="E37" i="14"/>
  <c r="D37" i="14"/>
  <c r="F32" i="14"/>
  <c r="E32" i="14"/>
  <c r="D32" i="14"/>
  <c r="F25" i="14"/>
  <c r="E25" i="14"/>
  <c r="D25" i="14"/>
  <c r="H53" i="10"/>
  <c r="G53" i="10"/>
  <c r="F53" i="10"/>
  <c r="K53" i="10"/>
  <c r="J53" i="10"/>
  <c r="H50" i="10"/>
  <c r="G50" i="10"/>
  <c r="F50" i="10"/>
  <c r="H46" i="10"/>
  <c r="G46" i="10"/>
  <c r="F46" i="10"/>
  <c r="H42" i="10"/>
  <c r="G42" i="10"/>
  <c r="F42" i="10"/>
  <c r="H38" i="10"/>
  <c r="G38" i="10"/>
  <c r="F38" i="10"/>
  <c r="H34" i="10"/>
  <c r="G34" i="10"/>
  <c r="F34" i="10"/>
  <c r="K34" i="10"/>
  <c r="J34" i="10"/>
  <c r="I34" i="10"/>
  <c r="H32" i="10"/>
  <c r="G32" i="10"/>
  <c r="F32" i="10"/>
  <c r="K32" i="10"/>
  <c r="J32" i="10"/>
  <c r="I32" i="10"/>
  <c r="H30" i="10"/>
  <c r="G30" i="10"/>
  <c r="F30" i="10"/>
  <c r="K30" i="10"/>
  <c r="J30" i="10"/>
  <c r="I30" i="10"/>
  <c r="H28" i="10"/>
  <c r="G28" i="10"/>
  <c r="F28" i="10"/>
  <c r="K28" i="10"/>
  <c r="J28" i="10"/>
  <c r="I28" i="10"/>
  <c r="H26" i="10"/>
  <c r="G26" i="10"/>
  <c r="F26" i="10"/>
  <c r="H22" i="10"/>
  <c r="G22" i="10"/>
  <c r="F22" i="10"/>
  <c r="H19" i="10"/>
  <c r="G19" i="10"/>
  <c r="F19" i="10"/>
  <c r="H15" i="10"/>
  <c r="G15" i="10"/>
  <c r="F15" i="10"/>
  <c r="K15" i="10"/>
  <c r="J15" i="10"/>
  <c r="I15" i="10"/>
  <c r="H13" i="10"/>
  <c r="G13" i="10"/>
  <c r="F13" i="10"/>
  <c r="K13" i="10"/>
  <c r="J13" i="10"/>
  <c r="V291" i="12"/>
  <c r="V290" i="12"/>
  <c r="K50" i="10"/>
  <c r="J50" i="10"/>
  <c r="I50" i="10"/>
  <c r="D13" i="14"/>
  <c r="E11" i="11"/>
  <c r="D11" i="11"/>
  <c r="V11" i="12" l="1"/>
  <c r="W15" i="12"/>
  <c r="W11" i="12" s="1"/>
  <c r="C19" i="16"/>
  <c r="B19" i="16"/>
  <c r="B11" i="16" s="1"/>
  <c r="D11" i="16"/>
  <c r="C16" i="16"/>
  <c r="U11" i="12"/>
  <c r="E13" i="14"/>
  <c r="E11" i="14" s="1"/>
  <c r="I20" i="10"/>
  <c r="K22" i="10"/>
  <c r="V289" i="12"/>
  <c r="V288" i="12" s="1"/>
  <c r="V215" i="12" s="1"/>
  <c r="J22" i="10"/>
  <c r="U291" i="12"/>
  <c r="U289" i="12" s="1"/>
  <c r="U288" i="12" s="1"/>
  <c r="U215" i="12" s="1"/>
  <c r="H54" i="10"/>
  <c r="G54" i="10"/>
  <c r="D61" i="14"/>
  <c r="D60" i="14" s="1"/>
  <c r="I38" i="10"/>
  <c r="F54" i="10"/>
  <c r="K38" i="10"/>
  <c r="F61" i="14"/>
  <c r="F60" i="14" s="1"/>
  <c r="E61" i="14"/>
  <c r="E60" i="14" s="1"/>
  <c r="F55" i="14"/>
  <c r="E55" i="14"/>
  <c r="K46" i="10"/>
  <c r="D11" i="14"/>
  <c r="D55" i="14"/>
  <c r="J38" i="10"/>
  <c r="I46" i="10"/>
  <c r="I42" i="10"/>
  <c r="J46" i="10"/>
  <c r="F11" i="14"/>
  <c r="J54" i="10" l="1"/>
  <c r="AA472" i="21" s="1"/>
  <c r="K54" i="10"/>
  <c r="AB472" i="21" s="1"/>
  <c r="C11" i="16"/>
  <c r="U392" i="12"/>
  <c r="I22" i="10"/>
  <c r="I54" i="10" s="1"/>
  <c r="Z472" i="21" s="1"/>
  <c r="Z476" i="21" s="1"/>
  <c r="D65" i="14"/>
  <c r="W392" i="12"/>
  <c r="V392" i="12"/>
  <c r="E65" i="14"/>
  <c r="F65" i="14"/>
</calcChain>
</file>

<file path=xl/sharedStrings.xml><?xml version="1.0" encoding="utf-8"?>
<sst xmlns="http://schemas.openxmlformats.org/spreadsheetml/2006/main" count="6563" uniqueCount="1358">
  <si>
    <t xml:space="preserve">народных депутатов </t>
  </si>
  <si>
    <t>Наименование</t>
  </si>
  <si>
    <t>Единый налог на вмененный доход для отдельных видов деятельности</t>
  </si>
  <si>
    <t>Единый сельскохозяйственный налог</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</si>
  <si>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</si>
  <si>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048</t>
  </si>
  <si>
    <t>076</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</si>
  <si>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</si>
  <si>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</si>
  <si>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1 16 25030 01 0000 140</t>
  </si>
  <si>
    <t>1 03 02230 01 0000 110</t>
  </si>
  <si>
    <t>1 03 02240 01 0000 110</t>
  </si>
  <si>
    <t>1 03 02250 01 0000 110</t>
  </si>
  <si>
    <t>1 03 02260 01 0000 110</t>
  </si>
  <si>
    <t>019</t>
  </si>
  <si>
    <t>001</t>
  </si>
  <si>
    <t>002</t>
  </si>
  <si>
    <t>Прочие неналоговые доходы бюджетов муниципальных районов</t>
  </si>
  <si>
    <t>003</t>
  </si>
  <si>
    <t>014</t>
  </si>
  <si>
    <t>1 11 05013 05 0000 120</t>
  </si>
  <si>
    <t>1 11 05013 10 0000 120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</si>
  <si>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</si>
  <si>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</si>
  <si>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</si>
  <si>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1 14 02053 05 0000 410</t>
  </si>
  <si>
    <t>1 14 06013 05 0000 430</t>
  </si>
  <si>
    <t>1 14 06013 10 0000 430</t>
  </si>
  <si>
    <t>Администрация Сковородинского района</t>
  </si>
  <si>
    <t>(проект)</t>
  </si>
  <si>
    <t>к решению районного Совета</t>
  </si>
  <si>
    <t>Финансовое управление администрации Сковородинского района</t>
  </si>
  <si>
    <t xml:space="preserve">     народных депутатов</t>
  </si>
  <si>
    <t xml:space="preserve">                </t>
  </si>
  <si>
    <t>182</t>
  </si>
  <si>
    <t>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</si>
  <si>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</si>
  <si>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</si>
  <si>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100</t>
  </si>
  <si>
    <t>Единый налог на вмененный доход для отдельных видов деятельности (за налоговые периоды, истекшие до 1 января 2011 года)</t>
  </si>
  <si>
    <t>120</t>
  </si>
  <si>
    <t>410</t>
  </si>
  <si>
    <t>430</t>
  </si>
  <si>
    <t>140</t>
  </si>
  <si>
    <t>Платежи, взимаемые органами местного самоуправления (организациями) муниципальных районов за выполнение определенных функций</t>
  </si>
  <si>
    <t>Денежные взыскания (штрафы) за нарушение законодательства Российской Федерации об охране и использовании животного мира</t>
  </si>
  <si>
    <t>927</t>
  </si>
  <si>
    <t>188</t>
  </si>
  <si>
    <t>192</t>
  </si>
  <si>
    <t>180</t>
  </si>
  <si>
    <t xml:space="preserve"> Доходы районного бюджета  на 2015  год  и плановый период 2016 и 2017 годов</t>
  </si>
  <si>
    <t>КВД</t>
  </si>
  <si>
    <t>КОСГУ</t>
  </si>
  <si>
    <t>Гл. администратор</t>
  </si>
  <si>
    <t>Наименование КВД</t>
  </si>
  <si>
    <t>10102010010000</t>
  </si>
  <si>
    <t>10102020010000</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</si>
  <si>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</si>
  <si>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</si>
  <si>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</si>
  <si>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</si>
  <si>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</si>
  <si>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</si>
  <si>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</si>
  <si>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</si>
  <si>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</si>
  <si>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</si>
  <si>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10502020020000</t>
  </si>
  <si>
    <t>10503010010000</t>
  </si>
  <si>
    <t>10606013051000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</si>
  <si>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</si>
  <si>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10606013052000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</si>
  <si>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(пени и проценты по соответствующему платежу)</t>
  </si>
  <si>
    <t>10606023051000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</si>
  <si>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</si>
  <si>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</si>
  <si>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</si>
  <si>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10804020011000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</si>
  <si>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</si>
  <si>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11103050050000</t>
  </si>
  <si>
    <t>Проценты, полученные от предоставления бюджетных кредитов внутри страны за счет средств бюджетов муниципальных районов</t>
  </si>
  <si>
    <t>11105013100000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</si>
  <si>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</si>
  <si>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11107015050000</t>
  </si>
  <si>
    <t>11109045050000</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</si>
  <si>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</si>
  <si>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</si>
  <si>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</si>
  <si>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</si>
  <si>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</si>
  <si>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</si>
  <si>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11402053050000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</si>
  <si>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</si>
  <si>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11406013100000</t>
  </si>
  <si>
    <t>Доходы от продажи земельных участков, государственная собственность на которые не разграничена и которые расположены в границах поселений</t>
  </si>
  <si>
    <t>11502050050000</t>
  </si>
  <si>
    <t>11603010016000</t>
  </si>
  <si>
    <t>11625030010000</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</si>
  <si>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</si>
  <si>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</si>
  <si>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11690050056000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</si>
  <si>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</si>
  <si>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11705050050000</t>
  </si>
  <si>
    <t>ИТОГО:</t>
  </si>
  <si>
    <t>Приложение №3</t>
  </si>
  <si>
    <t>Сумма на 2015 год</t>
  </si>
  <si>
    <t xml:space="preserve">Сумма на  2016 год </t>
  </si>
  <si>
    <t>Сумма на 2017 год</t>
  </si>
  <si>
    <t>(руб.коп.)</t>
  </si>
  <si>
    <t>в том числе:</t>
  </si>
  <si>
    <t>Условно утвержденные расходы</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</si>
  <si>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</si>
  <si>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</si>
  <si>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</si>
  <si>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</si>
  <si>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</si>
  <si>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Образование</t>
  </si>
  <si>
    <t>Здравоохранение</t>
  </si>
  <si>
    <t>Социальная политика</t>
  </si>
  <si>
    <t>Физическая культура</t>
  </si>
  <si>
    <t>Обслуживание государственного и муниципального долга</t>
  </si>
  <si>
    <t>КБК</t>
  </si>
  <si>
    <t>01</t>
  </si>
  <si>
    <t>03</t>
  </si>
  <si>
    <t>05</t>
  </si>
  <si>
    <t>06</t>
  </si>
  <si>
    <t>08</t>
  </si>
  <si>
    <t>09</t>
  </si>
  <si>
    <t>11</t>
  </si>
  <si>
    <t>12</t>
  </si>
  <si>
    <t>13</t>
  </si>
  <si>
    <t>14</t>
  </si>
  <si>
    <t>02</t>
  </si>
  <si>
    <t>00</t>
  </si>
  <si>
    <t>РЗ</t>
  </si>
  <si>
    <t>ПРЗ</t>
  </si>
  <si>
    <t>04</t>
  </si>
  <si>
    <t>Судебная система</t>
  </si>
  <si>
    <t>07</t>
  </si>
  <si>
    <t>Обеспечение проведения выборов и референдумов</t>
  </si>
  <si>
    <t>Резервные фонды</t>
  </si>
  <si>
    <t>Другие общегосударственные вопросы</t>
  </si>
  <si>
    <t>Органы внутренних дел</t>
  </si>
  <si>
    <t>10</t>
  </si>
  <si>
    <t>Обеспечение пожарной безопасности</t>
  </si>
  <si>
    <t>Другие вопросы в области национальной безопасности и правоохранительной деятельности</t>
  </si>
  <si>
    <t>Общеэкономические вопросы</t>
  </si>
  <si>
    <t>Сельское хозяйство и рыболовство</t>
  </si>
  <si>
    <t>Транспорт</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</si>
  <si>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</si>
  <si>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</si>
  <si>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</si>
  <si>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</si>
  <si>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</si>
  <si>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Сбор, удаление отходов и очистка сточных вод</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</si>
  <si>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</si>
  <si>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</si>
  <si>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</si>
  <si>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</si>
  <si>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</si>
  <si>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Санитарно-эпидемиологическое благополучие</t>
  </si>
  <si>
    <t>Другие вопросы в области здравоохранения</t>
  </si>
  <si>
    <t>Пенсионное обеспечение</t>
  </si>
  <si>
    <t>Социальное обеспечение населения</t>
  </si>
  <si>
    <t>Охрана семьи и детства</t>
  </si>
  <si>
    <t>Физическая культура и спорт</t>
  </si>
  <si>
    <t>Массовый спорт</t>
  </si>
  <si>
    <t>Прикладные научные исследования в области физической культуры и спорта</t>
  </si>
  <si>
    <t>Другие вопросы в области физической культуры и спорта</t>
  </si>
  <si>
    <t>Дотации на выравнивание бюджетной обеспеченности субъектов Российской Федерации и муниципальных образований</t>
  </si>
  <si>
    <t>96</t>
  </si>
  <si>
    <t>Расходы бюджета - ИТОГО</t>
  </si>
  <si>
    <t>Изменение остатков средств на счетах по учету средств бюджетов</t>
  </si>
  <si>
    <t>Кредиты кредитных организаций в валюте Российской Федерации</t>
  </si>
  <si>
    <t>Сумма, руб.</t>
  </si>
  <si>
    <t>Кредиты от кредитных организаций в валюте Российской Федерации</t>
  </si>
  <si>
    <t>- получение кредитов от кредитных организаций районным бюджетом в валюте Российской Федерации</t>
  </si>
  <si>
    <t>- погашение кредитов, предоставленных кредитными организациями, районному бюджету в валюте Российской Федерации</t>
  </si>
  <si>
    <t>Бюджетные кредиты, от других бюджетов бюджетной системы Российской Федерации</t>
  </si>
  <si>
    <t>- получение кредитов от бюджетов других уровней районным бюджетом в валюте Российской Федерации</t>
  </si>
  <si>
    <t>- погашение кредитов, предоставленных бюджетами других уровней, районному бюджету в валюте Российской Федерации</t>
  </si>
  <si>
    <t>Бюджетные кредиты, другим бюджетам бюджетной системы Российской Федерации</t>
  </si>
  <si>
    <t>- предоставление бюджетных кредитов бюджетам других уровней</t>
  </si>
  <si>
    <t>- возврат бюджетных кредитов, предоставленных другим бюджетам бюджетной системы</t>
  </si>
  <si>
    <t>х</t>
  </si>
  <si>
    <t>Прочие субвенции бюджетам муниципальных районов</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</si>
  <si>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</si>
  <si>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руб.коп.</t>
  </si>
  <si>
    <t>Наименование муниципальной программы</t>
  </si>
  <si>
    <t>Правоустанавливающий нормативный  акт</t>
  </si>
  <si>
    <t>Сумма на реализацию муниципальной программы</t>
  </si>
  <si>
    <t>Примечание</t>
  </si>
  <si>
    <t>Дата принятия</t>
  </si>
  <si>
    <t>Номер документа</t>
  </si>
  <si>
    <t xml:space="preserve">по программе </t>
  </si>
  <si>
    <t>Утверждено по бюджету</t>
  </si>
  <si>
    <t>Исполнитель</t>
  </si>
  <si>
    <t>ЦСР</t>
  </si>
  <si>
    <t>Постановление администрации района</t>
  </si>
  <si>
    <t>По программе в целом</t>
  </si>
  <si>
    <t>Постановление главы района</t>
  </si>
  <si>
    <t>Всего по программам</t>
  </si>
  <si>
    <t xml:space="preserve"> </t>
  </si>
  <si>
    <t>народных   депутатов</t>
  </si>
  <si>
    <t>Сумма на год, рублей</t>
  </si>
  <si>
    <t>002 01 02 00 00 00 0000 000</t>
  </si>
  <si>
    <t>002 01 02 00 00 05 0000 710</t>
  </si>
  <si>
    <t>Получение кредитов от кредитных организаций бюджетами муниципальных районов в валюте Российской Федерации</t>
  </si>
  <si>
    <t>002 01 02 00 00 05 0000 810</t>
  </si>
  <si>
    <t>Погашение бюджетами муниципальных районов кредитов от кредитных организаций в валюте Российской Федерации</t>
  </si>
  <si>
    <t>002 01 03 01 00 00 0000 000</t>
  </si>
  <si>
    <t>Бюджетные кредиты от других бюджетов бюджетной системы Российской Федерации в валюте Российской Федерации</t>
  </si>
  <si>
    <t>002 01 03 01 00 05 0000 710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</si>
  <si>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</si>
  <si>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002 01 03 01 00 05 0000 810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</si>
  <si>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</si>
  <si>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</si>
  <si>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002 01 06 05 00 00 0000 000</t>
  </si>
  <si>
    <t>Бюджетные кредиты, предоставленные внутри страны в валюте Российской Федерации</t>
  </si>
  <si>
    <t>002 01 06 05 02 05 0000 540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</si>
  <si>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</si>
  <si>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002 01 06 05 02 05 0000 640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</si>
  <si>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</si>
  <si>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Источники внутреннего финансирования дефицита районного бюджета - всего</t>
  </si>
  <si>
    <t>КОНТРОЛЬНЫЕ СООТНОШЕНИЯ</t>
  </si>
  <si>
    <t>ВР</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</si>
  <si>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</si>
  <si>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</si>
  <si>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</si>
  <si>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</si>
  <si>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</si>
  <si>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</si>
  <si>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</si>
  <si>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</si>
  <si>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</si>
  <si>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</si>
  <si>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</si>
  <si>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t>
  </si>
  <si>
    <t>Расходы на обеспечение функций представительных органов местного самоуправления по непрограммным расходам органов местного самоуправления</t>
  </si>
  <si>
    <t>Расходы на обеспечение функций контрольно-счетной палаты района по непрограммным расходам органов местного самоуправления</t>
  </si>
  <si>
    <t>Расходы на проведение мероприятий в области социальной политики по прочим непрограммным расходам</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</si>
  <si>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</si>
  <si>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t>
  </si>
  <si>
    <t>800</t>
  </si>
  <si>
    <t xml:space="preserve">                                                                          к решению районного Совета</t>
  </si>
  <si>
    <t xml:space="preserve">                                                            народных депутатов </t>
  </si>
  <si>
    <t>Сумма на год, руб.</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</si>
  <si>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</si>
  <si>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</si>
  <si>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</si>
  <si>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</si>
  <si>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Защита населения и территории от чрезвычайных ситуаций природного и техногенного характера, гражданская оборона</t>
  </si>
  <si>
    <t>Водное хозяйство</t>
  </si>
  <si>
    <t>Культура, кинематография</t>
  </si>
  <si>
    <t xml:space="preserve">Физическая культура </t>
  </si>
  <si>
    <t>Обслуживание государственного внутреннего и муниципального долга</t>
  </si>
  <si>
    <t>Межбюджетные трансферты общего характера бюджетам субъектов Российской Федерации и муниципальных образований</t>
  </si>
  <si>
    <t>народных депутатов</t>
  </si>
  <si>
    <t>к Решению районного Совета</t>
  </si>
  <si>
    <t>Программа  муниципальных внутренних заимствований районного бюджета</t>
  </si>
  <si>
    <t>Итого муниципальные внутренние заимствования</t>
  </si>
  <si>
    <t>ИТОГО</t>
  </si>
  <si>
    <t>Развитие образования Сковородинского района на 2015-2020 годы</t>
  </si>
  <si>
    <t>Реабилитация и обеспечение жизнедеятельности инвалидов в Сковородинском районе на 2015-2020 годы</t>
  </si>
  <si>
    <t>Благоустройство Сковородинского района на 2015-2020 годы</t>
  </si>
  <si>
    <t>Развитие физической культуры и спорта  на территории Сковородинского района  на 2015-2020 годы</t>
  </si>
  <si>
    <t>Развитие сельского хозяйства  в Сковородинском  районе на 2015-2020 годы</t>
  </si>
  <si>
    <t>Модернизация жилищно-коммунального комлекса, энергосбережение и повышение энергитической эффективности в Сковородинском районе в 2015-2020 годы</t>
  </si>
  <si>
    <t>Охрана окружающей среды в Сковородинском районе в 2015-2020 годы</t>
  </si>
  <si>
    <t xml:space="preserve">Развитие и сохранение сферы культуры и искусства Сковородинского района на 2015-2020 годы </t>
  </si>
  <si>
    <t>Продиводействие злоупотреблению наркотическими средствами и их незаконному обороту в Сковородинском районе на 2015-2020 годы</t>
  </si>
  <si>
    <t>Экономическое развитие Сковородинского района в 2015-2020 годы</t>
  </si>
  <si>
    <t>Обеспечение доступным и качественным жильем населения Сковородинского района на 2015-2020 годы</t>
  </si>
  <si>
    <t>Повышение эффективности деятельности органов местного самоуправления Сковородинского района в 2015-2020 годы</t>
  </si>
  <si>
    <t>Снижение рисков и смягчения последствий чрезвычайных ситуаций природного и техногенного характера, а также обеспечение безопасности населения Сковородинского района на 2015-2020 годы</t>
  </si>
  <si>
    <t>Развитие транспортной системы Сковородинского района на 2015-2020 годы</t>
  </si>
  <si>
    <t>Дотации бюджетам субъектов Российской Федерации и муниципальных образований</t>
  </si>
  <si>
    <t xml:space="preserve"> (руб.)</t>
  </si>
  <si>
    <t>Рз</t>
  </si>
  <si>
    <t>ПР</t>
  </si>
  <si>
    <t>Код расхода</t>
  </si>
  <si>
    <t>Доп.ФК</t>
  </si>
  <si>
    <t>Доп.ЭК</t>
  </si>
  <si>
    <t>Сумма</t>
  </si>
  <si>
    <t>АДМИНИСТРАЦИЯ СКОВОРОДИНСКОГО РАЙОНА</t>
  </si>
  <si>
    <t>ОБЩЕГОСУДАРСТВЕННЫЕ ВОПРОСЫ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</si>
  <si>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</si>
  <si>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</si>
  <si>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</si>
  <si>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(Закупка товаров, работ и услуг для государственных (муниципальных) нужд)</t>
  </si>
  <si>
    <t>200</t>
  </si>
  <si>
    <t>Расходы на обеспечение функций представительных органов местного самоуправления по непрограммным расходам органов местного самоуправления (Иные бюджетные ассигнования)</t>
  </si>
  <si>
    <t>Расходы на обеспечение деятельности (оказание услуг) муниципальных учреждений</t>
  </si>
  <si>
    <t>Расходы на обеспечение деятельности (оказание услуг) муниципальных учреждений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</si>
  <si>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t>
  </si>
  <si>
    <t>Расходы на обеспечение функций исполнительных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</si>
  <si>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</si>
  <si>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(Иные бюджетные ассигнования)</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</si>
  <si>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</si>
  <si>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</si>
  <si>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(Закупка товаров, работ и услуг для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</si>
  <si>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</si>
  <si>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Расходы на обеспечение функций контрольно-счетной палаты района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</si>
  <si>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Сковородинского района</t>
  </si>
  <si>
    <t>Резервный фонд администрации Сковородинского района (Иные бюджетные ассигнования)</t>
  </si>
  <si>
    <t>Модернизация учреждений здравохранения в сельской местности в рамках подпрограммы "Устойчивое развитие сельских территорий"</t>
  </si>
  <si>
    <t>Модернизация учреждений здравохранения в сельской местности в рамках подпрограммы "Устойчивое развитие сельских территорий" (Закупка товаров, работ и услуг для государственных (муниципальных) нужд)</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</si>
  <si>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</si>
  <si>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(Предоставление субсидий бюджетным, автономным учреждениям и иным некоммерческим организациям)</t>
  </si>
  <si>
    <t>600</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</si>
  <si>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</si>
  <si>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(Закупка товаров, работ и услуг для государственных (муниципальных) нужд)</t>
  </si>
  <si>
    <t>НАЦИОНАЛЬНАЯ БЕЗОПАСНОСТЬ И ПРАВООХРАНИТЕЛЬНАЯ ДЕЯТЕЛЬНОСТЬ</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</si>
  <si>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</si>
  <si>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(Закупка товаров, работ и услуг для государственных (муниципальных) нужд)</t>
  </si>
  <si>
    <t>Развитие аппаратно-программного комплекса «Безопасный город»</t>
  </si>
  <si>
    <t>Развитие аппаратно-программного комплекса «Безопасный город» (Закупка товаров, работ и услуг для государственных (муниципальных) нужд)</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</si>
  <si>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 (Закупка товаров, работ и услуг для государственных (муниципальных) нужд)</t>
  </si>
  <si>
    <t>НАЦИОНАЛЬНАЯ ЭКОНОМИКА</t>
  </si>
  <si>
    <t>Возмещение части затрат по доставке кормов от производителя хозяйствам, расположенным на территории района</t>
  </si>
  <si>
    <t>Возмещение части затрат по доставке кормов от производителя хозяйствам, расположенным на территории района (Закупка товаров, работ и услуг для государственных (муниципальных) нужд)</t>
  </si>
  <si>
    <t>Возмещение части затрат по наращиванию или сохранению поголовья лошадей</t>
  </si>
  <si>
    <t>Возмещение части затрат по наращиванию или сохранению поголовья лошадей (Закупка товаров, работ и услуг для государственных (муниципальных) нужд)</t>
  </si>
  <si>
    <t>Финансовое обеспечение (возмещение) части затрат, связанных с приобретением сельскохозяйственной техники и оборудования</t>
  </si>
  <si>
    <t>Финансовое обеспечение (возмещение) части затрат, связанных с приобретением сельскохозяйственной техники и оборудования (Закупка товаров, работ и услуг для государственных (муниципальных) нужд)</t>
  </si>
  <si>
    <t>Организация и проведение мероприятий по развитию сельского хозяйства</t>
  </si>
  <si>
    <t>Организация и проведение мероприятий по развитию сельского хозяйства (Закупка товаров, работ и услуг для государственных (муниципальных) нужд)</t>
  </si>
  <si>
    <t>Улучшение жилищных условий граждан, проживающих в сельской местности</t>
  </si>
  <si>
    <t>Улучшение жилищных условий граждан, проживающих в сельской местности (Закупка товаров, работ и услуг для государственных (муниципальных) нужд)</t>
  </si>
  <si>
    <t>Улучшение жилищных условий молодых семей и молодых специалистов, проживающих в сельской местности</t>
  </si>
  <si>
    <t>Улучшение жилищных условий молодых семей и молодых специалистов, проживающих в сельской местности (Закупка товаров, работ и услуг для государственных (муниципальных) нужд)</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</si>
  <si>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</si>
  <si>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(Закупка товаров, работ и услуг для государственных (муниципальных) нужд)</t>
  </si>
  <si>
    <t>Приобретение циклонов на котельные</t>
  </si>
  <si>
    <t>Приобретение циклонов на котельные (Закупка товаров, работ и услуг для государственных (муниципальных) нужд)</t>
  </si>
  <si>
    <t>Капитальный ремонт защитной дамбы от паводковых вод в п. Уруша</t>
  </si>
  <si>
    <t>Капитальный ремонт защитной дамбы от паводковых вод в п. Уруша (Закупка товаров, работ и услуг для государственных (муниципальных) нужд)</t>
  </si>
  <si>
    <t>Модернизация подвижного состава для осуществления перевозок</t>
  </si>
  <si>
    <t>Модернизация подвижного состава для осуществления перевозок (Закупка товаров, работ и услуг для государственных (муниципальных) нужд)</t>
  </si>
  <si>
    <t>Внедрение автоматизированных систем управления автомобильным пассажирским транспортом</t>
  </si>
  <si>
    <t>Внедрение автоматизированных систем управления автомобильным пассажирским транспортом (Закупка товаров, работ и услуг для государственных (муниципальных) нужд)</t>
  </si>
  <si>
    <t>Приобретение билетной продукции для пассажирского автотранспорта общего пользования</t>
  </si>
  <si>
    <t>Приобретение билетной продукции для пассажирского автотранспорта общего пользования (Закупка товаров, работ и услуг для государственных (муниципальных) нужд)</t>
  </si>
  <si>
    <t>Приобретение автобусных остановок</t>
  </si>
  <si>
    <t>Приобретение автобусных остановок (Закупка товаров, работ и услуг для государственных (муниципальных) нужд)</t>
  </si>
  <si>
    <t>Компенсация выпадающих доходов при обслуживании населения на социально-значимых маршрутах</t>
  </si>
  <si>
    <t>Компенсация выпадающих доходов при обслуживании населения на социально-значимых маршрутах (Закупка товаров, работ и услуг для государственных (муниципальных) нужд)</t>
  </si>
  <si>
    <t>Совершенствование пешеходных переходов</t>
  </si>
  <si>
    <t>Совершенствование пешеходных переходов (Закупка товаров, работ и услуг для государственных (муниципальных) нужд)</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</si>
  <si>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</si>
  <si>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(Закупка товаров, работ и услуг для государственных (муниципальных) нужд)</t>
  </si>
  <si>
    <t>Обеспечение содержания, ремонта автомобильных дорог общего пользования местного значения</t>
  </si>
  <si>
    <t>Обеспечение содержания, ремонта автомобильных дорог общего пользования местного значения (Закупка товаров, работ и услуг для государственных (муниципальных) нужд)</t>
  </si>
  <si>
    <t>Строительство, реконструкция автомобильных дорог общего пользования местного значения</t>
  </si>
  <si>
    <t>Строительство, реконструкция автомобильных дорог общего пользования местного значения (Закупка товаров, работ и услуг для государственных (муниципальных) нужд)</t>
  </si>
  <si>
    <t>Осуществление муниципальными образованиями района дорожной деятельности в отношении автомобильных дорог местного значения и сооружений на них (Закупка товаров, работ и услуг для государственных (муниципальных) нужд)</t>
  </si>
  <si>
    <t>Субсидии начинающим субъектам малого и среднего предпринимательства на создание собственного бизнеса</t>
  </si>
  <si>
    <t>Субсидии начинающим субъектам малого и среднего предпринимательства на создание собственного бизнеса (Закупка товаров, работ и услуг для государственных (муниципальных) нужд)</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</si>
  <si>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</si>
  <si>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(Закупка товаров, работ и услуг для государственных (муниципальных) нужд)</t>
  </si>
  <si>
    <t>Организационная, информационная, консультационная поддержка субъектов малого и среднего предпринимательства</t>
  </si>
  <si>
    <t>Организационная, информационная, консультационная поддержка субъектов малого и среднего предпринимательства (Закупка товаров, работ и услуг для государственных (муниципальных) нужд)</t>
  </si>
  <si>
    <t>Организация и проведение мероприятий по реализации муниципальной программы (Закупка товаров, работ и услуг для государственных (муниципальных) нужд)</t>
  </si>
  <si>
    <t>ЖИЛИЩНО-КОММУНАЛЬНОЕ ХОЗЯЙСТВО</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</si>
  <si>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</si>
  <si>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(Капитальные вложения в объекты недвижимого имущества государственной (муниципальной) собственности)</t>
  </si>
  <si>
    <t>400</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</si>
  <si>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 (Закупка товаров, работ и услуг для государственных (муниципальных) нужд)</t>
  </si>
  <si>
    <t>Обустройство санкционированных свалок захоронения твердых бытовых отходов</t>
  </si>
  <si>
    <t>Обустройство санкционированных свалок захоронения твердых бытовых отходов (Закупка товаров, работ и услуг для государственных (муниципальных) нужд)</t>
  </si>
  <si>
    <t>Ликвидация несанкционированных свалок</t>
  </si>
  <si>
    <t>Ликвидация несанкционированных свалок (Закупка товаров, работ и услуг для государственных (муниципальных) нужд)</t>
  </si>
  <si>
    <t>Приобретение и посадка деревьев, газона, живой изгороди</t>
  </si>
  <si>
    <t>Приобретение и посадка деревьев, газона, живой изгороди (Закупка товаров, работ и услуг для государственных (муниципальных) нужд)</t>
  </si>
  <si>
    <t>Приобретение и установка фонарей</t>
  </si>
  <si>
    <t>Приобретение и установка фонарей (Закупка товаров, работ и услуг для государственных (муниципальных) нужд)</t>
  </si>
  <si>
    <t>Приобретение и установка детских, спортивных площадок</t>
  </si>
  <si>
    <t>Приобретение и установка детских, спортивных площадок (Закупка товаров, работ и услуг для государственных (муниципальных) нужд)</t>
  </si>
  <si>
    <t>Приобретение урн для мусора</t>
  </si>
  <si>
    <t>Приобретение урн для мусора (Закупка товаров, работ и услуг для государственных (муниципальных) нужд)</t>
  </si>
  <si>
    <t>Благоустройство муниципальных образований Сковородинского района</t>
  </si>
  <si>
    <t>Благоустройство муниципальных образований Сковородинского района (Закупка товаров, работ и услуг для государственных (муниципальных) нужд)</t>
  </si>
  <si>
    <t>ОБРАЗОВАНИЕ</t>
  </si>
  <si>
    <t>Модернизация муниципальных систем общего образования</t>
  </si>
  <si>
    <t>Модернизация муниципальных систем общего образования (Закупка товаров, работ и услуг для государственных (муниципальных) нужд)</t>
  </si>
  <si>
    <t>Уничтожение сырьевой базы конопли, являющейся производной для изготовления наркотиков</t>
  </si>
  <si>
    <t>Уничтожение сырьевой базы конопли, являющейся производной для изготовления наркотиков (Закупка товаров, работ и услуг для государственных (муниципальных) нужд)</t>
  </si>
  <si>
    <t>Подпрограмма «Профилактика правонарушений, терроризма и экстремизма в районе»</t>
  </si>
  <si>
    <t>Подпрограмма «Профилактика правонарушений, терроризма и экстремизма в районе» (Закупка товаров, работ и услуг для государственных (муниципальных) нужд)</t>
  </si>
  <si>
    <t>Пропаганда здорового и социально активного образа жизни</t>
  </si>
  <si>
    <t>Пропаганда здорового и социально активного образа жизни (Закупка товаров, работ и услуг для государственных (муниципальных) нужд)</t>
  </si>
  <si>
    <t>Организация и проведение мероприятий по реализации муниципальной подпрограммы</t>
  </si>
  <si>
    <t>Организация и проведение мероприятий по реализации муниципальной подпрограммы (Закупка товаров, работ и услуг для государственных (муниципальных) нужд)</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</si>
  <si>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</si>
  <si>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(Закупка товаров, работ и услуг для государственных (муниципальных) нужд)</t>
  </si>
  <si>
    <t>КУЛЬТУРА, КИНЕМАТОГРАФИЯ</t>
  </si>
  <si>
    <t>Организация и проведение мероприятия по реализации муниципальной программы</t>
  </si>
  <si>
    <t>Организация и проведение мероприятия по реализации муниципальной программы (Закупка товаров, работ и услуг для государственных (муниципальных) нужд)</t>
  </si>
  <si>
    <t>Реализация мероприятий по развитию и сохранению культуры в муниципальных образованиях района</t>
  </si>
  <si>
    <t>Реализация мероприятий по развитию и сохранению культуры в муниципальных образованиях района (Закупка товаров, работ и услуг для государственных (муниципальных) нужд)</t>
  </si>
  <si>
    <t>Капитальные вложения в объекты муниципальной собственности</t>
  </si>
  <si>
    <t>Капитальные вложения в объекты муниципальной собственности (Закупка товаров, работ и услуг для государственных (муниципальных) нужд)</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</si>
  <si>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 (Закупка товаров, работ и услуг для государственных (муниципальных) нужд)</t>
  </si>
  <si>
    <t>ЗДРАВООХРАНЕНИЕ</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</si>
  <si>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</si>
  <si>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(Закупка товаров, работ и услуг для государственных (муниципальных) нужд)</t>
  </si>
  <si>
    <t>СОЦИАЛЬНАЯ ПОЛИТИКА</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</si>
  <si>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</si>
  <si>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 (Социальное обеспечение и иные выплаты населению)</t>
  </si>
  <si>
    <t>300</t>
  </si>
  <si>
    <t>Адаптация объектов социальной инфраструктуры и услуг с учетом нужд и потребностей инвалидов и других МГН</t>
  </si>
  <si>
    <t>Адаптация объектов социальной инфраструктуры и услуг с учетом нужд и потребностей инвалидов и других МГН (Закупка товаров, работ и услуг для государственных (муниципальных) нужд)</t>
  </si>
  <si>
    <t>Предоставление социальных выплат молодым семьям на приобретение (строительство) жилья</t>
  </si>
  <si>
    <t>Предоставление социальных выплат молодым семьям на приобретение (строительство) жилья (Социальное обеспечение и иные выплаты населению)</t>
  </si>
  <si>
    <t>Оказание финансовой поддержки деятельности СОНКО путем предоставления субсидий на реализацию социально значимых проектов</t>
  </si>
  <si>
    <t>Оказание финансовой поддержки деятельности СОНКО путем предоставления субсидий на реализацию социально значимых проектов (Закупка товаров, работ и услуг для государственных (муниципальных) нужд)</t>
  </si>
  <si>
    <t>Расходы на проведение мероприятий в области социальной политики по прочим непрограммным расходам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</si>
  <si>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(Социальное обеспечение и иные выплаты населению)</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</si>
  <si>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(Социальное обеспечение и иные выплаты населению)</t>
  </si>
  <si>
    <t>ФИЗИЧЕСКАЯ КУЛЬТУРА И СПОРТ</t>
  </si>
  <si>
    <t>Приобретение спортивного инвентаря и оборудования</t>
  </si>
  <si>
    <t>Приобретение спортивного инвентаря и оборудования (Закупка товаров, работ и услуг для государственных (муниципальных) нужд)</t>
  </si>
  <si>
    <t>Подготовка спортсменов с ограниченными возможностями и их участие в соревнованиях</t>
  </si>
  <si>
    <t>Подготовка спортсменов с ограниченными возможностями и их участие в соревнованиях (Закупка товаров, работ и услуг для государственных (муниципальных) нужд)</t>
  </si>
  <si>
    <t>Проведение спортивных мероприятий</t>
  </si>
  <si>
    <t>Проведение спортивных мероприятий (Закупка товаров, работ и услуг для государственных (муниципальных) нужд)</t>
  </si>
  <si>
    <t>Участие в соревнованиях</t>
  </si>
  <si>
    <t>Участие в соревнованиях (Закупка товаров, работ и услуг для государственных (муниципальных) нужд)</t>
  </si>
  <si>
    <t>Развитие физической культуры и спорта в муниципальных образованиях Сковородинского района</t>
  </si>
  <si>
    <t>Развитие физической культуры и спорта в муниципальных образованиях Сковородинского района (Закупка товаров, работ и услуг для государственных (муниципальных) нужд)</t>
  </si>
  <si>
    <t>ФИНАНСОВОЕ УПРАВЛЕНИЕ АДМИНИСТРАЦИИ СКОВОРОДИНСКОГО РАЙОНА</t>
  </si>
  <si>
    <t>Расходы на обеспечение функций Финансового управления</t>
  </si>
  <si>
    <t>Расходы на обеспечение функций Финансового 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</si>
  <si>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Финансового управления (Закупка товаров, работ и услуг для государственных (муниципальных) нужд)</t>
  </si>
  <si>
    <t>Расходы на обеспечение функций Финансового управления (Иные бюджетные ассигнования)</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</si>
  <si>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</si>
  <si>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</si>
  <si>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ГОСУДАРСТВЕННОГО И МУНИЦИПАЛЬНОГО ДОЛГА</t>
  </si>
  <si>
    <t>Расходы на обслуживание муниципального долга перед другими бюджетами бюджетной системы</t>
  </si>
  <si>
    <t>Расходы на обслуживание муниципального долга перед другими бюджетами бюджетной системы (Обслуживание государственного (муниципального) долга)</t>
  </si>
  <si>
    <t>МЕЖБЮДЖЕТНЫЕ ТРАНСФЕРТЫ ОБЩЕГО ХАРАКТЕРА БЮДЖЕТАМ СУБЪЕКТОВ РОССИЙСКОЙ ФЕДЕРАЦИИ И МУНИЦИПАЛЬНЫХ ОБРАЗОВАНИЙ</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</si>
  <si>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</si>
  <si>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 (Межбюджетные трансферты)</t>
  </si>
  <si>
    <t>500</t>
  </si>
  <si>
    <t>ОТДЕЛ ОБРАЗОВАНИЯ АДМИНИСТРАЦИИ СКОВОРОДИНСКОГО РАЙОНА</t>
  </si>
  <si>
    <t>Расходы на обеспечение деятельности (оказание услуг) муниципальных детских дошкольных учреждений</t>
  </si>
  <si>
    <t>Расходы на обеспечение деятельности (оказание услуг) муниципальных детских дошкольных учреждений (Предоставление субсидий бюджетным, автономным учреждениям и иным некоммерческим организациям)</t>
  </si>
  <si>
    <t>Модернизация муниципальных систем дошкольного образования</t>
  </si>
  <si>
    <t>Модернизация муниципальных систем дошкольного образования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</si>
  <si>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</si>
  <si>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Проведение энергоаудита и паспортизации существующих зданий и сооружений бюджетной сферы</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</si>
  <si>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</si>
  <si>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Повышение тепловой защиты зданий, строений, сооружений</t>
  </si>
  <si>
    <t>Повышение тепловой защиты зданий, строений, сооружений (Предоставление субсидий бюджетным, автономным учреждениям и иным некоммерческим организациям)</t>
  </si>
  <si>
    <t>Развитие инженерно-технического обеспечения профилактики терроризма и экстремизма</t>
  </si>
  <si>
    <t>Развитие инженерно-технического обеспечения профилактики терроризма и экстремизма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</si>
  <si>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общеобразовательных учреждений</t>
  </si>
  <si>
    <t>Расходы районного бюджета на обеспечение деятельности (оказание услуг) муниципальных общеобразовательных учреждений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</si>
  <si>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по внешкольной работе с детьми</t>
  </si>
  <si>
    <t>Расходы районного бюджета на обеспечение деятельности (оказание услуг) муниципальных учреждений по внешкольной работе с детьми (Предоставление субсидий бюджетным, автономным учреждениям и иным некоммерческим организациям)</t>
  </si>
  <si>
    <t>Модернизация муниципальных систем общего образования (Предоставление субсидий бюджетным, автономным учреждениям и иным некоммерческим организациям)</t>
  </si>
  <si>
    <t>Выявление и поддержка одаренных детей</t>
  </si>
  <si>
    <t>Выявление и поддержка одаренных детей (Предоставление субсидий бюджетным, автономным учреждениям и иным некоммерческим организациям)</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</si>
  <si>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</si>
  <si>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</si>
  <si>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</si>
  <si>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Строительство и оснащение детских автоплощадок</t>
  </si>
  <si>
    <t>Строительство и оснащение детских автоплощадок (Предоставление субсидий бюджетным, автономным учреждениям и иным некоммерческим организациям)</t>
  </si>
  <si>
    <t>Создания «Класса безопасности дорожного движения»</t>
  </si>
  <si>
    <t>Создания «Класса безопасности дорожного движения» (Предоставление субсидий бюджетным, автономным учреждениям и иным некоммерческим организациям)</t>
  </si>
  <si>
    <t>Организация и проведение конкурса-соревнования «Безопасное колесо»</t>
  </si>
  <si>
    <t>Организация и проведение конкурса-соревнования «Безопасное колесо» (Предоставление субсидий бюджетным, автономным учреждениям и иным некоммерческим организациям)</t>
  </si>
  <si>
    <t>Расходы на выплату стипендии отличника обучающимся муниципальных общеобразовательных учреждений района по прочим непрограммным расходам</t>
  </si>
  <si>
    <t>Расходы на выплату стипендии отличника обучающимся муниципальных общеобразовательных учреждений района по прочим непрограммным расходам (Предоставление субсидий бюджетным, автономным учреждениям и иным некоммерческим организациям)</t>
  </si>
  <si>
    <t>Частичная оплата стоимости путевок для детей работающих граждан в организации отдыха и оздоровления детей в каникулярное время</t>
  </si>
  <si>
    <t>Частичная оплата стоимости путевок для детей работающих граждан в организации отдыха и оздоровления детей в каникулярное время (Предоставление субсидий бюджетным, автономным учреждениям и иным некоммерческим организациям)</t>
  </si>
  <si>
    <t>Расходы на обеспечение функций исполнительных органов местного самоуправления в области образования</t>
  </si>
  <si>
    <t>Расходы на обеспечение функций исполнительных органов местного самоуправления в области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</si>
  <si>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</si>
  <si>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t>
  </si>
  <si>
    <t>Расходы на содержание и обеспечение деятельности централизованной бухгалтерии и группы хозяйственного обслуживания отдела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</si>
  <si>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и обеспечение деятельности централизованной бухгалтерии и группы хозяйственного обслуживания отдела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</si>
  <si>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 (Иные бюджетные ассигнования)</t>
  </si>
  <si>
    <t>Расходы на обеспечение деятельности (оказание услуг) подведомственных учреждений, обепечивающих предоставление услуг в сфере образования</t>
  </si>
  <si>
    <t>Расходы на обеспечение деятельности (оказание услуг) подведомственных учреждений, обепечивающих предоставление услуг в сфере образования (Предоставление субсидий бюджетным, автономным учреждениям и иным некоммерческим организациям)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</si>
  <si>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</si>
  <si>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 (Социальное обеспечение и иные выплаты населению)</t>
  </si>
  <si>
    <t>Единовременная денежная выплата при передаче ребенка на воспитание в семью</t>
  </si>
  <si>
    <t>Единовременная денежная выплата при передаче ребенка на воспитание в семью (Социальное обеспечение и иные выплаты населению)</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</si>
  <si>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</si>
  <si>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(Социальное обеспечение и иные выплаты населению)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</si>
  <si>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</si>
  <si>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(Социальное обеспечение и иные выплаты населению)</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</si>
  <si>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(Социальное обеспечение и иные выплаты населению)</t>
  </si>
  <si>
    <t>КОМИТЕТ ПО УПРАВЛЕНИЮ ИМУЩЕСТВОМ</t>
  </si>
  <si>
    <t>Расходы на обеспечение функций исполнительных органов местного самоуправления в области управления муниципальным имуществом</t>
  </si>
  <si>
    <t>Расходы на обеспечение функций исполнительных органов местного самоуправления в области управления муниципальным имуществом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</si>
  <si>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управления муниципальным имуществом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</si>
  <si>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в области управления муниципальным имуществом (Иные бюджетные ассигнования)</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</si>
  <si>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</si>
  <si>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</si>
  <si>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t>
  </si>
  <si>
    <t>Расходы на обеспечение деятельности (оказание услуг) единой дежурно-диспетчерской службы района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</si>
  <si>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дополнительного образования детей</t>
  </si>
  <si>
    <t>Расходы районного бюджета на обеспечение деятельности (оказание услуг) муниципальных учреждений дополнительного образования детей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</si>
  <si>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домов культуры, клубов</t>
  </si>
  <si>
    <t>Расходы на обеспечение деятельности (оказание услуг) домов культуры, клубов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</si>
  <si>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музея</t>
  </si>
  <si>
    <t>Расходы на обеспечение деятельности (оказание услуг) музея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</si>
  <si>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библиотеки</t>
  </si>
  <si>
    <t>Расходы на обеспечение деятельности (оказание услуг) библиотеки (Предоставление субсидий бюджетным, автономным учреждениям и иным некоммерческим организациям)</t>
  </si>
  <si>
    <t>Всего</t>
  </si>
  <si>
    <t xml:space="preserve">к решению районного Совета </t>
  </si>
  <si>
    <t>Раздел</t>
  </si>
  <si>
    <t>Подраздел</t>
  </si>
  <si>
    <t>Целевая статья</t>
  </si>
  <si>
    <t>Вид расходов</t>
  </si>
  <si>
    <t>Не указано</t>
  </si>
  <si>
    <t>Условно утвержленные расходы</t>
  </si>
  <si>
    <t>000</t>
  </si>
  <si>
    <t xml:space="preserve">Дорожное хозяйство </t>
  </si>
  <si>
    <t>Комитет по управлению муниципальныи имуществом</t>
  </si>
  <si>
    <t>непрогр</t>
  </si>
  <si>
    <t>обл.</t>
  </si>
  <si>
    <t>программы районные</t>
  </si>
  <si>
    <t>01 0 00 00000</t>
  </si>
  <si>
    <t>02 0 00 00000</t>
  </si>
  <si>
    <t>03 0 00 00000</t>
  </si>
  <si>
    <t>04 0 00 00000</t>
  </si>
  <si>
    <t>05 0 00 00000</t>
  </si>
  <si>
    <t>06 0 00 00000</t>
  </si>
  <si>
    <t>07 0 00 00000</t>
  </si>
  <si>
    <t>08 0 00 00000</t>
  </si>
  <si>
    <t>09 0 00 00000</t>
  </si>
  <si>
    <t>10 0 00 00000</t>
  </si>
  <si>
    <t>11 0 00 00000</t>
  </si>
  <si>
    <t>12 0 00 00000</t>
  </si>
  <si>
    <t>13 0 00 00000</t>
  </si>
  <si>
    <t>14 0 00 00000</t>
  </si>
  <si>
    <t>2017</t>
  </si>
  <si>
    <t>2018</t>
  </si>
  <si>
    <t>2019</t>
  </si>
  <si>
    <t>99 1 01 01110</t>
  </si>
  <si>
    <t>99 1 01 01120</t>
  </si>
  <si>
    <t>99 1 01 01130</t>
  </si>
  <si>
    <t>03 2 02 03010</t>
  </si>
  <si>
    <t>10 4 04 01140</t>
  </si>
  <si>
    <t>99 3 03 01970</t>
  </si>
  <si>
    <t>99 1 01 01150</t>
  </si>
  <si>
    <t>10 4 04 01910</t>
  </si>
  <si>
    <t>01 2 02 01140</t>
  </si>
  <si>
    <t>10 4 04 01410</t>
  </si>
  <si>
    <t>11 1 01 11010</t>
  </si>
  <si>
    <t>11 2 02 11040</t>
  </si>
  <si>
    <t>99 3 03 01920</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</si>
  <si>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 в 2015-2020 годы"</t>
  </si>
  <si>
    <t>04 2 02 04080</t>
  </si>
  <si>
    <t>01 1 01 01020</t>
  </si>
  <si>
    <t>01 1 01 01050</t>
  </si>
  <si>
    <t>01 1 01 01070</t>
  </si>
  <si>
    <t>01 1 01 01080</t>
  </si>
  <si>
    <t>01 2 02 01090</t>
  </si>
  <si>
    <t>01 2 02 01100</t>
  </si>
  <si>
    <t>Субсидии субъектам малого и среднего предпринимательства по возмещению затрат на производство хлеба и хлебобулочных изделий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</si>
  <si>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08 1 01 08050</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</si>
  <si>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</si>
  <si>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08 1 01 08060</t>
  </si>
  <si>
    <t>04 1 01 04020</t>
  </si>
  <si>
    <t>Приобретение автобусов для развития перевозок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</si>
  <si>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13 1 01 13010</t>
  </si>
  <si>
    <t>13 1 01 13020</t>
  </si>
  <si>
    <t>13 1 01 13030</t>
  </si>
  <si>
    <t>13 1 01 13040</t>
  </si>
  <si>
    <t>13 1 01 13050</t>
  </si>
  <si>
    <t>13 2 02 13100</t>
  </si>
  <si>
    <t>13 2 02 13110</t>
  </si>
  <si>
    <t>13 3 03 13120</t>
  </si>
  <si>
    <t>13 3 03 13140</t>
  </si>
  <si>
    <t>08 1 01 08010</t>
  </si>
  <si>
    <t>08 1 01 08020</t>
  </si>
  <si>
    <t>08 1 01 08040</t>
  </si>
  <si>
    <t>07 2 02 07020</t>
  </si>
  <si>
    <t>Развитие водоснабжения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</si>
  <si>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01 2 02 01150</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</si>
  <si>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муниципальной программы "Обеспечение доступным и качественным жильем населения Сковородинского района на 2015-2020 годы"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мероприятия по софинансированию расходов местного бюджета</t>
  </si>
  <si>
    <t>07 2 02 S9602</t>
  </si>
  <si>
    <t>99 3 03 01980</t>
  </si>
  <si>
    <t>Закупка товаров, работ и услуг для государственных (муниципальных) нужд</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</si>
  <si>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</si>
  <si>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05 1 01 05010</t>
  </si>
  <si>
    <t>Участие в организации деятельности по сбору (в том числе раздельному сбору), транспортированию, обработке, утилизации, обезжириванию,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</si>
  <si>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Участие в организации деятельности по сбору (в том числе раздельному сбору), транспортированию, обработке, утилизации, обезжириванию, захоронению твердых коммунальных отходов на территориях соответствующих муниципальных районов (Закупка товаров, работ и услуг для государственных (муниципальных) нужд)</t>
  </si>
  <si>
    <t>04 1 01 04040</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</si>
  <si>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t>
  </si>
  <si>
    <t>04 1 01 04050</t>
  </si>
  <si>
    <t>04 1 01 04060</t>
  </si>
  <si>
    <t>Обустройство скотомогильников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</si>
  <si>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14 1 01 14010</t>
  </si>
  <si>
    <t>14 1 01 14020</t>
  </si>
  <si>
    <t>14 1 01 14030</t>
  </si>
  <si>
    <t>Приобретение и посадка деревьев, газона, живой изгороди в рамках  муниципальной программы "Благоустройство Сковородинского района на 2015-2020 годы"</t>
  </si>
  <si>
    <t>Приобретение и установка фонарей в рамках  муниципальной программы "Благоустройство Сковородинского района на 2015-2020 годы"</t>
  </si>
  <si>
    <t>Приобретение и установка детских, спортивных площадок в рамках  муниципальной программы "Благоустройство Сковородинского района на 2015-2020 годы"</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</si>
  <si>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</si>
  <si>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12 1 01 12020</t>
  </si>
  <si>
    <t>Уничтожение сырьевой базы конопли, являющейся производной для изготовления наркотиков в рамках подпрограммы "Противодействие злоупореблению наркотическими средствами и их незаконному обороту в Сковородинском районе на 2015-2020 годы"</t>
  </si>
  <si>
    <t>06 1 01 06010</t>
  </si>
  <si>
    <t>Формирование правосознания несовершеннолетних и молодежи с целью противодействию распространения идеологии терроризма и экстремизма в рамках подпрограммы "Профилактика правонарушений, терроризма и эестремизма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 на 2015-2020 годы"</t>
  </si>
  <si>
    <t>11 2 02 11020</t>
  </si>
  <si>
    <t>Пропаганда здорового и социально активного образа жизни в рамках подпрограммы "Профилактика правонарушений, терроризма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 на 2015-2020 годы"</t>
  </si>
  <si>
    <t>11 2 02 11030</t>
  </si>
  <si>
    <t>Расходы на обеспечение деятельности добровольнных формирований населения по охране общественнного порядка в рамках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 на 2015-2020 годы"</t>
  </si>
  <si>
    <t>11 2 02 11070</t>
  </si>
  <si>
    <t>Организация и проведение мероприятий по реализации муниципальной подпрограммы в рамках подпрограммы "Вовлечение молодежи в социальную практику" муниципальной программы "Развитие образования Сковородинского района на 2015-2020 годы"</t>
  </si>
  <si>
    <t>12 3 03 12080</t>
  </si>
  <si>
    <t>Организация и проведение мероприятия по реализации муниципальной программы в рамках подпрограммы "Этнокультурное наследие" муниципальной программы "Развитие и сохранение культуры и искусства Сковородинского района на 2015-2020 годы"</t>
  </si>
  <si>
    <t>03 4 04 03020</t>
  </si>
  <si>
    <t>Организация и проведение мероприятия по реализации муниципальной программы в рамках подпрограммы "Мероприятия в сфере культуры и искусства" муниципальной программы "Развитие и сохранение культурыи искусства Сковородинского района на 2015-2020 годы"</t>
  </si>
  <si>
    <t>03 6 06 03030</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</si>
  <si>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 на 2015-2020 годы"</t>
  </si>
  <si>
    <t>03 7 07 03040</t>
  </si>
  <si>
    <t>Капитальные вложения в объекты муниципальной собственности в рамках подпрограммы "Обеспечение реализации основных направлений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</si>
  <si>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03 7 07 03050</t>
  </si>
  <si>
    <t>99 3 03 01940</t>
  </si>
  <si>
    <t>12 3 02 87290</t>
  </si>
  <si>
    <t>10 6 01 88430</t>
  </si>
  <si>
    <t>Организационная, информационная, консультационная поддержка субъектов малого и среднего предпринимательства в рамках подпрограммы "Развитие субъектов малого и среднего предпринимательства" муниципальнной программы "Экономическое развитие Сковородинского района в 2015-2020 годы"</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</si>
  <si>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</si>
  <si>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Субсидии начинающим субъектам малого и среднего предпринимательства на создание собственного бизнеса в рамках подпрогрммы "Развитие субъектов малого и среднего предпринимательства" муниципальной программы "Экономическое развитие Сковородинского района в 2015-2020 годы"</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</si>
  <si>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</si>
  <si>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Обеспечение содержания, ремонта автомобильных дорог общего пользования местного значения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 нна 2015-2020 годы"</t>
  </si>
  <si>
    <t>Расходы на обеспечение деятельности (оказание услуг) муниципальных учреждений в рамках подпроограммы "Архивное дело" муниципальной программы "Развитие и сохранение культуры и искусства Сковородинского района на 2015-2020годы"</t>
  </si>
  <si>
    <t>Расходы на обеспечение функций исполнительных органов местного самоуправления в рамках продпрограммы "Эффективное управление расходами админнистрации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</si>
  <si>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Резервный фонд администрации Сковородинского района в рамках подпрограммы "Эффективное управление расходами администрации района" муниципальной программы "Повышение эффективнности деятельности органов местного самоуправления Сковородинского районна в 2015-2020 годы"</t>
  </si>
  <si>
    <t>Модернизация учреждений здравохранения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</si>
  <si>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</si>
  <si>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"С6ниженние рисков и смягчение последствий чрезвычайных ситуаций природного и техногенного характера, а также обеспечение безопасности населения района на 2015-20520 годы"</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</si>
  <si>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районна на 2015-2020 годы"</t>
  </si>
  <si>
    <t>Возмещение части затрат по доставке кормов от производителя хозяйствам, расположенным на территории района в рамках подпрогрммы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</si>
  <si>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Возмещение части затрат по наращиванию или сохранению поголовья лошадей в рамках подпрограммы "Развитие подотраслей растеневодства и живодноводства" муниципальной программы "Развитие сельского хозяйства в Сковородинском районе на 2015-2020 годы"</t>
  </si>
  <si>
    <t>Финансовое обеспечение (возмещение) части затрат, связанных с приобретением сельскохозяйственной техники и оборудования в рамках подпрограммы "Развитие подотраслей растенееводства и живодноводства" муниципальной программы "Развитие сельского хозяйства в Сковородинском районне на 2015-2020 годы"</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</si>
  <si>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</si>
  <si>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Улучшение жилищных условий граждан,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</si>
  <si>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Улучшение жилищных условий молодых семей и молодых специалистов,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Сковородиннском районе на 2015-2020 годы"</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</si>
  <si>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</si>
  <si>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Капитальный ремонт защитной дамбы от паводковых вод в п. Уруша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</si>
  <si>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Приобретение автобусов для развития перевозок (Закупка товаров, работ и услуг для государственных (муниципальных) нужд)</t>
  </si>
  <si>
    <t>Модернизация подвижного состава для осуществления перевозок в рамках подрограммы "Развитие транспортного комплекса" муниципальной программы "Развитие транспортной системы Сковородинского района на 2015-2020 годы"</t>
  </si>
  <si>
    <t>Внедрение автоматизированных систем управления автомобильным пассажирским транспортом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</si>
  <si>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Приобретение билетной продукции для пассажирского автотранспорта общего пользования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</si>
  <si>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Приобретение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</si>
  <si>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Совершенствование пешеходных переходов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</si>
  <si>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в рамках подпрограммы "Повышение безопасности дорожнного движения на территории района" муниципальной программы "Развитие траннспортной системы Сковородинского района на 2015-2020 годы"</t>
  </si>
  <si>
    <t>Дорожное хозяйство(дорожные фонды)</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</si>
  <si>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t>
  </si>
  <si>
    <t>99 3 03 01620</t>
  </si>
  <si>
    <t>99 3 03 01630</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</si>
  <si>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на 2015-2020 годы" муниципальной программы "Реабилитация и обеспечение жизнедеятельности инвалидов в Сковородинском районе на 2015-2020 годы"</t>
  </si>
  <si>
    <t>02 1 01 02010</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</si>
  <si>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</si>
  <si>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07 1 01 07010</t>
  </si>
  <si>
    <t>10 3 03 10070</t>
  </si>
  <si>
    <t>99 3 03 01610</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</si>
  <si>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t>
  </si>
  <si>
    <t>99 3 03 01640</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</si>
  <si>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государственой программы "Обеспечение доступным и качественным жильем населения Амурской области на 2014-2020 годы"</t>
  </si>
  <si>
    <t>07 7 01 R0820</t>
  </si>
  <si>
    <t>Приобретение спортивного инвентаря и оборудования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t>
  </si>
  <si>
    <t>09 1 01 09020</t>
  </si>
  <si>
    <t>Подготовка спортсменов с ограниченными возможностями и их 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t>
  </si>
  <si>
    <t>09 1 01 09040</t>
  </si>
  <si>
    <t>Проведение спортивных мероприятий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t>
  </si>
  <si>
    <t>09 1 01 09010</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</si>
  <si>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t>
  </si>
  <si>
    <t>09 1 01 09030</t>
  </si>
  <si>
    <t>Реконструкция стадиона в квартале 9/23 г.Сковородино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 на 2015-2020 годы"</t>
  </si>
  <si>
    <t>09 1 01 09050</t>
  </si>
  <si>
    <t>Расходы на обеспечение функций Финансового управления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</si>
  <si>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10 1 01 01160</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</si>
  <si>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</si>
  <si>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10 1 01 10030</t>
  </si>
  <si>
    <t>Расходы районного бюджета по предоставлению бюджетам поселений района дотаций на выравнивание бюджетной обеспеченности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</si>
  <si>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10 1 01 01510</t>
  </si>
  <si>
    <t>Расходы районного бюджета по предоставлению бюджетам поселений района дотаций на выравнивание бюджетной обеспеченности (Межбюджетные трансферты)</t>
  </si>
  <si>
    <t>Расходы на обеспечение деятельности (оказание услуг) муниципальных детских дошкольных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</si>
  <si>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12 1 01 01210</t>
  </si>
  <si>
    <t>Модернизация муниципальных систем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</si>
  <si>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12 1 01 12010</t>
  </si>
  <si>
    <t>Развитие инженерно-технического обеспечения профилактики терроризма и экстремизма в рамках подпрограммы "Профилактика правонарушений, терроризма и экстремизма в районе" муниципальной программы "Снижениеи рисков и смягчение последствий чрезвычайных ситуаций природного и техногенного характера, а также обеспечение безопасности населения района на 2015-2020 годы"</t>
  </si>
  <si>
    <t>11 2 02 11050</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</si>
  <si>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</si>
  <si>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12 1 01 01220</t>
  </si>
  <si>
    <t>Расходы районного бюджета на обеспечение деятельности (оказание услуг) муниципальных учреждений по внешкольной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</si>
  <si>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12 1 01 01240</t>
  </si>
  <si>
    <t>Выявление и поддержка одаренных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</si>
  <si>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12 1 01 12030</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</si>
  <si>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</si>
  <si>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12 1 01 12040</t>
  </si>
  <si>
    <t>Строительство и оснащение детских автоплощадок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t>
  </si>
  <si>
    <t>13 2 02 13070</t>
  </si>
  <si>
    <t>Создания «Класса безопасности дорожного движения»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t>
  </si>
  <si>
    <t>13 2 02 13080</t>
  </si>
  <si>
    <t>Организация и проведение конкурса-соревнования «Безопасное колесо»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t>
  </si>
  <si>
    <t>13 2 02 13090</t>
  </si>
  <si>
    <t>99 3 03 01650</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</si>
  <si>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на 2015-2020 годы"</t>
  </si>
  <si>
    <t>12 2 02 12050</t>
  </si>
  <si>
    <t>Расходы на обеспечение функций исполнительных органов местного самоуправления в области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</si>
  <si>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12 4 04 01170</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</si>
  <si>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</si>
  <si>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12 4 04 01180</t>
  </si>
  <si>
    <t>Расходы на обеспечение деятельности (оказание услуг) подведомственных учреждений, обепечивающих предоставление услуг в сфере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</si>
  <si>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12 4 04 01430</t>
  </si>
  <si>
    <t>Расходы на обеспечение функций исполнительных органов местного самоуправления в области управления муниципальным имуществом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 в 2015-2020 годы"</t>
  </si>
  <si>
    <t>10 2 02 01180</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</si>
  <si>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 в 2015-2020 годы"</t>
  </si>
  <si>
    <t>10 2 02 10040</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</si>
  <si>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</si>
  <si>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 в рамках подпрограммы "Развитие системы гражданскойм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итехногенного характера, а также обеспечение безопасности населения района на 2015-2020 годы"</t>
  </si>
  <si>
    <t>11 1 01 11420</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</si>
  <si>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</si>
  <si>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12 1 01 01230</t>
  </si>
  <si>
    <t>Расходы на обеспечение деятельности (оказание услуг) домов культуры, клубов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 на 2015-2020 годы"</t>
  </si>
  <si>
    <t>03 1 01 01310</t>
  </si>
  <si>
    <t>Расходы на обеспечение деятельности (оказание услуг) музея в рамках подпрограммы "Историко-культурное наследие" муниципальной программы "Развитие и сохранение культуры и искусства Сковородинского района на 2015-2020 годы"</t>
  </si>
  <si>
    <t>03 3 03 01330</t>
  </si>
  <si>
    <t>Расходы на обеспечение деятельности (оказание услуг) библиотеки в рамках подпрограммы "Библиотечное обслуживание" муниципальной программы "Развитие и сохранение культуры и искусства Сковородинского района на 2015-2020 годы"</t>
  </si>
  <si>
    <t>03 5 05 01320</t>
  </si>
  <si>
    <t>10 6 01 51200</t>
  </si>
  <si>
    <t>Оосуществление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(Закупка товаров, работ и услуг для государственных (муниципальных) нужд)</t>
  </si>
  <si>
    <t>01 5 01 69700</t>
  </si>
  <si>
    <t xml:space="preserve">Расходы на приобретение объектов недвижимого имущества в муниципальную собственность </t>
  </si>
  <si>
    <t>99 9 09 21010</t>
  </si>
  <si>
    <t>(Капитальные вложения в объекты недвижимого имущества (государственной) муниципальной собственности</t>
  </si>
  <si>
    <t xml:space="preserve">условно утвержденные </t>
  </si>
  <si>
    <t>Нные бюджетные ассигноввания</t>
  </si>
  <si>
    <t xml:space="preserve"> Доходы районного бюджета  на 2017  год и плановый период 2018 и 2019 годов </t>
  </si>
  <si>
    <t>Единица измерения руб.</t>
  </si>
  <si>
    <t>КОД</t>
  </si>
  <si>
    <t>Наименование кода поступлений в бюджет, группы, подгруппы, статьи, подстатьи, элемента, группы подвида, аналитической группы подвида доходов</t>
  </si>
  <si>
    <t>1 11 03050 05 0000 130</t>
  </si>
  <si>
    <t>Дотации бюджетам муниципальных районов на выравнивание бюджетной обеспеченности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</si>
  <si>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</si>
  <si>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</si>
  <si>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</si>
  <si>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</si>
  <si>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1 11 07015 05 0000 120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</si>
  <si>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</si>
  <si>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</si>
  <si>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</si>
  <si>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</si>
  <si>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</si>
  <si>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Прочие поступления от денежных взысканий (штрафов) и иных сумм в возмещение ущерба, зачисляемые в бюджеты муниципальных районов </t>
  </si>
  <si>
    <t>1 12 01010 01 6000 120</t>
  </si>
  <si>
    <t xml:space="preserve">Плата за выбросы загрязняющих веществ в атмосферный воздух стационарными объектами </t>
  </si>
  <si>
    <t>1 12 01020 01 6000 120</t>
  </si>
  <si>
    <t xml:space="preserve">Плата за выбросы загрязняющих веществ в атмосферный воздух передвижными объектами </t>
  </si>
  <si>
    <t>1 12 01030 01 6000 120</t>
  </si>
  <si>
    <t>Плата за сбросы загрязняющих веществ в водные объекты</t>
  </si>
  <si>
    <t>1 12 01040 01 6000 120</t>
  </si>
  <si>
    <t xml:space="preserve">Плата за размещение отходов производства и потребления </t>
  </si>
  <si>
    <t>081</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</si>
  <si>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</si>
  <si>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</si>
  <si>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</si>
  <si>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177</t>
  </si>
  <si>
    <t>1 16 43000 01 0000 110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</si>
  <si>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</si>
  <si>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</si>
  <si>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</si>
  <si>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</si>
  <si>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</si>
  <si>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</si>
  <si>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1 05 02010 02 0000 110</t>
  </si>
  <si>
    <t>1 05 02020 02 0000 110</t>
  </si>
  <si>
    <t>Единый налог на вмененный доход для отдельных видов деятельности(за налоговые периоды, истекшие до 01 января 2011 года)</t>
  </si>
  <si>
    <t>1 05 04020 02 0000 110</t>
  </si>
  <si>
    <t>Налог, взымаемый в связи с применением патентной системы налогооблажения, зачисляемый в бюджеты муниципальных районов</t>
  </si>
  <si>
    <t>1 06 06043 05 0000 110</t>
  </si>
  <si>
    <t>Земельный налог с физических лиц, обладающих земельным участком, расположенным в границах межселенных территорий</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</si>
  <si>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</si>
  <si>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</si>
  <si>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</si>
  <si>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1 16 08010 01 6000 140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</si>
  <si>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</si>
  <si>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1 16 90050 05 6000 140</t>
  </si>
  <si>
    <t>1 16 43000 01 6000 140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</si>
  <si>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</si>
  <si>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</si>
  <si>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на осуществление государственного полномочия по предоставлению елиновременной денежной выплаты при передаче ребенка на воспитание в семью</t>
  </si>
  <si>
    <t>Субвенции бюджетам муниципальных образований на обеспечение государственых гарантий реализации прав на получение общедоступного и бесплатного образования</t>
  </si>
  <si>
    <t>Прочие субсидии бюджетам муниципальных районов</t>
  </si>
  <si>
    <t>Вед</t>
  </si>
  <si>
    <t>12 2 01 88500</t>
  </si>
  <si>
    <t xml:space="preserve">Молодежная политика </t>
  </si>
  <si>
    <t>Частичная оплата стоимости путевок для детей работающих граждан в организации отдыха и оздоровления детей в каникулярное время путем предоставления субсидии муниципальным образованиям в рамках подпрограммы "Развитие системы защиты прав детей" государственной программы "Развитие образования Амурской области на 2014-2020 годы"</t>
  </si>
  <si>
    <t>Предоставление субсидий бюджетным, автономным учреждениям и иным некоммерческим организациям</t>
  </si>
  <si>
    <t>12 3 01 87500</t>
  </si>
  <si>
    <t>Расходы, связанные с материально-техническим обеспечением выборов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в 2015-2020 годы»</t>
  </si>
  <si>
    <t>10 1 01 10080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</si>
  <si>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</si>
  <si>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t>
  </si>
  <si>
    <t>сбствен.</t>
  </si>
  <si>
    <t>межбюд.</t>
  </si>
  <si>
    <t xml:space="preserve">МЕЖБЮДЖЕТНЫЕ ТРАНСФЕРТЫ ОБЩЕГО ХАРАКТЕРА БЮДЖЕТАМ СУБЪЕКТОВ РОССИЙСКОЙ ФЕДЕРАЦИИ </t>
  </si>
  <si>
    <t>УПРАВЛЕНИЕ ОБРАЗОВАНИЯ АДМИНИСТРАЦИИ СКОВОРОДИНСКОГО РАЙОНА</t>
  </si>
  <si>
    <t>Управление образования администрации Сковородинского района</t>
  </si>
  <si>
    <t>Расходы на проведение мероприятий в области социальной политики по прочим непрограммным расходам (Закупка товаров, работ и услуг для государственных (муниципальных) нужд)</t>
  </si>
  <si>
    <t>Молодежная политика</t>
  </si>
  <si>
    <t>99 9 09 99990</t>
  </si>
  <si>
    <t>99 9 09 9990</t>
  </si>
  <si>
    <t>Иные бюджетные ассигноввания</t>
  </si>
  <si>
    <t>05 1 01 87120</t>
  </si>
  <si>
    <t>Финансовое обеспечение государственных полномочий по организационному обеспечению деятельности административных комиссий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2014-2020 годы"</t>
  </si>
  <si>
    <t>Финансовое обнспечение государственной полномочий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 (Иные бюджетные ассигнования)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</si>
  <si>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</si>
  <si>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t>
  </si>
  <si>
    <t>Капитапльные вложения в объекты государственной (муниципальной) собственности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</si>
  <si>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</si>
  <si>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государственной программы "Развитие образования Амурской области на 2014-2020 годы"</t>
  </si>
  <si>
    <t>Социальное обеспечение и иные выплаты населению</t>
  </si>
  <si>
    <t>Финансовое обеспечение государственых полномочий по организации и осуществлению деятельности по опеке и попечительству в отношении несовершеннолетних в рамках подпрограммы "Социальная поддержка семьи и детей в Амурской области" государственой программы "Развитие системы социальной защиты населения Амурской области на 2014-2020 г.г."</t>
  </si>
  <si>
    <t>Расходы на обеспечение деятельности (оказание услуг) муниципальных учреждений в рамках подпрограммы "Архивное дело" муниципальной программы "Развитие и сохранение культуры и искусства Сковородинского района на 2015-2020годы"</t>
  </si>
  <si>
    <t>Возмещение части затрат по наращиванию или сохранению поголовья лошадей (Иные бюджетные ассигнования)</t>
  </si>
  <si>
    <t>Субсидии субъектам малого и среднего предпринимательства по возмещению затрат на производство хлеба и хлебобулочных изделий (Иные бюджетные ассигновапния)</t>
  </si>
  <si>
    <t>Субсидии начинающим субъектам малого и среднего предпринимательства на создание собственного бизнеса (Иные бюджетные ассигнования)</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</si>
  <si>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(Иные бюджетные ассигнования)</t>
  </si>
  <si>
    <t>Развитие водоснабжения в сельской местности (Закупка товаров, работ и услуг для государственных (муниципальных) нужд)</t>
  </si>
  <si>
    <t>Расходы направленные на модернизацию коммунальной инфраструктуры (Закупка товаров, работ и услуг для государственных (муниципальных) нужд)</t>
  </si>
  <si>
    <t>Приобретение и посадка деревьев, газона, живой изгороди в рамках подпрограммы "Благоустройство Сковородинского района нам 2015-2020 годы" муниципальной программы "Благоустройство Сковородинского района на 2015-2020 годы"</t>
  </si>
  <si>
    <t>Приобретение и установка детских, спортивных площадок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</si>
  <si>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Формирование правосознания несовершеннолетних и молодежи с целью противодействию распространения идеологии терроризма и экстремизма  (Закупка товаров, работ и услуг для государственных (муниципальных) нужд)</t>
  </si>
  <si>
    <t>Расходы на обеспечение деятельности добровольнных формирований населения по охране общественнного порядка(Закупка товаров, работ и услуг для государственных (муниципальных) нужд)</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</si>
  <si>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расходам(Социальное обеспечение и иные выплаты населению)</t>
  </si>
  <si>
    <t>Реконструкция стадиона в квартале 9/23 г.Сковородино (Капитальные вложения в объекты недвижимого имущества государственной (муниципальной) собственности)</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</si>
  <si>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 (Предоставление субсидий бюджетным, автономным учреждениям и иным некоммерческим организациям)</t>
  </si>
  <si>
    <t>Организация и прведение мероприятий по реализации муниципальной подпрограммы (Закупка товаров, работ и услуг для государственных (муниципальных) нужд)</t>
  </si>
  <si>
    <t xml:space="preserve">Капитальные вложения в объекты муниципальной собственности </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</si>
  <si>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</si>
  <si>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Обеспечение мероприятий по капитальному ремонту многоквартирных домов(Закупка товаров, работ и услуг для государственных (муниципальных) нужд)</t>
  </si>
  <si>
    <t>05 2 02 05030</t>
  </si>
  <si>
    <t>2 02 40014 05 0000 151</t>
  </si>
  <si>
    <t>Организация транспортного обслуживания населения в границах г. Сковородино в рамках подпрограммы "Развитие транспортного комплекса" муниципальной программы "Развитие транспортной системы Сковородинского районна на 2015-2020 годы"</t>
  </si>
  <si>
    <t>Организация транспортного обслуживания населения в границах г. Сковородино (Закупка товаров, работ и услуг для государственных (муниципальных) нужд)</t>
  </si>
  <si>
    <t>13 1 01 13150</t>
  </si>
  <si>
    <t xml:space="preserve"> 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</si>
  <si>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Приобретение тротуарной плитки (Закупка товаров, работ и услуг для государственных (муниципальных) нужд)</t>
  </si>
  <si>
    <t>14 1 01 14070</t>
  </si>
  <si>
    <t>2 02 39999 05 0000 151</t>
  </si>
  <si>
    <t>Дополнительное образование детей</t>
  </si>
  <si>
    <t>2 02 29999 05 0000 151</t>
  </si>
  <si>
    <t>2 02 30029 05 0000 151</t>
  </si>
  <si>
    <t>2 02 30027 05 0000 151</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</si>
  <si>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</si>
  <si>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</si>
  <si>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межбюд. с минусом</t>
  </si>
  <si>
    <t>10 4 04 01920</t>
  </si>
  <si>
    <t>Другие вопросы в области социальной политике</t>
  </si>
  <si>
    <t>Приобретение оборудования для муниципальных нужд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</si>
  <si>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Приобретение оборудования для муниципальных (Закупка товаров, работ и услуг для государственных (муниципальных) нужд</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</si>
  <si>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области государственной программы  "Обеспечение доступным и качественным жильем населения Амурской области на 2014 - 2020 годы"(за счет средств ГК - Фонда содействия реформированию жилищно-коммунального хозяйства и остатки 2016 года)</t>
  </si>
  <si>
    <t>07 5 01 09502</t>
  </si>
  <si>
    <t>Капитальные вложения в объекты недвижимого имущества государственной (муниципальной) собственности</t>
  </si>
  <si>
    <t>Мероприятия, направленные на обеспечение выполнения функций органов местного самоуправления в части реализации муниципальных программ</t>
  </si>
  <si>
    <t>99 9 09 20730</t>
  </si>
  <si>
    <t>Иные бюджетные ассигнования</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</si>
  <si>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</si>
  <si>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05 3 03 05040</t>
  </si>
  <si>
    <t>Проведение энергоаудита и паспортизации существующих зданий и сооружений бюджетной сферы в рамках подпрограммы «Энергосбережение и повышение энергетической эффективности»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</si>
  <si>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2 02 35082 05 0000 151</t>
  </si>
  <si>
    <t>2 02 15002 05 0000 151</t>
  </si>
  <si>
    <t>2 02 15001 05 0000 151</t>
  </si>
  <si>
    <r>
      <t xml:space="preserve">Расходы районного бюджета по исполнению судебных актов предусматривающих обращение взыскания на средства местного бюджета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</si>
  <si>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10 4 04 01810</t>
  </si>
  <si>
    <t>Расходы районного бюджета по исполнению судебных актов предусматривающих обращение взыскания на средства местного бюджета(Иные бюджетные ассигнования)</t>
  </si>
  <si>
    <t>Иные межбюдетные трансферты</t>
  </si>
  <si>
    <t>п.г.т.Ерофей Павлович</t>
  </si>
  <si>
    <t>05 5 01 05010</t>
  </si>
  <si>
    <t>Прочие расходы по содержанию муниципального имущества, находящегося в собствености муниципального ообразования Сковоородинский район по прочим непрограммным мероприятиям</t>
  </si>
  <si>
    <t>(Закупка товаров, работ и услуг для государственных (муниципальных) нужд)</t>
  </si>
  <si>
    <t>99 3 03 01910</t>
  </si>
  <si>
    <t>Повышение тепловой защиты зданий, строений, сооружений в рамках подпрограммы "Энергосбережение и повышение энергитической эффективности"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а 2015-2020 годы"</t>
  </si>
  <si>
    <t>05 3 03 05060</t>
  </si>
  <si>
    <t>Прочие расходы по содержанию муниципального имущества, находящегося в собствености муниципального образования Сковоородинский район по прочим непрограммным мероприятиям</t>
  </si>
  <si>
    <t>13 3 03 13150</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</si>
  <si>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 на 2015-2020 годы»</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</si>
  <si>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Сибири»"(Закупка товаров, работ и услуг для государственных (муниципальных) нужд)</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</si>
  <si>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 Закупка товаров, работ и услуг для государственных (муниципальных) нужд</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</si>
  <si>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 (Закупка товаров, работ и услуг для государственных (муниципальных) нужд</t>
  </si>
  <si>
    <t>(Закупка товаров, работ и услуг для государственных (муниципальных) нужд</t>
  </si>
  <si>
    <t>Неверский с/с</t>
  </si>
  <si>
    <t>Солнечный с/с</t>
  </si>
  <si>
    <t>п.г.т.Уруша</t>
  </si>
  <si>
    <t>12 2 02 S7500</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</si>
  <si>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 на 2015-2020 годы»</t>
  </si>
  <si>
    <t>Расходы на мероприятия по предупреждению и ликвидации последствий чрезвычайных ситуаций и стихийных бедствий(Закупка товаров, работ и услуг для государственных (муниципальных) нужд)</t>
  </si>
  <si>
    <t>11 1 01 11080</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</si>
  <si>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</si>
  <si>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п.г.т. Уруша</t>
  </si>
  <si>
    <t>с/с Талдан</t>
  </si>
  <si>
    <t>с/с Албазино</t>
  </si>
  <si>
    <t>с/с Джалинда</t>
  </si>
  <si>
    <t>с/с Невер</t>
  </si>
  <si>
    <t xml:space="preserve">с/с Солнечный </t>
  </si>
  <si>
    <t>с/с Тахтамыгда</t>
  </si>
  <si>
    <t>г. Сковородино</t>
  </si>
  <si>
    <t>Приложение № 2</t>
  </si>
  <si>
    <t>Расходы на обеспечение функций исполнительных органов местного самоуправления в области образования (Иные бюджетные ассигнования)</t>
  </si>
  <si>
    <t xml:space="preserve">Приобретение видеорегистраторов для нужд Госавтоинспекции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 </t>
  </si>
  <si>
    <t>Приобретение видеорегистраторов для нужд Госавтоинспекции(Закупка товаров, работ и услуг для государственных (муниципальных) нужд)</t>
  </si>
  <si>
    <t>13 2 02 13160</t>
  </si>
  <si>
    <t>2 02 20051 05 0000 151</t>
  </si>
  <si>
    <t>Субсидии бюджетам муниципальных районов на реализацию федеральных целевых программ</t>
  </si>
  <si>
    <t>07 1 01 L0200</t>
  </si>
  <si>
    <t>Предоставление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</si>
  <si>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 на 2015-2020 годы"</t>
  </si>
  <si>
    <t>проект</t>
  </si>
  <si>
    <r>
      <t xml:space="preserve">Расходы районного бюджета на исполнение мировых соглашений, подлежащих выплате в денежном выражении по расходам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</si>
  <si>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Расходы районного бюджета на исполнение мировых соглашений, подлежащих выплате в денежном выражении по расходам(Иные бюджетные ассигнования)</t>
  </si>
  <si>
    <t>10 4 04 01840</t>
  </si>
  <si>
    <t>Расходы на мероприятия по предупреждению и ликвидации последствий чрезвычайных ситуаций и стихийных бедствий,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 на 2015-2020 годы»</t>
  </si>
  <si>
    <t>Приобретение и установка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</si>
  <si>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Приобретение и установка автобусных остановок (Закупка товаров, работ и услуг для государственных (муниципальных) нужд)</t>
  </si>
  <si>
    <t>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</si>
  <si>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1 00 00000 00 0000 000</t>
  </si>
  <si>
    <t>НАЛОГОВЫЕ И НЕНАЛОГОВЫЕ ДОХОДЫ</t>
  </si>
  <si>
    <t>1 01 00000 00 0000 000</t>
  </si>
  <si>
    <t>1 01 02000 01 0000 110</t>
  </si>
  <si>
    <t>Налог на доходы физических лиц</t>
  </si>
  <si>
    <t>1 05 00000 00 0000 000</t>
  </si>
  <si>
    <t>НАЛОГИ НА СОВОКУПНЫЙ ДОХОД</t>
  </si>
  <si>
    <t>1 06 00000 00 0000 000</t>
  </si>
  <si>
    <t>НАЛОГИ НА ИМУЩЕСТВО</t>
  </si>
  <si>
    <t>1 06 06000 00 0000 110</t>
  </si>
  <si>
    <t>Земельный налог</t>
  </si>
  <si>
    <t>1 08 00000 00 0000 000</t>
  </si>
  <si>
    <t>ГОСУДАРСТВЕННАЯ ПОШЛИНА</t>
  </si>
  <si>
    <t>1 11 00000 00 0000 000</t>
  </si>
  <si>
    <t>ДОХОДЫ ОТ ИСПОЛЬЗОВАНИЯ ИМУЩЕСТВА, НАХОДЯЩЕГОСЯ В ГОСУДАРСТВЕННОЙ И МУНИЦИПАЛЬНОЙ СОБСТВЕННОСТИ</t>
  </si>
  <si>
    <t>1 12 00000 00 0000 000</t>
  </si>
  <si>
    <t>ПЛАТЕЖИ ПРИ ПОЛЬЗОВАНИИ ПРИРОДНЫМИ РЕСУРСАМИ</t>
  </si>
  <si>
    <t>1 14 00000 00 0000 000</t>
  </si>
  <si>
    <t>ДОХОДЫ ОТ ПРОДАЖИ МАТЕРИАЛЬНЫХ И НЕМАТЕРИАЛЬНЫХ АКТИВОВ</t>
  </si>
  <si>
    <t>1 16 00000 00 0000 000</t>
  </si>
  <si>
    <t>ШТРАФЫ, САНКЦИИ, ВОЗМЕЩЕНИЕ УЩЕРБА</t>
  </si>
  <si>
    <t>итого доходов</t>
  </si>
  <si>
    <t>НАЛОГИ НА ТОВАРЫ (РАБОТЫ, УСЛУГИ), РЕАЛИЗУЕМЫЕ НА ТЕРРИТОРИИ РОССИЙСКОЙ ФЕДЕРАЦИИ</t>
  </si>
  <si>
    <t>1 03 00000 00 0000 000</t>
  </si>
  <si>
    <t>1 03 02000 01 0000 110</t>
  </si>
  <si>
    <t>АКЦИЗЫ ПО ПОДАКЦИЗНЫМ ТОВАРАМ (ПРОДУКЦИИ) ПРОИЗВОДИМЫЕ НА ТЕРРИТОРИИ РОССИЙСКОЙ ФЕДЕРАЦИИ</t>
  </si>
  <si>
    <t>2 00 00000 00 0000 000</t>
  </si>
  <si>
    <t>БЕЗВОЗМЕЗДНЫЕ ПОСТУПЛЕНИЯ</t>
  </si>
  <si>
    <t>ИТОГО ДОХОДОВ</t>
  </si>
  <si>
    <t>НАЛОГИ НА ПРИБЫЛЬ, ДОХОДЫ</t>
  </si>
  <si>
    <t>Налог, взымаемый в связи с применением патентной системы налогообложения, зачисляемый в бюджеты муниципальных районов</t>
  </si>
  <si>
    <t>1 11 03050 05 0000 120</t>
  </si>
  <si>
    <t>1 16 43000 01 0000 140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</si>
  <si>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</si>
  <si>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Дотации бюджетам муниципальных районов на поддержку мер по обеспечению сбалансированности бюджетов</t>
  </si>
  <si>
    <t>итого</t>
  </si>
  <si>
    <t xml:space="preserve">итого </t>
  </si>
  <si>
    <t>собствен.</t>
  </si>
  <si>
    <t>1 05 03010 01 0000 110</t>
  </si>
  <si>
    <t>008</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</si>
  <si>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</si>
  <si>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</si>
  <si>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009</t>
  </si>
  <si>
    <t>013</t>
  </si>
  <si>
    <t>1 11 05025 05 0000 120</t>
  </si>
  <si>
    <t>011</t>
  </si>
  <si>
    <t>1 11 05314 10 0000 120</t>
  </si>
  <si>
    <t>1 13 00000 00 0000 130</t>
  </si>
  <si>
    <t>ДОХОДЫ ОТ ОКАЗАНИЯ ПЛАТНЫХ УСЛУГ (РАБОТ) И КОМПЕНСАЦИИ ЗАТРАТ</t>
  </si>
  <si>
    <t>1 13 02995 05 0000 130</t>
  </si>
  <si>
    <t>Прочие доходы от компенсации затрат бюджетов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</si>
  <si>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</si>
  <si>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1 14 06313 13 0000 430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</si>
  <si>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</si>
  <si>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015</t>
  </si>
  <si>
    <t>1 16 33050 05 0000 140</t>
  </si>
  <si>
    <t>106</t>
  </si>
  <si>
    <t>116</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</si>
  <si>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</si>
  <si>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</si>
  <si>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</si>
  <si>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денежные взыскания (штрафы) за правонарушения в области дорожного движения</t>
  </si>
  <si>
    <t>1 16 28000 01 6000 140</t>
  </si>
  <si>
    <t>1 16 30030 01 6000 140</t>
  </si>
  <si>
    <t>Денежные взыскания (штрафы) за нарушение земельного законодательства</t>
  </si>
  <si>
    <t>321</t>
  </si>
  <si>
    <t>1 16 25050 01 6000 140</t>
  </si>
  <si>
    <t>906</t>
  </si>
  <si>
    <t>918</t>
  </si>
  <si>
    <t>1 17 00000 00 0000 180</t>
  </si>
  <si>
    <t>ПРОЧИЕ НЕНАЛОГОВЫЕ ДОХОДЫ</t>
  </si>
  <si>
    <t xml:space="preserve">001 </t>
  </si>
  <si>
    <t>1 17 05050 05 0000 180</t>
  </si>
  <si>
    <t>05.1.01.05010</t>
  </si>
  <si>
    <t>98 3 00 03160</t>
  </si>
  <si>
    <t>Предоставление межбюджетных трансфертов бюджету Сковородинского района (осуществление части полномочий по решению вопросов местного значения пгт.Ерофей Павлович)</t>
  </si>
  <si>
    <t>Предоставление субсидии на финансовое обеспечение (возмещение) части затрат, связанных с приобретением сельскохозяйственных животных и птиц  (Закупка товаров, работ и услуг для государственных (муниципальных) нужд)</t>
  </si>
  <si>
    <t>Предоставление субсидии на финансовое обеспечение (возмещение) части затрат, связанных с приобретением семян картофеля  (Закупка товаров, работ и услуг для государственных (муниципальных) нужд)</t>
  </si>
  <si>
    <t>04 1 01 04070</t>
  </si>
  <si>
    <t>Организация и проведение мероприятий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</si>
  <si>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2 07 05030 05 0000 180</t>
  </si>
  <si>
    <t>Прочие безвозмездные поступления в бюджеты муниципальных районов</t>
  </si>
  <si>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</si>
  <si>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</si>
  <si>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13 1 01 L0270</t>
  </si>
  <si>
    <t>Мероприятия, направленнные на адаптацию с учетом нужд инвалидов и других маломобильных групп населения транспортной инфраструктыры подпрограммы "Развитие транспортного комплекса" муниципальной программы "Развитие транспортной системы Сковородинского района на 2015-2020 годы"</t>
  </si>
  <si>
    <t>Мероприятия, направленнные на адаптацию с учетом нужд инвалидов и других маломобильных групп населения транспортной инфраструктыры(Закупка товаров, работ и услуг для государственных (муниципальных) нужд)</t>
  </si>
  <si>
    <t>14 1 01 14060</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</si>
  <si>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t>
  </si>
  <si>
    <t>08 2 02 08090</t>
  </si>
  <si>
    <t xml:space="preserve">Создание и обустройство объектов туристической инндустрии в сфере туризма в рамках подпрограммы "Развитие туризма" мунниципальной программы "Экономическое развитие Сковородинского района на 2015-2020 годы" </t>
  </si>
  <si>
    <t>Создание и обустройство объектов туристической инндустрии в сфере туризма(Закупка товаров, работ и услуг для государственных (муниципальных) нужд)</t>
  </si>
  <si>
    <t>Частичная оплата стоимости путевок для детей работающих граждан в организации отдыха и оздоровления детей в каникулярное время (Закупка товаров, работ и услуг для государственных (муниципальных) нужд)</t>
  </si>
  <si>
    <t>Приобретение карт маршрутов регулярных пееревозок подпрограммы "Развитие транспортного комплекса" муниципальной программы "Развитие транспортной системы Сковородинского районна на 2015-2020 годы"</t>
  </si>
  <si>
    <t>Приобретение карт маршрутов регулярных перевозок (Закупка товаров, работ и услуг для государственных (муниципальных) нужд)</t>
  </si>
  <si>
    <t>13 1 01 13170</t>
  </si>
  <si>
    <t>Расходы на организацию и проведение конкурса "Лучшая народная дружина и лучший дружинник"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 на 2015-2020 годы"</t>
  </si>
  <si>
    <t>Расходы на организацию и проведение конкурса "Лучшая народная дружина и лучший дружинник"(Закупка товаров, работ и услуг для государственных (муниципальных) нужд)</t>
  </si>
  <si>
    <t>11 2 02 11080</t>
  </si>
  <si>
    <t>Приложение № 4</t>
  </si>
  <si>
    <t>1 08 07150 01 1000 110</t>
  </si>
  <si>
    <t>007</t>
  </si>
  <si>
    <t>Доходы от продажи земельных участков, государственная собсьтвенность на которые не разграничена и которые расположены в границах городских поселений</t>
  </si>
  <si>
    <t>1 15 02050 00 0000 140</t>
  </si>
  <si>
    <t>АДМИНИСТРАТИВНЫЕ ПЛАТЕЖИ И СБОРЫ</t>
  </si>
  <si>
    <t>1 16 03030 01 6000 140</t>
  </si>
  <si>
    <t>Денежные взыскания (штрафы) за административные правонарушения в области налогов и сборов,предусмотреннные Кодексом Российской Федерации об административных правонарушениях</t>
  </si>
  <si>
    <t>Приложение № 7</t>
  </si>
  <si>
    <t>01 1 01 01082</t>
  </si>
  <si>
    <t>01 1 01 01081</t>
  </si>
  <si>
    <t>Подготовка документов территориториального планирования сельсоветоа подпрограммы "Устойчивое развитие сельских территорий муниципальная программы "Развитие сельского хозяйства в Сковородинском районе на 2015-2020 годы"</t>
  </si>
  <si>
    <t>01 2 02 01170</t>
  </si>
  <si>
    <t>Подготовка документов территориториального планирования сельсоветов подпрограммы "Устойчивое развитие сельских территорий муниципальная программы "Развитие сельского хозяйства в Сковородинском районе на 2015-2020 годы"</t>
  </si>
  <si>
    <t>Расходы на проведение мероприятий (Закупка товаров, работ и услуг для государственных (муниципальных) нужд)</t>
  </si>
  <si>
    <t>собств.</t>
  </si>
  <si>
    <t>Государственная пошлина за выдачу разрешения на установку рекламной конструкции</t>
  </si>
  <si>
    <t>Приложение  №  1</t>
  </si>
  <si>
    <t xml:space="preserve">к решению районного  Совета </t>
  </si>
  <si>
    <r>
      <t xml:space="preserve">                                                                                                     </t>
    </r>
    <r>
      <rPr>
        <sz val="12"/>
        <rFont val="Arial Narrow"/>
        <family val="2"/>
        <charset val="204"/>
      </rPr>
      <t xml:space="preserve">                            </t>
    </r>
  </si>
  <si>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</si>
  <si>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</si>
  <si>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Земельный налог с организаций, обладающих земельным участком, расположенным в границах межселенных территорий</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</si>
  <si>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</si>
  <si>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на прибыль организаций, зачислявшийся до 1 января 2005 года в местные бюджеты, мобилизуемый на территориях муниципальных районов</t>
  </si>
  <si>
    <t>Земельный налог (по обязательствам, возникшим до 1 января 2006 года), мобилизуемый на межселенных территориях</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</si>
  <si>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</si>
  <si>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1 16 08010 01 6000 140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</si>
  <si>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</si>
  <si>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</si>
  <si>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</si>
  <si>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</si>
  <si>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</si>
  <si>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объкты</t>
  </si>
  <si>
    <t>Плата за размещение отходов производства и  потребления</t>
  </si>
  <si>
    <t>1 12 01050 01 6000 120</t>
  </si>
  <si>
    <t xml:space="preserve">Плата за иные виды негативного воздействия на окружающую среду </t>
  </si>
  <si>
    <t>Федеральное агентство по рыболовству</t>
  </si>
  <si>
    <t>1 16 25030 01 6000 140</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</si>
  <si>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</si>
  <si>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</si>
  <si>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t>
  </si>
  <si>
    <t>1 16 25060 01 6000 140</t>
  </si>
  <si>
    <t>1 16 30014 01 6000 140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</si>
  <si>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</si>
  <si>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Денежные взыскания (штрафы) за нарушение  законодательства в области охраны окружающей среды</t>
  </si>
  <si>
    <t>Федеральное казначейство</t>
  </si>
  <si>
    <t>1 17 01010 01 6000 180</t>
  </si>
  <si>
    <t>Невыясненные поступления, зачисляемые в федеральный бюджет</t>
  </si>
  <si>
    <t>1 16 33050 05 6000 140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</si>
  <si>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</si>
  <si>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Министерство финансов Амурской области</t>
  </si>
  <si>
    <t>Государственная инспекция по надзору за техническим состоянием самоходных машин и других видов техники Амурской области (Гостехнадзор)</t>
  </si>
  <si>
    <t>Управление федеральной службы по ветеренарному и фитосанитарному надзору по Забайкальскому краю и Амурской области, по РПБС</t>
  </si>
  <si>
    <t>Инспекция государственного строительного надзора Амурской области</t>
  </si>
  <si>
    <t>Управление по охране, контролю и регулированию использования объектов животного мира и среды их обитания Амурской области</t>
  </si>
  <si>
    <t>Государственная жилищная инспекция Амурской области</t>
  </si>
  <si>
    <t>Министерство здравоохранения Амурской области</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</si>
  <si>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Амурской области</t>
  </si>
  <si>
    <t>1 17 01050 05 0000 180</t>
  </si>
  <si>
    <t>Невыясненные поступления, зачисляемые в бюджеты муниципальных районов</t>
  </si>
  <si>
    <t xml:space="preserve">1 17 05050 05 0000 180 </t>
  </si>
  <si>
    <t>2 00 00000 00 0000 000*</t>
  </si>
  <si>
    <t xml:space="preserve">Безвозмездные поступления </t>
  </si>
  <si>
    <t>Финансовое управление  администрации Сковородинского района</t>
  </si>
  <si>
    <t>Проценты, полученные от предоставления бюджетных кредитов внутри  страны за счет средств бюджетов муниципальных районов</t>
  </si>
  <si>
    <t>Прочие доходы от оказания платных услуг (работ) получателями средств бюджетов муниципальных районов</t>
  </si>
  <si>
    <t xml:space="preserve">1 16 90050 05 0000 140 </t>
  </si>
  <si>
    <t>Прочие поступления от денежных взысканий (штрафов) и иных сумм в возмещение ущерба, зачисляемые в бюджеты муниципальных районов.</t>
  </si>
  <si>
    <t>Безвозмездные поступления</t>
  </si>
  <si>
    <t xml:space="preserve">Комитет по управлению муниципальным  имуществом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</si>
  <si>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</si>
  <si>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1 11 07015 05 0000 120</t>
  </si>
  <si>
    <t xml:space="preserve">1 11 09035 05 0000 120  </t>
  </si>
  <si>
    <t>Доходы от эксплуатации и использования имущества автомобильных дорог, находящихся в собственности муниципальных районов</t>
  </si>
  <si>
    <t>1 14 06025 05 0000 430</t>
  </si>
  <si>
    <t>1 14 06313 05 0000 430</t>
  </si>
  <si>
    <t>1 14 06313 10 0000 430</t>
  </si>
  <si>
    <t>1 15 02050 05 0000 140</t>
  </si>
  <si>
    <t>Платежи, взимаемые органами местного самоуправления (организациями) муниципальных районов  за выполнение определенных функций</t>
  </si>
  <si>
    <t>Прочие поступления от денежных взысканий (шрафов) и иных сумм в возмещение ущрба, зачисляемые в бюджеты муниципальных районов</t>
  </si>
  <si>
    <t xml:space="preserve">1 17 02020 05 0000 180 </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</si>
  <si>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</si>
  <si>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</si>
  <si>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</si>
  <si>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</si>
  <si>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</si>
  <si>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 xml:space="preserve">Главные администраторы (администраторы) источников финансирования дефицита районного бюджета                          </t>
  </si>
  <si>
    <t>Код ГАИФ (АИФ)</t>
  </si>
  <si>
    <t xml:space="preserve">Код группы,
подгруппы, статьи и вида 
источников
</t>
  </si>
  <si>
    <t>Наименование кода поступлений в бюджет, группы, подгруппы, статьи, подстатьи, элемента, подвида, аналитической группы вида источников финансирования дефицитов бюджетов</t>
  </si>
  <si>
    <t>01 02 00 00 05 0000 710</t>
  </si>
  <si>
    <t>Получение кредитов  от кредитных организаций  бюджетами муниципальных районов в валюте Российской Федерации</t>
  </si>
  <si>
    <t>01 02 00 00 05 0000 810</t>
  </si>
  <si>
    <t>Погашение бюджетами муниципальных районов кредитов  от кредитных организаций   в валюте Российской Федерации</t>
  </si>
  <si>
    <t>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</si>
  <si>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</si>
  <si>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</si>
  <si>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</si>
  <si>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</si>
  <si>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</si>
  <si>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</si>
  <si>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валюте Российской Федерации</t>
  </si>
  <si>
    <t>01 06 06 00 05 0000 710</t>
  </si>
  <si>
    <t>Привлечение прочих источников внутреннего финансирования дефицита бюджетов муниципальных районов</t>
  </si>
  <si>
    <t>Приложение№5</t>
  </si>
  <si>
    <t>Приложение № 6</t>
  </si>
  <si>
    <t xml:space="preserve">                                                     Приложение № 8</t>
  </si>
  <si>
    <t>Приложение № 9</t>
  </si>
  <si>
    <t xml:space="preserve"> Доходы районного бюджета  на 2018  год и плановый период 2019 и 2020 годов </t>
  </si>
  <si>
    <t>2020</t>
  </si>
  <si>
    <t>Распределение бюджетных ассигнований по целевым статьям (муниципальным програмамм и непрограммным направлениям деятельности), группам видов расходов классификации расходов районного бюджета на 2018 год и плановый период 2019 и  2020 годов</t>
  </si>
  <si>
    <t>Ведомственная структура расходов районного бюджета на 2018 год и плановый период 2019 и 2020 годов</t>
  </si>
  <si>
    <t>Муниципальные программы на 2018 год и плановый период 2019 и 2020 годов</t>
  </si>
  <si>
    <t>Распределение бюджетных ассигнований по разделам и подразделам функциональной классификации расходов районного бюджета на 2018 год и плановый период 2019 и 2020 годов</t>
  </si>
  <si>
    <t>на 2018 год и плановый период 2019 и 2020 годов</t>
  </si>
  <si>
    <t>Вид предоставления средств районного бюджета на возвратной основе</t>
  </si>
  <si>
    <t>Особенности бюджетного кредита</t>
  </si>
  <si>
    <t>сроки кредитования</t>
  </si>
  <si>
    <t>процентная ставка по бюджетному кредиту</t>
  </si>
  <si>
    <t>субъект кредитования</t>
  </si>
  <si>
    <t>Бюджетные кредиты для покрытия временных кассовых разрывов бюджетов муниципальных образований Сковородинского района</t>
  </si>
  <si>
    <t>в пределах финансового года</t>
  </si>
  <si>
    <t>¼ ставки рефинансирования Центрального Банка Российской Федерации, действующей в период пользования бюджетным кредитом</t>
  </si>
  <si>
    <t>муниципальные образования Сковородинского района</t>
  </si>
  <si>
    <t>до трех лет</t>
  </si>
  <si>
    <t>ВСЕГО</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</si>
  <si>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в рамках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 на 2015-2020 годы"</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</si>
  <si>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</si>
  <si>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Финансовое обеспечение государственной полномочий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</si>
  <si>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 xml:space="preserve">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"Охрана семьи и детства" муниципальной программы «Развитие образования Сковородинского района на 2015-2020 годы» </t>
  </si>
  <si>
    <t xml:space="preserve">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в рамках подпрограммы  "Охрана семьи и детства" муниципальной программы «Развитие образования Сковородинского района на 2015-2020 годы» </t>
  </si>
  <si>
    <t xml:space="preserve">Выплаты компенсации части платы, взимаемой с родителей (законных представителей) за присмотр и уход за детьми, осваившими образовательные программы дошкольного образования  рамках подпрограммы "Охрана семьи и детства" муниципальной программы «Развитие образования Сковородинского района на 2015-2020 годы» </t>
  </si>
  <si>
    <t xml:space="preserve">Финансовое обеспечение государственых полномочий по организации и осуществлению деятельности по опеке и попечительству в отношении несовершеннолетних в рамках подпрограммы  "Охрана семьи и детства" муниципальной программы «Развитие образования Сковородинского района на 2015-2020 годы»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</si>
  <si>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«Обеспечение доступным и качественным жильем населения Сковородинского района на 2015-2020 годы»</t>
  </si>
  <si>
    <t>Приложение № 10</t>
  </si>
  <si>
    <t>Дотации бюджетам поселений на выравнивание уровня бюджетной обеспеченности</t>
  </si>
  <si>
    <t>Поселение</t>
  </si>
  <si>
    <t>с. Албазино</t>
  </si>
  <si>
    <t>с. Джалинда</t>
  </si>
  <si>
    <t>пгт. Ерофей Павлович</t>
  </si>
  <si>
    <t>с. Невер</t>
  </si>
  <si>
    <t>с. Солнечный</t>
  </si>
  <si>
    <t>с. Талдан</t>
  </si>
  <si>
    <t>с. Тахтамыгда</t>
  </si>
  <si>
    <t>пгт. Уруша</t>
  </si>
  <si>
    <t>Итого:</t>
  </si>
  <si>
    <t>Финансовое обеспечение государственных полномочий по организационному обеспечению деятельности административных комиссий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</si>
  <si>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10 4 04 88430</t>
  </si>
  <si>
    <t>01 3 03 69700</t>
  </si>
  <si>
    <t>10 4 04 87290</t>
  </si>
  <si>
    <t>10 4 04 87360</t>
  </si>
  <si>
    <t>07 3 03 R0820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</si>
  <si>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</si>
  <si>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12 1 01 88500</t>
  </si>
  <si>
    <t>12 5 05 11020</t>
  </si>
  <si>
    <t>12 5 05 70000</t>
  </si>
  <si>
    <t>12 5 05 87700</t>
  </si>
  <si>
    <t>12 5 05 87250</t>
  </si>
  <si>
    <t>12 5 05 87300</t>
  </si>
  <si>
    <t>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</si>
  <si>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Управление Федеральной службы судебных приставов по Амурской области</t>
  </si>
  <si>
    <t xml:space="preserve">Перечень главных администраторов  доходов районного бюджета, закрепляемые за ними виды (подвиды) доходов бюджета </t>
  </si>
  <si>
    <t xml:space="preserve">Код главного администратора дохода </t>
  </si>
  <si>
    <t>Код</t>
  </si>
  <si>
    <t>Наименование кода поступлений в бюджет доходов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</si>
  <si>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</si>
  <si>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</si>
  <si>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</si>
  <si>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</si>
  <si>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</si>
  <si>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2 00 00000 00 0000 000**</t>
  </si>
  <si>
    <t>Управление Федеральной службы по надзору в сфере природопользования (Росприроднадзор) по Амурской области</t>
  </si>
  <si>
    <t>Управление Федеральной налоговой службы по Амурской области</t>
  </si>
  <si>
    <t>1 01 02010 01 0000 110 *</t>
  </si>
  <si>
    <t>1 01 02020 01 0000 110 *</t>
  </si>
  <si>
    <t>1 01 02030 01 0000 110 *</t>
  </si>
  <si>
    <t>1 05 02010 02 0000 110 *</t>
  </si>
  <si>
    <t>1 05 02020 02 0000 110 *</t>
  </si>
  <si>
    <t>1 05 04020 02 0000 110 *</t>
  </si>
  <si>
    <t>1 05 03010 01 0000 110 *</t>
  </si>
  <si>
    <t>1 06 01030 05 0000 110*</t>
  </si>
  <si>
    <t>1 06 06033 05 0000 110*</t>
  </si>
  <si>
    <t>1 06 06043 05 0000 110*</t>
  </si>
  <si>
    <t>1 08 03010 01 0000 110*</t>
  </si>
  <si>
    <t>1 09 01030 05 0000 110*</t>
  </si>
  <si>
    <t>1 09 04053 05 0000 110*</t>
  </si>
  <si>
    <t>1 16 03010 01 6000 140*</t>
  </si>
  <si>
    <t>Управление государственного автодорожного надзора по Амурской области Федеральной службы по надзору в сфере транспорта</t>
  </si>
  <si>
    <t>Управление Федеральной службы по надзору в сфере защиты прав потребителей и благополучия человека по Амурской области</t>
  </si>
  <si>
    <t>Управление Федеральной антимонопольной службы по Амурской области</t>
  </si>
  <si>
    <t>Управление Министерства внутренних дел Российской Федерации по Амурской области</t>
  </si>
  <si>
    <t>Управление Федеральной миграционной службы по Амурской области</t>
  </si>
  <si>
    <t>Управление Федеральной службы государственной регистрации, кадастра и картографии</t>
  </si>
  <si>
    <t>Управление ветеринарии и племенного животноводства Амурской области</t>
  </si>
  <si>
    <t>Министерство природных ресурсов Амурской области</t>
  </si>
  <si>
    <t>1 16 25010 01 0000 140</t>
  </si>
  <si>
    <t>Денежные взыскания (штрафы) за нарушение законодательства Российской Федерации о недрах</t>
  </si>
  <si>
    <t>Иные доходы районного бюджета, администрирование которых может осуществляться главными администраторами доходов бюджета в пределах их компетенции</t>
  </si>
  <si>
    <t>Администрирование поступлений по всем кодам подвида доходов и подстатьям соответствующей статьи осуществляется администратором, указанным в группировочном коде бюджетной классификации в пределах определенной законодательством Российской Федерации компетенции.</t>
  </si>
  <si>
    <t>Администраторами доходов районного бюджета по подстатьям, статьям, подгруппам группы доходов "2 00 00000 00 - Безвозмездные поступления" являются уполномоченные органы местного самоуправления района, а также созданные ими муниципальные казенные учреждения, являющиеся получателями указанных средств, в пределах компетенции главных администраторов доходов районного бюджета.</t>
  </si>
  <si>
    <t xml:space="preserve">     Администраторами доходов областного бюджета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районный бюджет) являются уполномоченные  органы местного самоуправления района и находящиеся  в их ведении казенные учреждения, предоставившие соответствующие межбюджетные трансферты.</t>
  </si>
  <si>
    <t>Нормативы распределения доходов между районным бюджетом, бюджетами городских  и сельских поселений Сковородинского района Амурской области, не установленные Бюджетным кодексом Российской Федерации,федеральным законом о федеральном бюджете, законами Амурской области, принятыми в соответствии с положениями Бюджетного кодекса Российской Федерации на 2018 год и плановый период 2019 и 2020 годов</t>
  </si>
  <si>
    <t>процентов</t>
  </si>
  <si>
    <t>Бюджет муниципального  района</t>
  </si>
  <si>
    <t xml:space="preserve">бюджет городских поселений  </t>
  </si>
  <si>
    <t>бюджет сельских поселений</t>
  </si>
  <si>
    <t>ДОХОДЫ ОТ ПОГАШЕНИЯ ЗАДОЛЖЕННОСТИ И ПЕРЕРАСЧЕТЫ ПО ОТМЕНЕННЫМ НАЛОГАМ, СБОРАМ И ИНЫМ ОБЯЗАТЕЛЬНЫМ ПЛАТЕЖАМ</t>
  </si>
  <si>
    <t>1 09 04010 02</t>
  </si>
  <si>
    <t>Налог на имущество предприятий</t>
  </si>
  <si>
    <t>50</t>
  </si>
  <si>
    <t>1 09 04053 05</t>
  </si>
  <si>
    <t>Земельный налог (по обязательствам, возникшим до 01 января 2006 года), мобилизуемый на межселенных территориях</t>
  </si>
  <si>
    <t>1 09 04053 13</t>
  </si>
  <si>
    <t>Земельный налог (по обязательствам, возникшим до 01 января 2006 года), мобилизуемый на  территориях городских поселений</t>
  </si>
  <si>
    <t>1 09 04053 10</t>
  </si>
  <si>
    <t>Земельный налог (по обязательствам, возникшим до 01 января 2006 года), мобилизуемый на  территориях сельских поселений</t>
  </si>
  <si>
    <t>1 09 07053 05</t>
  </si>
  <si>
    <t>Прочие местные налоги и сборы, мобилизуемые на территориях муниципальных районов</t>
  </si>
  <si>
    <t>1 09 07013 05</t>
  </si>
  <si>
    <t>Налог на рекламу, мобилизуемый на территориях муниципальных районов</t>
  </si>
  <si>
    <t>1 09 07033 05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</si>
  <si>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</si>
  <si>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ОКАЗАНИЯ ПЛАТНЫХ УСЛУГ (РАБОТ) И КОМПЕНСАЦИИ ЗАТРАТ ГОСУДАРСТВА</t>
  </si>
  <si>
    <t>1 13 01995 05</t>
  </si>
  <si>
    <t>1 13 01995 13</t>
  </si>
  <si>
    <t>Прочие доходы от оказания платных услуг (работ) получателями средств бюджетов городских поселений</t>
  </si>
  <si>
    <t>1 13 01995 10</t>
  </si>
  <si>
    <t>Прочие доходы от оказания платных услуг (работ) получателями средств бюджетов сельских поселений</t>
  </si>
  <si>
    <t>1 13 02995 05</t>
  </si>
  <si>
    <t>1 13 02995 13</t>
  </si>
  <si>
    <t>Прочие доходы от компенсации затрат бюджетов городских поселений</t>
  </si>
  <si>
    <t>1 13 02995 10</t>
  </si>
  <si>
    <t>Прочие доходы от компенсации затрат бюджетов сельских поселений</t>
  </si>
  <si>
    <t>1 13 02065 05</t>
  </si>
  <si>
    <t>Доходы, поступающие в порядке возмещения расходов, понесенных в связи с эксплуатацией имущества муниципальных районов</t>
  </si>
  <si>
    <t>1 13 02065 13</t>
  </si>
  <si>
    <t>Доходы, поступающие в порядке возмещения расходов, понесенных в связи с эксплуатацией имущества городских поселений</t>
  </si>
  <si>
    <t>1 13 02065 10</t>
  </si>
  <si>
    <t>Доходы, поступающие в порядке возмещения расходов, понесенных в связи с эксплуатацией имущества сельских поселений</t>
  </si>
  <si>
    <t>ДОХОДЫ ОТ АДМИНИСТРАТИВНЫХ ПЛАТЕЖЕЙ И СБОРОВ</t>
  </si>
  <si>
    <t>1 15 02050 05</t>
  </si>
  <si>
    <t>1 15 02050 13</t>
  </si>
  <si>
    <t>Платежи, взимаемые органами местного самоуправления (организациями) городских поселений за выполнение определенных функций</t>
  </si>
  <si>
    <t>1 15 02050 10</t>
  </si>
  <si>
    <t>Платежи, взимаемые органами местного самоуправления (организациями) сельских поселений за выполнение определенных функций</t>
  </si>
  <si>
    <t>ДОХОДЫ ОТ ШТРАФОВ, САНКЦИЙ, ВОЗМЕЩЕНИЯ УЩЕРБА</t>
  </si>
  <si>
    <t>1 16 23051 05</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</si>
  <si>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</si>
  <si>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1 16 23051 13</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</si>
  <si>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</si>
  <si>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1 16 23051 10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</si>
  <si>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</si>
  <si>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 xml:space="preserve">1 16 23052 05 </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</si>
  <si>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</si>
  <si>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1 16 23052 13</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</si>
  <si>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</si>
  <si>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 xml:space="preserve">1 16 23052 10 </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</si>
  <si>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</si>
  <si>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ДОХОДЫ ОТ  ПРОЧИХ НЕНАЛОГОВЫХ ДОХОДОВ</t>
  </si>
  <si>
    <t>1 17 01050 05</t>
  </si>
  <si>
    <t>1 17 01050 13</t>
  </si>
  <si>
    <t>Невыясненные поступления, зачисляемые в бюджеты  городских поселений</t>
  </si>
  <si>
    <t>1 17 01050 10</t>
  </si>
  <si>
    <t>Невыясненные поступления, зачисляемые в бюджеты  сельских поселений</t>
  </si>
  <si>
    <t>1 17 05050 05</t>
  </si>
  <si>
    <t>1 17 05050 13</t>
  </si>
  <si>
    <t>Прочие неналоговые доходы бюджетов городских  поселений</t>
  </si>
  <si>
    <t>1 17 05050 10</t>
  </si>
  <si>
    <t>Прочие неналоговые доходы бюджетов  сельских поселений</t>
  </si>
  <si>
    <t>1 17 02020 05</t>
  </si>
  <si>
    <t>1 17 02020 13</t>
  </si>
  <si>
    <t>1 17 02020 10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</si>
  <si>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</si>
  <si>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1 17 14030 05</t>
  </si>
  <si>
    <t>Средства самообложения граждан, зачисляемые в бюджеты муниципальных районов</t>
  </si>
  <si>
    <t>1 17 14030 13</t>
  </si>
  <si>
    <t>Средства самообложения граждан, зачисляемые в бюджеты городских поселений</t>
  </si>
  <si>
    <t>1 17 14030 10</t>
  </si>
  <si>
    <t>Средства самообложения граждан, зачисляемые в бюджеты сельских поселений</t>
  </si>
  <si>
    <t>1 06 06033 05 0000 110</t>
  </si>
  <si>
    <t>Земельный налог с организаций, обладающих земельным участком, расположенным и границах межселенных территорий</t>
  </si>
  <si>
    <t>МП 01</t>
  </si>
  <si>
    <t>МП 03</t>
  </si>
  <si>
    <t>МП 014</t>
  </si>
  <si>
    <t>МП 02</t>
  </si>
  <si>
    <t>Приложение №11</t>
  </si>
  <si>
    <t>Общий объем бюджетных ассигнований, предусмотренных на исполнение муниципальных гарантий районного бюджета по возможным гарантийным случаям</t>
  </si>
  <si>
    <t>Исполнение муниципальных гарантий районного бюджета</t>
  </si>
  <si>
    <t>Объем бюджетных ассигнований, предусмотренных на исполнение муниципальных гарантий Сквоородинского района по возможным гарантийным случаям, руб.</t>
  </si>
  <si>
    <t>2018 год</t>
  </si>
  <si>
    <t>2019 год</t>
  </si>
  <si>
    <t>За счет источников финансирования дефицита районного бюджета</t>
  </si>
  <si>
    <t>За счет расходов районного бюджета</t>
  </si>
  <si>
    <t>Приложение № 12</t>
  </si>
  <si>
    <t>Сумма средств на предоставление бюджетных кредитов на  год, руб.</t>
  </si>
  <si>
    <t xml:space="preserve">на цели связанные с частичным покрытием дефицита бюджетов поселений </t>
  </si>
  <si>
    <t>¼  ключевой ставки  Центрального Банка Российской Федерации, действующей в период пользования бюджетным кредитом</t>
  </si>
  <si>
    <t>на цели, связанные с осуществлением мероприятий по ликвидации последствий стихийных бедствий</t>
  </si>
  <si>
    <t>0% ключевой ставки  Центрального Банка Российской Федерации, действующей в период пользования бюджетным кредитом</t>
  </si>
  <si>
    <t>Программа предоставления бюджетных кредитов из районного бюджета муниципальным образованиям Сковородинского района в 2018 году и плановом периоде 2019 и 2020 годов</t>
  </si>
  <si>
    <t>Приложение №13</t>
  </si>
  <si>
    <t>Программа муниципальных гарантий районного бюджета на 2018 год  и плановый период 2019 и 2020 годов</t>
  </si>
  <si>
    <t>2020 год</t>
  </si>
  <si>
    <t xml:space="preserve">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в рамках подпрограммы  "Охрана семьи и детства" муниципальной программы «Развитие образования Сковородинского района на 2015-2020 годы» </t>
  </si>
  <si>
    <t>1 05 02000 02 0000 110</t>
  </si>
  <si>
    <t>1 05 04000 02 0000 110</t>
  </si>
  <si>
    <t>Налог, взимаемый в связи с применением патентной системы налогооблажения</t>
  </si>
  <si>
    <t>1 12 01000 01 0000 120</t>
  </si>
  <si>
    <t>Плата за негативное воздействие на окружающую среду</t>
  </si>
  <si>
    <t>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</si>
  <si>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</si>
  <si>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1 14 06000 00 0000 430</t>
  </si>
  <si>
    <t>Доходы от продажи земельных участков, находящихся в государственной и муниципальной собственности</t>
  </si>
  <si>
    <t>1 11 03000 00 0000 120</t>
  </si>
  <si>
    <t>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</si>
  <si>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</si>
  <si>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1 11 09000 00 0000 120</t>
  </si>
  <si>
    <t>Прочие  доходы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автономных учреждений, а также имущества государственных и муниципальных унитарных предприятий, в том числе казенных)</t>
  </si>
  <si>
    <t>1 16 90050 10 0000 140</t>
  </si>
  <si>
    <t>1 16 90050 13 0000 140</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</si>
  <si>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</si>
  <si>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городских поселений</t>
  </si>
  <si>
    <t>,,</t>
  </si>
  <si>
    <t>руб.коп</t>
  </si>
  <si>
    <t>Источники внутреннего финансирования дефицита районного бюджета на 2018 год и плановый период 2019 и 2020 годов</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</si>
  <si>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</si>
  <si>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</si>
  <si>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S7620</t>
  </si>
  <si>
    <t xml:space="preserve">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t>
  </si>
  <si>
    <t>2 02 35120 05 0000 151</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</si>
  <si>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</si>
  <si>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</si>
  <si>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от 22.12.2017 №44</t>
  </si>
  <si>
    <t>от 22.12.2017ь №44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</si>
</sst>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59" x14ac:knownFonts="1">
    <font>
      <sz val="11"/>
      <color theme="1"/>
      <name val="Calibri"/>
      <family val="2"/>
      <scheme val="minor"/>
    </font>
    <font>
      <sz val="12"/>
      <name val="Arial Narrow"/>
      <family val="2"/>
      <charset val="204"/>
    </font>
    <font>
      <b/>
      <sz val="12"/>
      <name val="Arial Narrow"/>
      <family val="2"/>
      <charset val="204"/>
    </font>
    <font>
      <sz val="12"/>
      <color indexed="8"/>
      <name val="Arial Narrow"/>
      <family val="2"/>
      <charset val="204"/>
    </font>
    <font>
      <sz val="8"/>
      <name val="Arial Cyr"/>
      <charset val="204"/>
    </font>
    <font>
      <sz val="12"/>
      <color theme="1"/>
      <name val="Arial Narrow"/>
      <family val="2"/>
      <charset val="204"/>
    </font>
    <font>
      <sz val="10"/>
      <name val="Arial"/>
      <family val="2"/>
      <charset val="204"/>
    </font>
    <font>
      <b/>
      <sz val="10"/>
      <name val="Arial"/>
      <family val="2"/>
      <charset val="204"/>
    </font>
    <font>
      <sz val="12"/>
      <name val="Times New Roman"/>
      <family val="1"/>
      <charset val="204"/>
    </font>
    <font>
      <b/>
      <sz val="12"/>
      <name val="Times New Roman"/>
      <family val="1"/>
      <charset val="204"/>
    </font>
    <font>
      <sz val="10"/>
      <name val="Times New Roman"/>
      <family val="1"/>
      <charset val="204"/>
    </font>
    <font>
      <b/>
      <sz val="14"/>
      <name val="Times New Roman"/>
      <family val="1"/>
      <charset val="204"/>
    </font>
    <font>
      <sz val="14"/>
      <name val="Arial Narrow"/>
      <family val="2"/>
      <charset val="204"/>
    </font>
    <font>
      <sz val="11"/>
      <name val="Calibri"/>
      <family val="2"/>
    </font>
    <font>
      <sz val="11"/>
      <color indexed="8"/>
      <name val="Arial Narrow"/>
      <family val="2"/>
      <charset val="204"/>
    </font>
    <font>
      <sz val="11"/>
      <name val="Arial Narrow"/>
      <family val="2"/>
      <charset val="204"/>
    </font>
    <font>
      <sz val="10"/>
      <name val="Arial Narrow"/>
      <family val="2"/>
      <charset val="204"/>
    </font>
    <font>
      <b/>
      <sz val="12"/>
      <color indexed="8"/>
      <name val="Arial Narrow"/>
      <family val="2"/>
      <charset val="204"/>
    </font>
    <font>
      <b/>
      <sz val="11"/>
      <color indexed="8"/>
      <name val="Calibri"/>
      <family val="2"/>
    </font>
    <font>
      <sz val="12"/>
      <color rgb="FFFF0000"/>
      <name val="Arial Narrow"/>
      <family val="2"/>
      <charset val="204"/>
    </font>
    <font>
      <b/>
      <sz val="14"/>
      <name val="Times New Roman CYR"/>
    </font>
    <font>
      <sz val="14"/>
      <name val="Times New Roman"/>
      <family val="1"/>
      <charset val="204"/>
    </font>
    <font>
      <b/>
      <sz val="12"/>
      <color indexed="8"/>
      <name val="Times New Roman"/>
      <family val="1"/>
      <charset val="204"/>
    </font>
    <font>
      <sz val="8"/>
      <name val="Arial Cyr"/>
    </font>
    <font>
      <sz val="12"/>
      <color indexed="8"/>
      <name val="Times New Roman"/>
      <family val="1"/>
      <charset val="204"/>
    </font>
    <font>
      <i/>
      <sz val="12"/>
      <color indexed="8"/>
      <name val="Times New Roman"/>
      <family val="1"/>
      <charset val="204"/>
    </font>
    <font>
      <sz val="14"/>
      <name val="Times New Roman"/>
      <family val="1"/>
      <charset val="204"/>
    </font>
    <font>
      <i/>
      <sz val="12"/>
      <name val="Times New Roman"/>
      <family val="1"/>
      <charset val="204"/>
    </font>
    <font>
      <sz val="14"/>
      <color rgb="FF7030A0"/>
      <name val="Times New Roman"/>
      <family val="1"/>
      <charset val="204"/>
    </font>
    <font>
      <i/>
      <sz val="14"/>
      <name val="Times New Roman"/>
      <family val="1"/>
      <charset val="204"/>
    </font>
    <font>
      <sz val="12"/>
      <color indexed="8"/>
      <name val="Times New Roman"/>
      <family val="1"/>
      <charset val="204"/>
    </font>
    <font>
      <b/>
      <sz val="12"/>
      <color indexed="8"/>
      <name val="Times New Roman"/>
      <family val="1"/>
      <charset val="204"/>
    </font>
    <font>
      <i/>
      <sz val="12"/>
      <color indexed="8"/>
      <name val="Times New Roman"/>
      <family val="1"/>
      <charset val="204"/>
    </font>
    <font>
      <b/>
      <i/>
      <sz val="12"/>
      <color indexed="8"/>
      <name val="Times New Roman"/>
      <family val="1"/>
      <charset val="204"/>
    </font>
    <font>
      <u/>
      <sz val="10"/>
      <name val="Times New Roman"/>
      <family val="1"/>
      <charset val="204"/>
    </font>
    <font>
      <u/>
      <sz val="8.5"/>
      <name val="MS Sans Serif"/>
      <family val="2"/>
      <charset val="204"/>
    </font>
    <font>
      <sz val="8.5"/>
      <name val="MS Sans Serif"/>
      <family val="2"/>
      <charset val="204"/>
    </font>
    <font>
      <b/>
      <sz val="9"/>
      <name val="MS Sans Serif"/>
      <family val="2"/>
      <charset val="204"/>
    </font>
    <font>
      <sz val="12"/>
      <color theme="1"/>
      <name val="Times New Roman"/>
      <family val="1"/>
      <charset val="204"/>
    </font>
    <font>
      <b/>
      <sz val="14"/>
      <color indexed="8"/>
      <name val="Times New Roman"/>
      <family val="1"/>
      <charset val="204"/>
    </font>
    <font>
      <sz val="14"/>
      <color theme="1"/>
      <name val="Calibri"/>
      <family val="2"/>
      <scheme val="minor"/>
    </font>
    <font>
      <sz val="14"/>
      <color indexed="8"/>
      <name val="Times New Roman"/>
      <family val="1"/>
      <charset val="204"/>
    </font>
    <font>
      <i/>
      <sz val="14"/>
      <color indexed="8"/>
      <name val="Times New Roman"/>
      <family val="1"/>
      <charset val="204"/>
    </font>
    <font>
      <sz val="14"/>
      <color rgb="FFFF0000"/>
      <name val="Calibri"/>
      <family val="2"/>
      <scheme val="minor"/>
    </font>
    <font>
      <b/>
      <i/>
      <sz val="12"/>
      <name val="Times New Roman"/>
      <family val="1"/>
      <charset val="204"/>
    </font>
    <font>
      <b/>
      <i/>
      <sz val="14"/>
      <name val="Times New Roman"/>
      <family val="1"/>
      <charset val="204"/>
    </font>
    <font>
      <i/>
      <sz val="14"/>
      <color rgb="FF7030A0"/>
      <name val="Times New Roman"/>
      <family val="1"/>
      <charset val="204"/>
    </font>
    <font>
      <sz val="12"/>
      <color rgb="FF7030A0"/>
      <name val="Times New Roman"/>
      <family val="1"/>
      <charset val="204"/>
    </font>
    <font>
      <sz val="12"/>
      <color rgb="FF000000"/>
      <name val="Times New Roman"/>
      <family val="1"/>
      <charset val="204"/>
    </font>
    <font>
      <sz val="11"/>
      <name val="Times New Roman"/>
      <family val="1"/>
      <charset val="204"/>
    </font>
    <font>
      <sz val="12"/>
      <name val="Arial Narrow"/>
      <family val="2"/>
    </font>
    <font>
      <sz val="11"/>
      <name val="Arial Narrow"/>
      <family val="2"/>
    </font>
    <font>
      <b/>
      <sz val="12"/>
      <color theme="1"/>
      <name val="Times New Roman"/>
      <family val="1"/>
      <charset val="204"/>
    </font>
    <font>
      <sz val="14"/>
      <color rgb="FF7030A0"/>
      <name val="Calibri"/>
      <family val="2"/>
      <scheme val="minor"/>
    </font>
    <font>
      <sz val="11"/>
      <color rgb="FF7030A0"/>
      <name val="Calibri"/>
      <family val="2"/>
      <scheme val="minor"/>
    </font>
    <font>
      <sz val="11"/>
      <name val="Calibri"/>
      <family val="2"/>
      <scheme val="minor"/>
    </font>
    <font>
      <b/>
      <sz val="11"/>
      <color theme="1"/>
      <name val="Calibri"/>
      <family val="2"/>
      <charset val="204"/>
      <scheme val="minor"/>
    </font>
    <font>
      <sz val="14"/>
      <color theme="1"/>
      <name val="Times New Roman"/>
      <family val="1"/>
      <charset val="204"/>
    </font>
    <font>
      <i/>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diagonalUp="1" diagonalDown="1">
      <left style="thin">
        <color indexed="8"/>
      </left>
      <right style="thin">
        <color indexed="8"/>
      </right>
      <top style="thin">
        <color indexed="8"/>
      </top>
      <bottom style="thin">
        <color indexed="8"/>
      </bottom>
      <diagonal/>
    </border>
    <border diagonalUp="1" diagonalDown="1">
      <left style="thin">
        <color indexed="8"/>
      </left>
      <right/>
      <top style="thin">
        <color indexed="8"/>
      </top>
      <bottom style="thin">
        <color indexed="8"/>
      </bottom>
      <diagonal/>
    </border>
    <border diagonalUp="1" diagonalDown="1">
      <left style="thin">
        <color indexed="64"/>
      </left>
      <right style="thin">
        <color indexed="64"/>
      </right>
      <top style="thin">
        <color indexed="64"/>
      </top>
      <bottom style="thin">
        <color indexed="64"/>
      </bottom>
      <diagonal/>
    </border>
    <border diagonalUp="1" diagonalDown="1">
      <left/>
      <right style="thin">
        <color indexed="8"/>
      </right>
      <top style="thin">
        <color indexed="8"/>
      </top>
      <bottom style="thin">
        <color indexed="8"/>
      </bottom>
      <diagonal/>
    </border>
    <border diagonalUp="1" diagonalDown="1">
      <left style="thin">
        <color indexed="8"/>
      </left>
      <right style="thin">
        <color indexed="8"/>
      </right>
      <top style="thin">
        <color indexed="8"/>
      </top>
      <bottom/>
      <diagonal/>
    </border>
    <border diagonalUp="1" diagonalDown="1">
      <left style="thin">
        <color indexed="64"/>
      </left>
      <right style="thin">
        <color indexed="64"/>
      </right>
      <top/>
      <bottom style="thin">
        <color indexed="64"/>
      </bottom>
      <diagonal/>
    </border>
    <border diagonalUp="1" diagonalDown="1">
      <left/>
      <right style="thin">
        <color indexed="8"/>
      </right>
      <top/>
      <bottom style="thin">
        <color indexed="8"/>
      </bottom>
      <diagonal/>
    </border>
    <border diagonalUp="1" diagonalDown="1">
      <left style="thin">
        <color indexed="8"/>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auto="1"/>
      </right>
      <top style="thin">
        <color indexed="64"/>
      </top>
      <bottom style="thin">
        <color indexed="64"/>
      </bottom>
      <diagonal/>
    </border>
    <border>
      <left style="thin">
        <color indexed="8"/>
      </left>
      <right style="thin">
        <color auto="1"/>
      </right>
      <top style="thin">
        <color indexed="8"/>
      </top>
      <bottom/>
      <diagonal/>
    </border>
    <border>
      <left style="thin">
        <color indexed="8"/>
      </left>
      <right style="thin">
        <color auto="1"/>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diagonalUp="1" diagonalDown="1">
      <left style="thin">
        <color indexed="8"/>
      </left>
      <right/>
      <top/>
      <bottom style="thin">
        <color indexed="8"/>
      </bottom>
      <diagonal/>
    </border>
    <border diagonalUp="1" diagonalDown="1">
      <left style="thin">
        <color indexed="64"/>
      </left>
      <right/>
      <top style="thin">
        <color indexed="64"/>
      </top>
      <bottom style="thin">
        <color indexed="64"/>
      </bottom>
      <diagonal/>
    </border>
    <border diagonalUp="1" diagonalDown="1">
      <left/>
      <right/>
      <top/>
      <bottom style="thin">
        <color indexed="8"/>
      </bottom>
      <diagonal/>
    </border>
    <border diagonalUp="1" diagonalDown="1">
      <left/>
      <right style="thin">
        <color indexed="64"/>
      </right>
      <top style="thin">
        <color indexed="64"/>
      </top>
      <bottom style="thin">
        <color indexed="64"/>
      </bottom>
      <diagonal/>
    </border>
  </borders>
  <cellStyleXfs count="3">
    <xf numFmtId="0" fontId="0" fillId="0" borderId="0"/>
    <xf numFmtId="0" fontId="4" fillId="0" borderId="0"/>
    <xf numFmtId="0" fontId="6" fillId="0" borderId="0"/>
  </cellStyleXfs>
  <cellXfs count="583">
    <xf numFmtId="0" fontId="0" fillId="0" borderId="0" xfId="0"/>
    <xf numFmtId="0" fontId="1" fillId="0" borderId="0" xfId="0" applyFont="1"/>
    <xf numFmtId="0" fontId="1" fillId="0" borderId="0" xfId="0" applyFont="1" applyAlignment="1">
      <alignment horizontal="right" vertical="center"/>
    </xf>
    <xf numFmtId="0" fontId="3" fillId="0" borderId="0" xfId="0" applyFont="1"/>
    <xf numFmtId="49" fontId="1" fillId="0" borderId="0" xfId="0" applyNumberFormat="1" applyFont="1" applyAlignment="1">
      <alignment horizontal="center" vertical="center"/>
    </xf>
    <xf numFmtId="4" fontId="1" fillId="0" borderId="0" xfId="0" applyNumberFormat="1" applyFont="1" applyFill="1" applyAlignment="1">
      <alignment horizontal="right"/>
    </xf>
    <xf numFmtId="49" fontId="1" fillId="0" borderId="1" xfId="0" applyNumberFormat="1" applyFont="1" applyBorder="1" applyAlignment="1">
      <alignment horizontal="center" vertical="center" wrapText="1"/>
    </xf>
    <xf numFmtId="0" fontId="5" fillId="0" borderId="0" xfId="0" applyFont="1"/>
    <xf numFmtId="49" fontId="1" fillId="0" borderId="7" xfId="0" applyNumberFormat="1" applyFont="1" applyBorder="1" applyAlignment="1">
      <alignment horizontal="center" wrapText="1"/>
    </xf>
    <xf numFmtId="49" fontId="1" fillId="0" borderId="6" xfId="0" applyNumberFormat="1" applyFont="1" applyBorder="1" applyAlignment="1">
      <alignment horizontal="center" wrapText="1"/>
    </xf>
    <xf numFmtId="164" fontId="1" fillId="0" borderId="7" xfId="0" applyNumberFormat="1" applyFont="1" applyBorder="1" applyAlignment="1">
      <alignment horizontal="left" wrapText="1"/>
    </xf>
    <xf numFmtId="4" fontId="1" fillId="0" borderId="7" xfId="0" applyNumberFormat="1" applyFont="1" applyBorder="1" applyAlignment="1">
      <alignment horizontal="right" wrapText="1"/>
    </xf>
    <xf numFmtId="4" fontId="1" fillId="0" borderId="8" xfId="0" applyNumberFormat="1" applyFont="1" applyBorder="1" applyAlignment="1">
      <alignment horizontal="right" wrapText="1"/>
    </xf>
    <xf numFmtId="49" fontId="1" fillId="0" borderId="7" xfId="0" applyNumberFormat="1" applyFont="1" applyBorder="1" applyAlignment="1">
      <alignment horizontal="left" wrapText="1"/>
    </xf>
    <xf numFmtId="4" fontId="2" fillId="0" borderId="9" xfId="0" applyNumberFormat="1" applyFont="1" applyBorder="1" applyAlignment="1">
      <alignment horizontal="right" wrapText="1"/>
    </xf>
    <xf numFmtId="4" fontId="2" fillId="0" borderId="10" xfId="0" applyNumberFormat="1" applyFont="1" applyBorder="1" applyAlignment="1">
      <alignment horizontal="right" wrapText="1"/>
    </xf>
    <xf numFmtId="0" fontId="5" fillId="0" borderId="0" xfId="0" applyFont="1" applyAlignment="1">
      <alignment horizontal="right"/>
    </xf>
    <xf numFmtId="0" fontId="6" fillId="0" borderId="0" xfId="0" applyFont="1" applyAlignment="1">
      <alignment horizontal="right"/>
    </xf>
    <xf numFmtId="0" fontId="0" fillId="0" borderId="0" xfId="0" applyFont="1"/>
    <xf numFmtId="0" fontId="8" fillId="0" borderId="0" xfId="0" applyFont="1" applyAlignment="1">
      <alignment wrapText="1"/>
    </xf>
    <xf numFmtId="0" fontId="8" fillId="0" borderId="8" xfId="0" applyFont="1" applyBorder="1" applyAlignment="1">
      <alignment horizontal="justify" vertical="center" wrapText="1"/>
    </xf>
    <xf numFmtId="0" fontId="1" fillId="0" borderId="8" xfId="0" applyFont="1" applyBorder="1" applyAlignment="1">
      <alignment horizontal="center"/>
    </xf>
    <xf numFmtId="0" fontId="1" fillId="0" borderId="8" xfId="0" applyFont="1" applyBorder="1" applyAlignment="1">
      <alignment wrapText="1"/>
    </xf>
    <xf numFmtId="4" fontId="1" fillId="0" borderId="8" xfId="0" applyNumberFormat="1" applyFont="1" applyBorder="1" applyAlignment="1">
      <alignment horizontal="center"/>
    </xf>
    <xf numFmtId="49" fontId="1" fillId="0" borderId="8" xfId="0" applyNumberFormat="1" applyFont="1" applyBorder="1" applyAlignment="1">
      <alignment wrapText="1"/>
    </xf>
    <xf numFmtId="4" fontId="1" fillId="0" borderId="8" xfId="0" applyNumberFormat="1" applyFont="1" applyBorder="1" applyAlignment="1">
      <alignment horizontal="center" wrapText="1"/>
    </xf>
    <xf numFmtId="0" fontId="1" fillId="0" borderId="0" xfId="0" applyFont="1" applyAlignment="1">
      <alignment wrapText="1"/>
    </xf>
    <xf numFmtId="0" fontId="1" fillId="0" borderId="8" xfId="0" applyFont="1" applyBorder="1"/>
    <xf numFmtId="0" fontId="1" fillId="0" borderId="8" xfId="0" applyFont="1" applyBorder="1" applyAlignment="1">
      <alignment horizontal="center" wrapText="1"/>
    </xf>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13" fillId="0" borderId="0" xfId="0" applyFont="1" applyFill="1"/>
    <xf numFmtId="3" fontId="1" fillId="0" borderId="0" xfId="0" applyNumberFormat="1" applyFont="1" applyFill="1"/>
    <xf numFmtId="0" fontId="1" fillId="0" borderId="0" xfId="0" applyFont="1" applyFill="1" applyAlignment="1">
      <alignment horizontal="justify"/>
    </xf>
    <xf numFmtId="0" fontId="1" fillId="0" borderId="0" xfId="0" applyFont="1" applyFill="1" applyAlignment="1">
      <alignment horizontal="right"/>
    </xf>
    <xf numFmtId="0" fontId="1" fillId="0" borderId="8" xfId="0" applyFont="1" applyFill="1" applyBorder="1" applyAlignment="1"/>
    <xf numFmtId="0" fontId="1" fillId="0" borderId="8" xfId="0" applyFont="1" applyFill="1" applyBorder="1" applyAlignment="1">
      <alignment wrapText="1"/>
    </xf>
    <xf numFmtId="0" fontId="1" fillId="0" borderId="8" xfId="0" applyFont="1" applyFill="1" applyBorder="1"/>
    <xf numFmtId="0" fontId="1" fillId="0" borderId="2" xfId="0" applyFont="1" applyFill="1" applyBorder="1" applyAlignment="1">
      <alignment wrapText="1"/>
    </xf>
    <xf numFmtId="14"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4" fontId="1" fillId="0" borderId="8" xfId="0" applyNumberFormat="1" applyFont="1" applyFill="1" applyBorder="1"/>
    <xf numFmtId="165" fontId="1" fillId="0" borderId="8" xfId="0" applyNumberFormat="1" applyFont="1" applyFill="1" applyBorder="1"/>
    <xf numFmtId="3" fontId="1" fillId="0" borderId="8" xfId="0" applyNumberFormat="1" applyFont="1" applyFill="1" applyBorder="1" applyAlignment="1">
      <alignment wrapText="1"/>
    </xf>
    <xf numFmtId="0" fontId="2" fillId="0" borderId="8" xfId="0" applyFont="1" applyFill="1" applyBorder="1" applyAlignment="1">
      <alignment wrapText="1"/>
    </xf>
    <xf numFmtId="0" fontId="2" fillId="0" borderId="8" xfId="0" applyFont="1" applyFill="1" applyBorder="1" applyAlignment="1">
      <alignment horizontal="center" wrapText="1"/>
    </xf>
    <xf numFmtId="4" fontId="2" fillId="0" borderId="8" xfId="0" applyNumberFormat="1" applyFont="1" applyFill="1" applyBorder="1"/>
    <xf numFmtId="3" fontId="2" fillId="0" borderId="17" xfId="0" applyNumberFormat="1" applyFont="1" applyFill="1" applyBorder="1"/>
    <xf numFmtId="14" fontId="1" fillId="0" borderId="2" xfId="0" applyNumberFormat="1" applyFont="1" applyFill="1" applyBorder="1" applyAlignment="1">
      <alignment wrapText="1"/>
    </xf>
    <xf numFmtId="14" fontId="1" fillId="0" borderId="8" xfId="0" applyNumberFormat="1" applyFont="1" applyFill="1" applyBorder="1" applyAlignment="1">
      <alignment wrapText="1"/>
    </xf>
    <xf numFmtId="0" fontId="1" fillId="0" borderId="2" xfId="0" applyFont="1" applyFill="1" applyBorder="1"/>
    <xf numFmtId="3" fontId="1" fillId="0" borderId="2" xfId="0" applyNumberFormat="1" applyFont="1" applyFill="1" applyBorder="1" applyAlignment="1">
      <alignment wrapText="1"/>
    </xf>
    <xf numFmtId="0" fontId="1" fillId="0" borderId="2" xfId="0" applyFont="1" applyFill="1" applyBorder="1" applyAlignment="1">
      <alignment horizontal="center"/>
    </xf>
    <xf numFmtId="0" fontId="1" fillId="0" borderId="8" xfId="0" applyFont="1" applyFill="1" applyBorder="1" applyAlignment="1">
      <alignment horizontal="center" wrapText="1"/>
    </xf>
    <xf numFmtId="3" fontId="1" fillId="0" borderId="2" xfId="0" applyNumberFormat="1" applyFont="1" applyFill="1" applyBorder="1" applyAlignment="1">
      <alignment horizontal="left" wrapText="1"/>
    </xf>
    <xf numFmtId="3" fontId="2" fillId="0" borderId="8" xfId="0" applyNumberFormat="1" applyFont="1" applyFill="1" applyBorder="1"/>
    <xf numFmtId="49" fontId="1" fillId="0" borderId="8" xfId="0" applyNumberFormat="1" applyFont="1" applyFill="1" applyBorder="1" applyAlignment="1">
      <alignment horizontal="right" wrapText="1"/>
    </xf>
    <xf numFmtId="14" fontId="1" fillId="0" borderId="8" xfId="0" applyNumberFormat="1" applyFont="1" applyFill="1" applyBorder="1" applyAlignment="1">
      <alignment horizontal="center" wrapText="1"/>
    </xf>
    <xf numFmtId="0" fontId="1" fillId="0" borderId="2" xfId="0" applyFont="1" applyFill="1" applyBorder="1" applyAlignment="1">
      <alignment horizontal="left" wrapText="1"/>
    </xf>
    <xf numFmtId="3" fontId="1" fillId="0" borderId="16" xfId="0" applyNumberFormat="1" applyFont="1" applyFill="1" applyBorder="1" applyAlignment="1">
      <alignment wrapText="1"/>
    </xf>
    <xf numFmtId="3" fontId="1" fillId="0" borderId="17" xfId="0" applyNumberFormat="1" applyFont="1" applyFill="1" applyBorder="1" applyAlignment="1">
      <alignment wrapText="1"/>
    </xf>
    <xf numFmtId="1" fontId="1" fillId="0" borderId="8" xfId="0" applyNumberFormat="1" applyFont="1" applyFill="1" applyBorder="1" applyAlignment="1">
      <alignment wrapText="1"/>
    </xf>
    <xf numFmtId="4" fontId="2" fillId="0" borderId="17" xfId="0" applyNumberFormat="1" applyFont="1" applyFill="1" applyBorder="1"/>
    <xf numFmtId="0" fontId="1" fillId="0" borderId="8" xfId="0" applyFont="1" applyFill="1" applyBorder="1" applyAlignment="1">
      <alignment horizontal="center"/>
    </xf>
    <xf numFmtId="0" fontId="2" fillId="0" borderId="8" xfId="0" applyFont="1" applyFill="1" applyBorder="1" applyAlignment="1">
      <alignment horizontal="justify"/>
    </xf>
    <xf numFmtId="4" fontId="1" fillId="0" borderId="0" xfId="0" applyNumberFormat="1" applyFont="1" applyFill="1"/>
    <xf numFmtId="0" fontId="1" fillId="0" borderId="0" xfId="0" applyFont="1" applyFill="1" applyBorder="1" applyAlignment="1">
      <alignment horizontal="center" wrapText="1"/>
    </xf>
    <xf numFmtId="0" fontId="1" fillId="0" borderId="0" xfId="0" applyFont="1" applyFill="1" applyBorder="1"/>
    <xf numFmtId="3" fontId="1" fillId="0" borderId="0" xfId="0" applyNumberFormat="1" applyFont="1" applyFill="1" applyBorder="1"/>
    <xf numFmtId="0" fontId="1" fillId="0" borderId="0" xfId="0" applyFont="1" applyFill="1" applyBorder="1" applyAlignment="1">
      <alignment wrapText="1"/>
    </xf>
    <xf numFmtId="0" fontId="1" fillId="0" borderId="0" xfId="0" applyFont="1" applyFill="1" applyBorder="1" applyAlignment="1">
      <alignment horizontal="justify"/>
    </xf>
    <xf numFmtId="3" fontId="1" fillId="0" borderId="0" xfId="0" applyNumberFormat="1" applyFont="1" applyFill="1" applyBorder="1" applyAlignment="1">
      <alignment horizontal="center" wrapText="1"/>
    </xf>
    <xf numFmtId="4" fontId="1" fillId="0" borderId="0" xfId="0" applyNumberFormat="1" applyFont="1" applyFill="1" applyBorder="1"/>
    <xf numFmtId="4" fontId="2" fillId="0" borderId="0" xfId="0" applyNumberFormat="1" applyFont="1" applyFill="1" applyBorder="1"/>
    <xf numFmtId="3" fontId="2" fillId="0" borderId="0" xfId="0" applyNumberFormat="1" applyFont="1" applyFill="1" applyBorder="1"/>
    <xf numFmtId="0" fontId="2" fillId="0" borderId="0" xfId="0" applyFont="1" applyFill="1" applyBorder="1" applyAlignment="1">
      <alignment horizontal="justify"/>
    </xf>
    <xf numFmtId="0" fontId="6" fillId="0" borderId="0" xfId="0" applyFont="1"/>
    <xf numFmtId="0" fontId="1" fillId="0" borderId="0" xfId="0" applyFont="1" applyAlignment="1"/>
    <xf numFmtId="0" fontId="1" fillId="0" borderId="13" xfId="0" applyFont="1" applyBorder="1" applyAlignment="1"/>
    <xf numFmtId="0" fontId="3" fillId="0" borderId="8" xfId="0" applyFont="1" applyBorder="1" applyAlignment="1">
      <alignment horizontal="center"/>
    </xf>
    <xf numFmtId="0" fontId="1" fillId="0" borderId="17" xfId="0" applyFont="1" applyBorder="1" applyAlignment="1">
      <alignment horizontal="left"/>
    </xf>
    <xf numFmtId="0" fontId="1" fillId="0" borderId="17" xfId="0" applyFont="1" applyBorder="1" applyAlignment="1">
      <alignment horizontal="left" wrapText="1"/>
    </xf>
    <xf numFmtId="4" fontId="1" fillId="0" borderId="8" xfId="0" applyNumberFormat="1" applyFont="1" applyFill="1" applyBorder="1" applyAlignment="1">
      <alignment horizontal="right"/>
    </xf>
    <xf numFmtId="0" fontId="3" fillId="0" borderId="8" xfId="0" applyFont="1" applyBorder="1"/>
    <xf numFmtId="0" fontId="3" fillId="0" borderId="8" xfId="0" applyFont="1" applyBorder="1" applyAlignment="1">
      <alignment wrapText="1"/>
    </xf>
    <xf numFmtId="4" fontId="3" fillId="0" borderId="8" xfId="0" applyNumberFormat="1" applyFont="1" applyBorder="1"/>
    <xf numFmtId="4" fontId="14" fillId="0" borderId="8" xfId="0" applyNumberFormat="1" applyFont="1" applyBorder="1"/>
    <xf numFmtId="49" fontId="3" fillId="0" borderId="8" xfId="1" applyNumberFormat="1" applyFont="1" applyBorder="1" applyAlignment="1"/>
    <xf numFmtId="49" fontId="1" fillId="0" borderId="8" xfId="1" applyNumberFormat="1" applyFont="1" applyBorder="1" applyAlignment="1">
      <alignment horizontal="center"/>
    </xf>
    <xf numFmtId="0" fontId="1" fillId="0" borderId="8" xfId="1" applyFont="1" applyBorder="1" applyAlignment="1">
      <alignment wrapText="1"/>
    </xf>
    <xf numFmtId="0" fontId="15" fillId="0" borderId="0" xfId="0" applyFont="1" applyFill="1" applyBorder="1" applyAlignment="1">
      <alignment horizontal="right" wrapText="1"/>
    </xf>
    <xf numFmtId="4" fontId="15" fillId="0" borderId="0" xfId="0" applyNumberFormat="1" applyFont="1"/>
    <xf numFmtId="0" fontId="15" fillId="0" borderId="0" xfId="0" applyFont="1" applyAlignment="1">
      <alignment horizontal="right"/>
    </xf>
    <xf numFmtId="0" fontId="13" fillId="0" borderId="0" xfId="0" applyFont="1"/>
    <xf numFmtId="4" fontId="6" fillId="0" borderId="0" xfId="0" applyNumberFormat="1" applyFont="1"/>
    <xf numFmtId="0" fontId="1" fillId="0" borderId="0" xfId="0" applyFont="1" applyAlignment="1">
      <alignment horizontal="right" wrapText="1"/>
    </xf>
    <xf numFmtId="0" fontId="16" fillId="0" borderId="0" xfId="0" applyFont="1" applyFill="1"/>
    <xf numFmtId="0" fontId="14" fillId="0" borderId="8" xfId="0" applyFont="1" applyBorder="1" applyAlignment="1">
      <alignment horizontal="center"/>
    </xf>
    <xf numFmtId="49" fontId="2" fillId="0" borderId="8" xfId="0" applyNumberFormat="1" applyFont="1" applyFill="1" applyBorder="1"/>
    <xf numFmtId="49" fontId="1" fillId="0" borderId="8" xfId="0" applyNumberFormat="1" applyFont="1" applyFill="1" applyBorder="1"/>
    <xf numFmtId="2" fontId="3" fillId="0" borderId="8" xfId="0" applyNumberFormat="1" applyFont="1" applyBorder="1"/>
    <xf numFmtId="0" fontId="3" fillId="0" borderId="8" xfId="0" applyFont="1" applyFill="1" applyBorder="1" applyAlignment="1">
      <alignment wrapText="1"/>
    </xf>
    <xf numFmtId="4" fontId="2" fillId="0" borderId="8" xfId="0" applyNumberFormat="1" applyFont="1" applyFill="1" applyBorder="1" applyAlignment="1">
      <alignment horizontal="right"/>
    </xf>
    <xf numFmtId="0" fontId="0" fillId="0" borderId="8" xfId="0" applyBorder="1"/>
    <xf numFmtId="49" fontId="1" fillId="0" borderId="8" xfId="0" applyNumberFormat="1" applyFont="1" applyBorder="1"/>
    <xf numFmtId="49" fontId="2" fillId="0" borderId="8" xfId="0" applyNumberFormat="1" applyFont="1" applyBorder="1"/>
    <xf numFmtId="0" fontId="2" fillId="0" borderId="8" xfId="0" applyFont="1" applyBorder="1" applyAlignment="1">
      <alignment wrapText="1"/>
    </xf>
    <xf numFmtId="0" fontId="17" fillId="0" borderId="8" xfId="0" applyFont="1" applyBorder="1" applyAlignment="1">
      <alignment wrapText="1"/>
    </xf>
    <xf numFmtId="0" fontId="18" fillId="0" borderId="0" xfId="0" applyFont="1"/>
    <xf numFmtId="0" fontId="16" fillId="0" borderId="0" xfId="0" applyFont="1"/>
    <xf numFmtId="0" fontId="16" fillId="0" borderId="0" xfId="0" applyFont="1" applyAlignment="1">
      <alignment wrapText="1"/>
    </xf>
    <xf numFmtId="4" fontId="1" fillId="0" borderId="8" xfId="0" applyNumberFormat="1" applyFont="1" applyBorder="1"/>
    <xf numFmtId="0" fontId="21" fillId="0" borderId="0" xfId="0" applyFont="1" applyBorder="1" applyAlignment="1" applyProtection="1">
      <alignment horizontal="center" vertical="center"/>
    </xf>
    <xf numFmtId="49" fontId="21" fillId="0" borderId="0" xfId="0" applyNumberFormat="1" applyFont="1" applyBorder="1" applyAlignment="1" applyProtection="1">
      <alignment horizontal="center" vertical="center"/>
    </xf>
    <xf numFmtId="0" fontId="23" fillId="0" borderId="19" xfId="0" applyFont="1" applyBorder="1" applyAlignment="1" applyProtection="1">
      <alignment vertical="center"/>
    </xf>
    <xf numFmtId="49" fontId="23" fillId="0" borderId="19" xfId="0" applyNumberFormat="1" applyFont="1" applyBorder="1" applyAlignment="1" applyProtection="1">
      <alignment horizontal="right" vertical="center"/>
    </xf>
    <xf numFmtId="0" fontId="23" fillId="0" borderId="8" xfId="0" applyFont="1" applyBorder="1" applyAlignment="1" applyProtection="1">
      <alignment vertical="center"/>
    </xf>
    <xf numFmtId="49" fontId="22" fillId="0" borderId="19" xfId="0" applyNumberFormat="1" applyFont="1" applyBorder="1" applyAlignment="1" applyProtection="1">
      <alignment horizontal="justify" vertical="center" wrapText="1"/>
    </xf>
    <xf numFmtId="4" fontId="22" fillId="0" borderId="19" xfId="0" applyNumberFormat="1" applyFont="1" applyBorder="1" applyAlignment="1" applyProtection="1">
      <alignment horizontal="right"/>
    </xf>
    <xf numFmtId="49" fontId="24" fillId="0" borderId="19" xfId="0" applyNumberFormat="1" applyFont="1" applyBorder="1" applyAlignment="1" applyProtection="1">
      <alignment horizontal="justify" vertical="center" wrapText="1"/>
    </xf>
    <xf numFmtId="49" fontId="24" fillId="0" borderId="19" xfId="0" applyNumberFormat="1" applyFont="1" applyBorder="1" applyAlignment="1" applyProtection="1">
      <alignment horizontal="center" vertical="center" wrapText="1"/>
    </xf>
    <xf numFmtId="4" fontId="24" fillId="0" borderId="19" xfId="0" applyNumberFormat="1" applyFont="1" applyBorder="1" applyAlignment="1" applyProtection="1">
      <alignment horizontal="right"/>
    </xf>
    <xf numFmtId="164" fontId="25" fillId="0" borderId="19" xfId="0" applyNumberFormat="1" applyFont="1" applyBorder="1" applyAlignment="1" applyProtection="1">
      <alignment horizontal="justify" vertical="center" wrapText="1"/>
    </xf>
    <xf numFmtId="49" fontId="25" fillId="0" borderId="19" xfId="0" applyNumberFormat="1" applyFont="1" applyBorder="1" applyAlignment="1" applyProtection="1">
      <alignment horizontal="center" vertical="center" wrapText="1"/>
    </xf>
    <xf numFmtId="49" fontId="25" fillId="0" borderId="19" xfId="0" applyNumberFormat="1" applyFont="1" applyBorder="1" applyAlignment="1" applyProtection="1">
      <alignment horizontal="justify" vertical="center" wrapText="1"/>
    </xf>
    <xf numFmtId="164" fontId="24" fillId="0" borderId="19" xfId="0" applyNumberFormat="1" applyFont="1" applyBorder="1" applyAlignment="1" applyProtection="1">
      <alignment horizontal="justify" vertical="center" wrapText="1"/>
    </xf>
    <xf numFmtId="164" fontId="22" fillId="0" borderId="19" xfId="0" applyNumberFormat="1" applyFont="1" applyBorder="1" applyAlignment="1" applyProtection="1">
      <alignment horizontal="justify" vertical="center" wrapText="1"/>
    </xf>
    <xf numFmtId="164" fontId="20" fillId="0" borderId="0" xfId="0" applyNumberFormat="1" applyFont="1" applyBorder="1" applyAlignment="1" applyProtection="1">
      <alignment horizontal="center" vertical="center" wrapText="1"/>
    </xf>
    <xf numFmtId="49" fontId="22" fillId="0" borderId="19" xfId="0" applyNumberFormat="1" applyFont="1" applyBorder="1" applyAlignment="1" applyProtection="1">
      <alignment horizontal="center" vertical="center" wrapText="1"/>
    </xf>
    <xf numFmtId="4" fontId="0" fillId="0" borderId="0" xfId="0" applyNumberFormat="1"/>
    <xf numFmtId="4" fontId="19" fillId="0" borderId="8" xfId="0" applyNumberFormat="1" applyFont="1" applyBorder="1" applyAlignment="1">
      <alignment horizontal="center" wrapText="1"/>
    </xf>
    <xf numFmtId="49" fontId="22"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49" fontId="1" fillId="0" borderId="8" xfId="0" applyNumberFormat="1" applyFont="1" applyFill="1" applyBorder="1" applyAlignment="1">
      <alignment horizontal="center"/>
    </xf>
    <xf numFmtId="49" fontId="26" fillId="0" borderId="19" xfId="0" applyNumberFormat="1" applyFont="1" applyBorder="1" applyAlignment="1" applyProtection="1">
      <alignment horizontal="center" vertical="center" wrapText="1"/>
    </xf>
    <xf numFmtId="49" fontId="27" fillId="0" borderId="19" xfId="0" applyNumberFormat="1" applyFont="1" applyBorder="1" applyAlignment="1" applyProtection="1">
      <alignment horizontal="justify" vertical="center" wrapText="1"/>
    </xf>
    <xf numFmtId="49" fontId="27" fillId="0" borderId="19" xfId="0" applyNumberFormat="1" applyFont="1" applyBorder="1" applyAlignment="1" applyProtection="1">
      <alignment horizontal="center" vertical="center" wrapText="1"/>
    </xf>
    <xf numFmtId="49" fontId="27" fillId="0" borderId="19" xfId="0" applyNumberFormat="1" applyFont="1" applyBorder="1" applyAlignment="1" applyProtection="1">
      <alignment horizontal="right" vertical="center" wrapText="1"/>
    </xf>
    <xf numFmtId="164" fontId="11" fillId="0" borderId="19" xfId="0" applyNumberFormat="1" applyFont="1" applyBorder="1" applyAlignment="1" applyProtection="1">
      <alignment horizontal="justify" vertical="center" wrapText="1"/>
    </xf>
    <xf numFmtId="49" fontId="11" fillId="0" borderId="19" xfId="0" applyNumberFormat="1" applyFont="1" applyBorder="1" applyAlignment="1" applyProtection="1">
      <alignment horizontal="center" vertical="center" wrapText="1"/>
    </xf>
    <xf numFmtId="49" fontId="29" fillId="0" borderId="19" xfId="0" applyNumberFormat="1" applyFont="1" applyBorder="1" applyAlignment="1" applyProtection="1">
      <alignment horizontal="center" vertical="center" wrapText="1"/>
    </xf>
    <xf numFmtId="49" fontId="29" fillId="0" borderId="19" xfId="0" applyNumberFormat="1" applyFont="1" applyBorder="1" applyAlignment="1" applyProtection="1">
      <alignment horizontal="right" vertical="center" wrapText="1"/>
    </xf>
    <xf numFmtId="164" fontId="29" fillId="0" borderId="19" xfId="0" applyNumberFormat="1" applyFont="1" applyBorder="1" applyAlignment="1" applyProtection="1">
      <alignment horizontal="justify" vertical="center" wrapText="1"/>
    </xf>
    <xf numFmtId="4" fontId="29" fillId="0" borderId="20" xfId="0" applyNumberFormat="1" applyFont="1" applyBorder="1" applyAlignment="1" applyProtection="1">
      <alignment horizontal="right"/>
    </xf>
    <xf numFmtId="4" fontId="29" fillId="0" borderId="21" xfId="0" applyNumberFormat="1" applyFont="1" applyBorder="1" applyAlignment="1" applyProtection="1">
      <alignment horizontal="right"/>
    </xf>
    <xf numFmtId="49" fontId="29" fillId="0" borderId="5" xfId="0" applyNumberFormat="1" applyFont="1" applyBorder="1" applyAlignment="1" applyProtection="1">
      <alignment horizontal="center" vertical="center" wrapText="1"/>
    </xf>
    <xf numFmtId="49" fontId="29" fillId="0" borderId="8" xfId="0" applyNumberFormat="1" applyFont="1" applyBorder="1" applyAlignment="1" applyProtection="1">
      <alignment horizontal="center" vertical="center" wrapText="1"/>
    </xf>
    <xf numFmtId="49" fontId="26" fillId="0" borderId="8"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center" vertical="center" wrapText="1"/>
    </xf>
    <xf numFmtId="49" fontId="29" fillId="0" borderId="21" xfId="0" applyNumberFormat="1" applyFont="1" applyBorder="1" applyAlignment="1" applyProtection="1">
      <alignment horizontal="center" vertical="center" wrapText="1"/>
    </xf>
    <xf numFmtId="49" fontId="29" fillId="0" borderId="24" xfId="0" applyNumberFormat="1" applyFont="1" applyBorder="1" applyAlignment="1" applyProtection="1">
      <alignment horizontal="center" vertical="center" wrapText="1"/>
    </xf>
    <xf numFmtId="49" fontId="29" fillId="0" borderId="25" xfId="0" applyNumberFormat="1" applyFont="1" applyBorder="1" applyAlignment="1" applyProtection="1">
      <alignment horizontal="center" vertical="center" wrapText="1"/>
    </xf>
    <xf numFmtId="49" fontId="26" fillId="0" borderId="26" xfId="0" applyNumberFormat="1" applyFont="1" applyBorder="1" applyAlignment="1" applyProtection="1">
      <alignment horizontal="center" vertical="center" wrapText="1"/>
    </xf>
    <xf numFmtId="49" fontId="29" fillId="0" borderId="26" xfId="0" applyNumberFormat="1" applyFont="1" applyBorder="1" applyAlignment="1" applyProtection="1">
      <alignment horizontal="center" vertical="center" wrapText="1"/>
    </xf>
    <xf numFmtId="49" fontId="29" fillId="0" borderId="22" xfId="0" applyNumberFormat="1" applyFont="1" applyBorder="1" applyAlignment="1" applyProtection="1">
      <alignment horizontal="center" vertical="center" wrapText="1"/>
    </xf>
    <xf numFmtId="49" fontId="8" fillId="0" borderId="8" xfId="0" applyNumberFormat="1" applyFont="1" applyBorder="1" applyAlignment="1" applyProtection="1">
      <alignment horizontal="justify" vertical="center" wrapText="1"/>
    </xf>
    <xf numFmtId="49" fontId="27" fillId="0" borderId="8" xfId="0" applyNumberFormat="1" applyFont="1" applyBorder="1" applyAlignment="1" applyProtection="1">
      <alignment horizontal="justify" vertical="center" wrapText="1"/>
    </xf>
    <xf numFmtId="0" fontId="8" fillId="0" borderId="0" xfId="0" applyFont="1" applyAlignment="1">
      <alignment horizontal="justify" vertical="center"/>
    </xf>
    <xf numFmtId="49" fontId="8" fillId="0" borderId="19" xfId="0" applyNumberFormat="1" applyFont="1" applyBorder="1" applyAlignment="1" applyProtection="1">
      <alignment horizontal="justify" vertical="center" wrapText="1"/>
    </xf>
    <xf numFmtId="49" fontId="30" fillId="0" borderId="19" xfId="0" applyNumberFormat="1" applyFont="1" applyBorder="1" applyAlignment="1" applyProtection="1">
      <alignment horizontal="justify" vertical="center" wrapText="1"/>
    </xf>
    <xf numFmtId="164" fontId="27" fillId="0" borderId="19" xfId="0" applyNumberFormat="1" applyFont="1" applyBorder="1" applyAlignment="1" applyProtection="1">
      <alignment horizontal="justify" vertical="center" wrapText="1"/>
    </xf>
    <xf numFmtId="164" fontId="8" fillId="0" borderId="19" xfId="0" applyNumberFormat="1" applyFont="1" applyBorder="1" applyAlignment="1" applyProtection="1">
      <alignment horizontal="justify" vertical="center" wrapText="1"/>
    </xf>
    <xf numFmtId="0" fontId="8" fillId="0" borderId="8" xfId="0" applyFont="1" applyBorder="1" applyAlignment="1">
      <alignment wrapText="1"/>
    </xf>
    <xf numFmtId="0" fontId="27" fillId="0" borderId="8" xfId="0" applyFont="1" applyBorder="1" applyAlignment="1">
      <alignment wrapText="1"/>
    </xf>
    <xf numFmtId="0" fontId="27" fillId="0" borderId="8" xfId="0" applyFont="1" applyBorder="1" applyAlignment="1">
      <alignment horizontal="left" wrapText="1"/>
    </xf>
    <xf numFmtId="49" fontId="8" fillId="0" borderId="26"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center" vertical="center" wrapText="1"/>
    </xf>
    <xf numFmtId="49" fontId="27" fillId="0" borderId="23" xfId="0" applyNumberFormat="1" applyFont="1" applyBorder="1" applyAlignment="1" applyProtection="1">
      <alignment horizontal="justify" vertical="center" wrapText="1"/>
    </xf>
    <xf numFmtId="49" fontId="27" fillId="0" borderId="23" xfId="0" applyNumberFormat="1" applyFont="1" applyBorder="1" applyAlignment="1" applyProtection="1">
      <alignment horizontal="center" vertical="center" wrapText="1"/>
    </xf>
    <xf numFmtId="164" fontId="8" fillId="0" borderId="26" xfId="0" applyNumberFormat="1" applyFont="1" applyBorder="1" applyAlignment="1" applyProtection="1">
      <alignment horizontal="justify" vertical="center" wrapText="1"/>
    </xf>
    <xf numFmtId="49" fontId="8" fillId="0" borderId="26" xfId="0" applyNumberFormat="1" applyFont="1" applyBorder="1" applyAlignment="1" applyProtection="1">
      <alignment horizontal="center" vertical="center" wrapText="1"/>
    </xf>
    <xf numFmtId="0" fontId="8" fillId="0" borderId="27" xfId="0" applyFont="1" applyBorder="1" applyAlignment="1">
      <alignment horizontal="justify" vertical="center" wrapText="1"/>
    </xf>
    <xf numFmtId="49" fontId="27" fillId="0" borderId="19" xfId="0" applyNumberFormat="1" applyFont="1" applyBorder="1" applyAlignment="1" applyProtection="1">
      <alignment horizontal="center" vertical="center"/>
    </xf>
    <xf numFmtId="49" fontId="30" fillId="0" borderId="19" xfId="0" applyNumberFormat="1" applyFont="1" applyBorder="1" applyAlignment="1" applyProtection="1">
      <alignment horizontal="center" vertical="center" wrapText="1"/>
    </xf>
    <xf numFmtId="49" fontId="32" fillId="0" borderId="19" xfId="0" applyNumberFormat="1" applyFont="1" applyBorder="1" applyAlignment="1" applyProtection="1">
      <alignment horizontal="center" vertical="center" wrapText="1"/>
    </xf>
    <xf numFmtId="4" fontId="11" fillId="0" borderId="20" xfId="0" applyNumberFormat="1" applyFont="1" applyBorder="1" applyAlignment="1" applyProtection="1">
      <alignment horizontal="right"/>
    </xf>
    <xf numFmtId="4" fontId="11" fillId="0" borderId="21" xfId="0" applyNumberFormat="1" applyFont="1" applyBorder="1" applyAlignment="1" applyProtection="1">
      <alignment horizontal="right"/>
    </xf>
    <xf numFmtId="4" fontId="31" fillId="0" borderId="19" xfId="0" applyNumberFormat="1" applyFont="1" applyBorder="1" applyAlignment="1" applyProtection="1">
      <alignment horizontal="right"/>
    </xf>
    <xf numFmtId="164" fontId="26" fillId="0" borderId="19" xfId="0" applyNumberFormat="1" applyFont="1" applyBorder="1" applyAlignment="1" applyProtection="1">
      <alignment horizontal="justify" vertical="center" wrapText="1"/>
    </xf>
    <xf numFmtId="0" fontId="1" fillId="0" borderId="2" xfId="0" applyFont="1" applyFill="1" applyBorder="1" applyAlignment="1">
      <alignment horizontal="center" wrapText="1"/>
    </xf>
    <xf numFmtId="0" fontId="2" fillId="0" borderId="2" xfId="0" applyFont="1" applyFill="1" applyBorder="1" applyAlignment="1">
      <alignment wrapText="1"/>
    </xf>
    <xf numFmtId="0" fontId="2" fillId="0" borderId="2" xfId="0" applyFont="1" applyFill="1" applyBorder="1" applyAlignment="1">
      <alignment horizontal="center" wrapText="1"/>
    </xf>
    <xf numFmtId="0" fontId="1" fillId="0" borderId="8" xfId="0" applyFont="1" applyFill="1" applyBorder="1" applyAlignment="1">
      <alignment horizontal="center" wrapText="1"/>
    </xf>
    <xf numFmtId="49" fontId="31" fillId="0" borderId="19" xfId="0" applyNumberFormat="1" applyFont="1" applyBorder="1" applyAlignment="1" applyProtection="1">
      <alignment horizontal="center" vertical="center" wrapText="1"/>
    </xf>
    <xf numFmtId="49" fontId="31" fillId="0" borderId="19" xfId="0" applyNumberFormat="1" applyFont="1" applyBorder="1" applyAlignment="1" applyProtection="1">
      <alignment horizontal="justify" vertical="center" wrapText="1"/>
    </xf>
    <xf numFmtId="49" fontId="33" fillId="0" borderId="19" xfId="0" applyNumberFormat="1" applyFont="1" applyBorder="1" applyAlignment="1" applyProtection="1">
      <alignment horizontal="center" vertical="center" wrapText="1"/>
    </xf>
    <xf numFmtId="49" fontId="31" fillId="0" borderId="19" xfId="0" applyNumberFormat="1" applyFont="1" applyBorder="1" applyAlignment="1" applyProtection="1">
      <alignment horizontal="center" vertical="center" wrapText="1"/>
    </xf>
    <xf numFmtId="49" fontId="24" fillId="0" borderId="20" xfId="0" applyNumberFormat="1" applyFont="1" applyBorder="1" applyAlignment="1" applyProtection="1">
      <alignment horizontal="justify" vertical="center" wrapText="1"/>
    </xf>
    <xf numFmtId="4" fontId="24" fillId="0" borderId="22" xfId="0" applyNumberFormat="1" applyFont="1" applyBorder="1" applyAlignment="1" applyProtection="1">
      <alignment horizontal="right"/>
    </xf>
    <xf numFmtId="49" fontId="24" fillId="0" borderId="26" xfId="0" applyNumberFormat="1" applyFont="1" applyBorder="1" applyAlignment="1" applyProtection="1">
      <alignment horizontal="center" vertical="center" wrapText="1"/>
    </xf>
    <xf numFmtId="49" fontId="24" fillId="0" borderId="26" xfId="0" applyNumberFormat="1" applyFont="1" applyBorder="1" applyAlignment="1" applyProtection="1">
      <alignment horizontal="justify" vertical="center" wrapText="1"/>
    </xf>
    <xf numFmtId="164" fontId="30" fillId="0" borderId="19" xfId="0" applyNumberFormat="1" applyFont="1" applyBorder="1" applyAlignment="1" applyProtection="1">
      <alignment horizontal="justify" vertical="center" wrapText="1"/>
    </xf>
    <xf numFmtId="0" fontId="1" fillId="0" borderId="0" xfId="0" applyFont="1" applyAlignment="1">
      <alignment horizontal="right"/>
    </xf>
    <xf numFmtId="49" fontId="22" fillId="0" borderId="19" xfId="0" applyNumberFormat="1" applyFont="1" applyBorder="1" applyAlignment="1" applyProtection="1">
      <alignment horizontal="center" vertical="center" wrapText="1"/>
    </xf>
    <xf numFmtId="0" fontId="34" fillId="0" borderId="13" xfId="0" applyFont="1" applyBorder="1"/>
    <xf numFmtId="0" fontId="35" fillId="0" borderId="13" xfId="0" applyFont="1" applyBorder="1"/>
    <xf numFmtId="0" fontId="10" fillId="0" borderId="0" xfId="0" applyFont="1" applyBorder="1"/>
    <xf numFmtId="0" fontId="36" fillId="0" borderId="0" xfId="0" applyFont="1" applyBorder="1"/>
    <xf numFmtId="0" fontId="36" fillId="0" borderId="0" xfId="0" applyFont="1"/>
    <xf numFmtId="22" fontId="36" fillId="0" borderId="0" xfId="0" applyNumberFormat="1" applyFont="1"/>
    <xf numFmtId="0" fontId="36" fillId="0" borderId="0" xfId="0" applyFont="1" applyAlignment="1">
      <alignment horizontal="left" vertical="top"/>
    </xf>
    <xf numFmtId="0" fontId="36" fillId="0" borderId="0" xfId="0" applyFont="1" applyAlignment="1">
      <alignment vertical="top" wrapText="1"/>
    </xf>
    <xf numFmtId="49" fontId="37" fillId="0" borderId="8" xfId="0" applyNumberFormat="1" applyFont="1" applyBorder="1" applyAlignment="1">
      <alignment horizontal="center" vertical="center" wrapText="1"/>
    </xf>
    <xf numFmtId="49" fontId="37" fillId="0" borderId="3" xfId="0" applyNumberFormat="1" applyFont="1" applyBorder="1" applyAlignment="1">
      <alignment horizontal="center" vertical="center" wrapText="1"/>
    </xf>
    <xf numFmtId="49" fontId="8" fillId="0" borderId="8" xfId="0" applyNumberFormat="1" applyFont="1" applyBorder="1" applyAlignment="1">
      <alignment horizontal="center" wrapText="1"/>
    </xf>
    <xf numFmtId="164" fontId="8" fillId="0" borderId="8" xfId="0" applyNumberFormat="1" applyFont="1" applyBorder="1" applyAlignment="1">
      <alignment horizontal="left" wrapText="1"/>
    </xf>
    <xf numFmtId="4" fontId="8" fillId="0" borderId="3" xfId="0" applyNumberFormat="1" applyFont="1" applyBorder="1" applyAlignment="1">
      <alignment horizontal="right" wrapText="1"/>
    </xf>
    <xf numFmtId="4" fontId="38" fillId="0" borderId="8" xfId="0" applyNumberFormat="1" applyFont="1" applyBorder="1"/>
    <xf numFmtId="49" fontId="8" fillId="0" borderId="8" xfId="0" applyNumberFormat="1" applyFont="1" applyBorder="1" applyAlignment="1">
      <alignment horizontal="left" wrapText="1"/>
    </xf>
    <xf numFmtId="0" fontId="38" fillId="0" borderId="8" xfId="0" applyFont="1" applyBorder="1" applyAlignment="1">
      <alignment wrapText="1"/>
    </xf>
    <xf numFmtId="4" fontId="38" fillId="2" borderId="8" xfId="0" applyNumberFormat="1" applyFont="1" applyFill="1" applyBorder="1"/>
    <xf numFmtId="49" fontId="9" fillId="0" borderId="29" xfId="0" applyNumberFormat="1" applyFont="1" applyBorder="1" applyAlignment="1">
      <alignment horizontal="center" wrapText="1"/>
    </xf>
    <xf numFmtId="49" fontId="9" fillId="0" borderId="9" xfId="0" applyNumberFormat="1" applyFont="1" applyBorder="1" applyAlignment="1">
      <alignment horizontal="left" wrapText="1"/>
    </xf>
    <xf numFmtId="4" fontId="9" fillId="0" borderId="11" xfId="0" applyNumberFormat="1" applyFont="1" applyBorder="1" applyAlignment="1">
      <alignment horizontal="right" wrapText="1"/>
    </xf>
    <xf numFmtId="49" fontId="6" fillId="0" borderId="0" xfId="0" applyNumberFormat="1" applyFont="1"/>
    <xf numFmtId="49" fontId="8" fillId="0" borderId="19" xfId="0" applyNumberFormat="1" applyFont="1" applyBorder="1" applyAlignment="1" applyProtection="1">
      <alignment horizontal="right" vertical="center" wrapText="1"/>
    </xf>
    <xf numFmtId="49" fontId="0" fillId="0" borderId="0" xfId="0" applyNumberFormat="1"/>
    <xf numFmtId="4" fontId="9" fillId="0" borderId="8" xfId="0" applyNumberFormat="1" applyFont="1" applyBorder="1" applyAlignment="1">
      <alignment horizontal="right" wrapText="1"/>
    </xf>
    <xf numFmtId="164" fontId="9" fillId="0" borderId="19" xfId="0" applyNumberFormat="1" applyFont="1" applyBorder="1" applyAlignment="1" applyProtection="1">
      <alignment horizontal="justify" vertical="center" wrapText="1"/>
    </xf>
    <xf numFmtId="4" fontId="25" fillId="0" borderId="0" xfId="0" applyNumberFormat="1" applyFont="1" applyFill="1" applyBorder="1" applyAlignment="1" applyProtection="1">
      <alignment horizontal="right"/>
    </xf>
    <xf numFmtId="49" fontId="39" fillId="0" borderId="19" xfId="0" applyNumberFormat="1" applyFont="1" applyBorder="1" applyAlignment="1" applyProtection="1">
      <alignment horizontal="justify" vertical="center" wrapText="1"/>
    </xf>
    <xf numFmtId="0" fontId="40" fillId="0" borderId="0" xfId="0" applyFont="1"/>
    <xf numFmtId="49" fontId="41" fillId="0" borderId="19" xfId="0" applyNumberFormat="1" applyFont="1" applyBorder="1" applyAlignment="1" applyProtection="1">
      <alignment horizontal="justify" vertical="center" wrapText="1"/>
    </xf>
    <xf numFmtId="164" fontId="42" fillId="0" borderId="19" xfId="0" applyNumberFormat="1" applyFont="1" applyBorder="1" applyAlignment="1" applyProtection="1">
      <alignment horizontal="justify" vertical="center" wrapText="1"/>
    </xf>
    <xf numFmtId="4" fontId="29" fillId="0" borderId="19" xfId="0" applyNumberFormat="1" applyFont="1" applyBorder="1" applyAlignment="1" applyProtection="1">
      <alignment horizontal="right"/>
    </xf>
    <xf numFmtId="49" fontId="42" fillId="0" borderId="19" xfId="0" applyNumberFormat="1" applyFont="1" applyBorder="1" applyAlignment="1" applyProtection="1">
      <alignment horizontal="justify" vertical="center" wrapText="1"/>
    </xf>
    <xf numFmtId="164" fontId="41" fillId="0" borderId="19" xfId="0" applyNumberFormat="1" applyFont="1" applyBorder="1" applyAlignment="1" applyProtection="1">
      <alignment horizontal="justify" vertical="center" wrapText="1"/>
    </xf>
    <xf numFmtId="0" fontId="43" fillId="0" borderId="0" xfId="0" applyFont="1"/>
    <xf numFmtId="9" fontId="40" fillId="0" borderId="0" xfId="0" applyNumberFormat="1" applyFont="1"/>
    <xf numFmtId="49" fontId="42" fillId="0" borderId="20" xfId="0" applyNumberFormat="1" applyFont="1" applyBorder="1" applyAlignment="1" applyProtection="1">
      <alignment horizontal="justify" vertical="center" wrapText="1"/>
    </xf>
    <xf numFmtId="4" fontId="42" fillId="0" borderId="0" xfId="0" applyNumberFormat="1" applyFont="1" applyFill="1" applyBorder="1" applyAlignment="1" applyProtection="1">
      <alignment horizontal="right"/>
    </xf>
    <xf numFmtId="164" fontId="39" fillId="0" borderId="19" xfId="0" applyNumberFormat="1" applyFont="1" applyBorder="1" applyAlignment="1" applyProtection="1">
      <alignment horizontal="justify" vertical="center" wrapText="1"/>
    </xf>
    <xf numFmtId="4" fontId="40" fillId="0" borderId="0" xfId="0" applyNumberFormat="1" applyFont="1"/>
    <xf numFmtId="4" fontId="40" fillId="2" borderId="0" xfId="0" applyNumberFormat="1" applyFont="1" applyFill="1"/>
    <xf numFmtId="49" fontId="9" fillId="0" borderId="19" xfId="0" applyNumberFormat="1" applyFont="1" applyBorder="1" applyAlignment="1" applyProtection="1">
      <alignment horizontal="right" vertical="center" wrapText="1"/>
    </xf>
    <xf numFmtId="4" fontId="11" fillId="0" borderId="19" xfId="0" applyNumberFormat="1" applyFont="1" applyBorder="1" applyAlignment="1" applyProtection="1">
      <alignment horizontal="right"/>
    </xf>
    <xf numFmtId="49" fontId="44" fillId="0" borderId="19" xfId="0" applyNumberFormat="1" applyFont="1" applyBorder="1" applyAlignment="1" applyProtection="1">
      <alignment horizontal="center" vertical="center" wrapText="1"/>
    </xf>
    <xf numFmtId="49" fontId="44" fillId="0" borderId="19" xfId="0" applyNumberFormat="1" applyFont="1" applyBorder="1" applyAlignment="1" applyProtection="1">
      <alignment horizontal="right" vertical="center" wrapText="1"/>
    </xf>
    <xf numFmtId="164" fontId="44" fillId="0" borderId="19" xfId="0" applyNumberFormat="1" applyFont="1" applyBorder="1" applyAlignment="1" applyProtection="1">
      <alignment horizontal="justify" vertical="center" wrapText="1"/>
    </xf>
    <xf numFmtId="4" fontId="45" fillId="0" borderId="19" xfId="0" applyNumberFormat="1" applyFont="1" applyBorder="1" applyAlignment="1" applyProtection="1">
      <alignment horizontal="right"/>
    </xf>
    <xf numFmtId="49" fontId="31" fillId="0" borderId="19" xfId="0" applyNumberFormat="1" applyFont="1" applyBorder="1" applyAlignment="1" applyProtection="1">
      <alignment horizontal="center" vertical="center" wrapText="1"/>
    </xf>
    <xf numFmtId="4" fontId="8" fillId="0" borderId="19" xfId="0" applyNumberFormat="1" applyFont="1" applyBorder="1" applyAlignment="1" applyProtection="1">
      <alignment horizontal="right"/>
    </xf>
    <xf numFmtId="49" fontId="8" fillId="2" borderId="19" xfId="0" applyNumberFormat="1" applyFont="1" applyFill="1" applyBorder="1" applyAlignment="1" applyProtection="1">
      <alignment horizontal="justify" vertical="center" wrapText="1"/>
    </xf>
    <xf numFmtId="49" fontId="8" fillId="2" borderId="19" xfId="0" applyNumberFormat="1" applyFont="1" applyFill="1" applyBorder="1" applyAlignment="1" applyProtection="1">
      <alignment horizontal="center" vertical="center" wrapText="1"/>
    </xf>
    <xf numFmtId="49" fontId="8" fillId="2" borderId="19" xfId="0" applyNumberFormat="1" applyFont="1" applyFill="1" applyBorder="1" applyAlignment="1" applyProtection="1">
      <alignment horizontal="right" vertical="center" wrapText="1"/>
    </xf>
    <xf numFmtId="0" fontId="27" fillId="0" borderId="8" xfId="0" applyFont="1" applyBorder="1" applyAlignment="1">
      <alignment horizontal="justify" vertical="center" wrapText="1"/>
    </xf>
    <xf numFmtId="0" fontId="27" fillId="0" borderId="28" xfId="0" applyFont="1" applyBorder="1" applyAlignment="1">
      <alignment horizontal="justify" vertical="center" wrapText="1"/>
    </xf>
    <xf numFmtId="49" fontId="32" fillId="0" borderId="19" xfId="0" applyNumberFormat="1" applyFont="1" applyBorder="1" applyAlignment="1" applyProtection="1">
      <alignment horizontal="justify" vertical="center" wrapText="1"/>
    </xf>
    <xf numFmtId="0" fontId="27" fillId="0" borderId="8" xfId="0" applyFont="1" applyFill="1" applyBorder="1" applyAlignment="1">
      <alignment wrapText="1"/>
    </xf>
    <xf numFmtId="4" fontId="46" fillId="0" borderId="19" xfId="0" applyNumberFormat="1" applyFont="1" applyBorder="1" applyAlignment="1" applyProtection="1">
      <alignment horizontal="right"/>
    </xf>
    <xf numFmtId="49" fontId="47" fillId="0" borderId="19" xfId="0" applyNumberFormat="1" applyFont="1" applyBorder="1" applyAlignment="1" applyProtection="1">
      <alignment horizontal="justify" vertical="center" wrapText="1"/>
    </xf>
    <xf numFmtId="0" fontId="47" fillId="0" borderId="8" xfId="0" applyFont="1" applyBorder="1" applyAlignment="1">
      <alignment wrapText="1"/>
    </xf>
    <xf numFmtId="49" fontId="47" fillId="0" borderId="8" xfId="0" applyNumberFormat="1" applyFont="1" applyBorder="1" applyAlignment="1">
      <alignment horizontal="center" wrapText="1"/>
    </xf>
    <xf numFmtId="4" fontId="47" fillId="0" borderId="3" xfId="0" applyNumberFormat="1" applyFont="1" applyBorder="1" applyAlignment="1">
      <alignment horizontal="right" wrapText="1"/>
    </xf>
    <xf numFmtId="49" fontId="47" fillId="0" borderId="8" xfId="0" applyNumberFormat="1" applyFont="1" applyBorder="1" applyAlignment="1">
      <alignment horizontal="left" wrapText="1"/>
    </xf>
    <xf numFmtId="4" fontId="47" fillId="0" borderId="19" xfId="0" applyNumberFormat="1" applyFont="1" applyBorder="1" applyAlignment="1" applyProtection="1">
      <alignment horizontal="right"/>
    </xf>
    <xf numFmtId="4" fontId="28" fillId="0" borderId="19" xfId="0" applyNumberFormat="1" applyFont="1" applyBorder="1" applyAlignment="1" applyProtection="1">
      <alignment horizontal="right"/>
    </xf>
    <xf numFmtId="49" fontId="21" fillId="0" borderId="19" xfId="0" applyNumberFormat="1" applyFont="1" applyBorder="1" applyAlignment="1" applyProtection="1">
      <alignment horizontal="center" vertical="center" wrapText="1"/>
    </xf>
    <xf numFmtId="0" fontId="1" fillId="0" borderId="0" xfId="0" applyFont="1" applyAlignment="1">
      <alignment horizontal="right"/>
    </xf>
    <xf numFmtId="0" fontId="0" fillId="0" borderId="0" xfId="0" applyAlignment="1">
      <alignment horizontal="right"/>
    </xf>
    <xf numFmtId="49" fontId="21" fillId="0" borderId="21" xfId="0" applyNumberFormat="1" applyFont="1" applyBorder="1" applyAlignment="1" applyProtection="1">
      <alignment horizontal="center" vertical="center" wrapText="1"/>
    </xf>
    <xf numFmtId="49" fontId="29" fillId="0" borderId="34" xfId="0" applyNumberFormat="1" applyFont="1" applyBorder="1" applyAlignment="1" applyProtection="1">
      <alignment horizontal="center" vertical="center" wrapText="1"/>
    </xf>
    <xf numFmtId="4" fontId="21" fillId="0" borderId="19" xfId="0" applyNumberFormat="1" applyFont="1" applyBorder="1" applyAlignment="1" applyProtection="1">
      <alignment horizontal="right"/>
    </xf>
    <xf numFmtId="164" fontId="21" fillId="0" borderId="19" xfId="0" applyNumberFormat="1" applyFont="1" applyBorder="1" applyAlignment="1" applyProtection="1">
      <alignment horizontal="justify" vertical="center" wrapText="1"/>
    </xf>
    <xf numFmtId="0" fontId="3" fillId="0" borderId="8" xfId="0" applyFont="1" applyBorder="1" applyAlignment="1">
      <alignment horizontal="right"/>
    </xf>
    <xf numFmtId="0" fontId="1" fillId="0" borderId="8" xfId="0" applyFont="1" applyBorder="1" applyAlignment="1">
      <alignment horizontal="right"/>
    </xf>
    <xf numFmtId="0" fontId="1" fillId="0" borderId="2" xfId="0" applyFont="1" applyFill="1" applyBorder="1" applyAlignment="1">
      <alignment horizontal="center"/>
    </xf>
    <xf numFmtId="0" fontId="1" fillId="0" borderId="8" xfId="0" applyFont="1" applyFill="1" applyBorder="1" applyAlignment="1">
      <alignment horizontal="center" wrapText="1"/>
    </xf>
    <xf numFmtId="49" fontId="11" fillId="0" borderId="26" xfId="0" applyNumberFormat="1" applyFont="1" applyBorder="1" applyAlignment="1" applyProtection="1">
      <alignment horizontal="justify" vertical="center" wrapText="1"/>
    </xf>
    <xf numFmtId="49" fontId="1" fillId="0" borderId="19" xfId="0" applyNumberFormat="1" applyFont="1" applyBorder="1" applyAlignment="1" applyProtection="1">
      <alignment horizontal="justify" vertical="center" wrapText="1"/>
    </xf>
    <xf numFmtId="0" fontId="38" fillId="0" borderId="0" xfId="0" applyFont="1" applyAlignment="1">
      <alignment horizontal="justify" vertical="top" wrapText="1"/>
    </xf>
    <xf numFmtId="4" fontId="13" fillId="0" borderId="0" xfId="0" applyNumberFormat="1" applyFont="1" applyFill="1"/>
    <xf numFmtId="49" fontId="21" fillId="0" borderId="8" xfId="0" applyNumberFormat="1" applyFont="1" applyBorder="1" applyAlignment="1" applyProtection="1">
      <alignment horizontal="center" vertical="center" wrapText="1"/>
    </xf>
    <xf numFmtId="49" fontId="21" fillId="0" borderId="23" xfId="0" applyNumberFormat="1" applyFont="1" applyBorder="1" applyAlignment="1" applyProtection="1">
      <alignment horizontal="center" vertical="center" wrapText="1"/>
    </xf>
    <xf numFmtId="49" fontId="27" fillId="0" borderId="22" xfId="0" applyNumberFormat="1" applyFont="1" applyBorder="1" applyAlignment="1" applyProtection="1">
      <alignment horizontal="center" vertical="center" wrapText="1"/>
    </xf>
    <xf numFmtId="49" fontId="9" fillId="0" borderId="26" xfId="0" applyNumberFormat="1" applyFont="1" applyBorder="1" applyAlignment="1" applyProtection="1">
      <alignment horizontal="justify" vertical="center" wrapText="1"/>
    </xf>
    <xf numFmtId="0" fontId="38" fillId="0" borderId="8" xfId="0" applyFont="1" applyBorder="1" applyAlignment="1">
      <alignment horizontal="justify" wrapText="1"/>
    </xf>
    <xf numFmtId="0" fontId="27" fillId="0" borderId="8" xfId="0" applyFont="1" applyBorder="1" applyAlignment="1">
      <alignment horizontal="justify" wrapText="1"/>
    </xf>
    <xf numFmtId="49" fontId="50" fillId="0" borderId="8" xfId="0" applyNumberFormat="1" applyFont="1" applyBorder="1" applyAlignment="1">
      <alignment horizontal="center" wrapText="1"/>
    </xf>
    <xf numFmtId="49" fontId="49" fillId="0" borderId="8" xfId="0" applyNumberFormat="1" applyFont="1" applyBorder="1" applyAlignment="1">
      <alignment horizontal="left" wrapText="1"/>
    </xf>
    <xf numFmtId="49" fontId="1" fillId="0" borderId="8" xfId="1" applyNumberFormat="1" applyFont="1" applyBorder="1" applyAlignment="1"/>
    <xf numFmtId="0" fontId="1" fillId="0" borderId="2" xfId="0" applyFont="1" applyFill="1" applyBorder="1" applyAlignment="1">
      <alignment horizontal="center" wrapText="1"/>
    </xf>
    <xf numFmtId="49" fontId="11" fillId="0" borderId="19" xfId="0" applyNumberFormat="1" applyFont="1" applyBorder="1" applyAlignment="1" applyProtection="1">
      <alignment horizontal="justify" vertical="center" wrapText="1"/>
    </xf>
    <xf numFmtId="0" fontId="1" fillId="0" borderId="8" xfId="0" applyFont="1" applyFill="1" applyBorder="1" applyAlignment="1">
      <alignment horizontal="justify" wrapText="1"/>
    </xf>
    <xf numFmtId="0" fontId="38" fillId="0" borderId="0" xfId="0" applyFont="1" applyAlignment="1">
      <alignment horizontal="justify" wrapText="1"/>
    </xf>
    <xf numFmtId="49" fontId="25" fillId="0" borderId="20" xfId="0" applyNumberFormat="1" applyFont="1" applyBorder="1" applyAlignment="1" applyProtection="1">
      <alignment horizontal="center" vertical="center" wrapText="1"/>
    </xf>
    <xf numFmtId="49" fontId="29" fillId="0" borderId="35" xfId="0" applyNumberFormat="1" applyFont="1" applyBorder="1" applyAlignment="1" applyProtection="1">
      <alignment horizontal="center" vertical="center" wrapText="1"/>
    </xf>
    <xf numFmtId="49" fontId="29" fillId="0" borderId="36" xfId="0" applyNumberFormat="1" applyFont="1" applyBorder="1" applyAlignment="1" applyProtection="1">
      <alignment horizontal="center" vertical="center" wrapText="1"/>
    </xf>
    <xf numFmtId="49" fontId="25" fillId="0" borderId="22" xfId="0" applyNumberFormat="1" applyFont="1" applyBorder="1" applyAlignment="1" applyProtection="1">
      <alignment horizontal="center" vertical="center" wrapText="1"/>
    </xf>
    <xf numFmtId="49" fontId="29" fillId="0" borderId="37" xfId="0" applyNumberFormat="1" applyFont="1" applyBorder="1" applyAlignment="1" applyProtection="1">
      <alignment horizontal="center" vertical="center" wrapText="1"/>
    </xf>
    <xf numFmtId="49" fontId="8" fillId="0" borderId="23" xfId="0" applyNumberFormat="1" applyFont="1" applyBorder="1" applyAlignment="1" applyProtection="1">
      <alignment horizontal="justify" vertical="center" wrapText="1"/>
    </xf>
    <xf numFmtId="49" fontId="27" fillId="0" borderId="21" xfId="0" applyNumberFormat="1" applyFont="1" applyBorder="1" applyAlignment="1" applyProtection="1">
      <alignment horizontal="justify" vertical="center" wrapText="1"/>
    </xf>
    <xf numFmtId="49" fontId="27" fillId="2" borderId="23" xfId="0" applyNumberFormat="1" applyFont="1" applyFill="1" applyBorder="1" applyAlignment="1" applyProtection="1">
      <alignment horizontal="justify" vertical="center" wrapText="1"/>
    </xf>
    <xf numFmtId="0" fontId="8" fillId="0" borderId="8" xfId="0" applyFont="1" applyBorder="1" applyAlignment="1">
      <alignment horizontal="justify" wrapText="1"/>
    </xf>
    <xf numFmtId="4" fontId="21" fillId="2" borderId="19" xfId="0" applyNumberFormat="1" applyFont="1" applyFill="1" applyBorder="1" applyAlignment="1" applyProtection="1">
      <alignment horizontal="right"/>
    </xf>
    <xf numFmtId="49" fontId="27" fillId="2" borderId="23" xfId="0" applyNumberFormat="1" applyFont="1" applyFill="1" applyBorder="1" applyAlignment="1" applyProtection="1">
      <alignment horizontal="center" vertical="center" wrapText="1"/>
    </xf>
    <xf numFmtId="49" fontId="27" fillId="2" borderId="19" xfId="0" applyNumberFormat="1" applyFont="1" applyFill="1" applyBorder="1" applyAlignment="1" applyProtection="1">
      <alignment horizontal="center" vertical="center" wrapText="1"/>
    </xf>
    <xf numFmtId="49" fontId="27" fillId="2" borderId="19" xfId="0" applyNumberFormat="1" applyFont="1" applyFill="1" applyBorder="1" applyAlignment="1" applyProtection="1">
      <alignment horizontal="right" vertical="center" wrapText="1"/>
    </xf>
    <xf numFmtId="49" fontId="27" fillId="2" borderId="19" xfId="0" applyNumberFormat="1" applyFont="1" applyFill="1" applyBorder="1" applyAlignment="1" applyProtection="1">
      <alignment horizontal="justify" vertical="center" wrapText="1"/>
    </xf>
    <xf numFmtId="4" fontId="29" fillId="2" borderId="19" xfId="0" applyNumberFormat="1" applyFont="1" applyFill="1" applyBorder="1" applyAlignment="1" applyProtection="1">
      <alignment horizontal="right"/>
    </xf>
    <xf numFmtId="49" fontId="21" fillId="0" borderId="19" xfId="0" applyNumberFormat="1" applyFont="1" applyBorder="1" applyAlignment="1" applyProtection="1">
      <alignment horizontal="justify" vertical="center" wrapText="1"/>
    </xf>
    <xf numFmtId="0" fontId="47" fillId="0" borderId="8" xfId="0" applyFont="1" applyBorder="1" applyAlignment="1">
      <alignment horizontal="justify" vertical="center" wrapText="1"/>
    </xf>
    <xf numFmtId="4" fontId="47" fillId="0" borderId="8" xfId="0" applyNumberFormat="1" applyFont="1" applyBorder="1"/>
    <xf numFmtId="49" fontId="8" fillId="0" borderId="8" xfId="0" applyNumberFormat="1" applyFont="1" applyBorder="1" applyAlignment="1">
      <alignment horizontal="justify" wrapText="1"/>
    </xf>
    <xf numFmtId="49" fontId="9" fillId="0" borderId="8" xfId="0" applyNumberFormat="1" applyFont="1" applyBorder="1" applyAlignment="1">
      <alignment horizontal="center" vertical="center" wrapText="1"/>
    </xf>
    <xf numFmtId="49" fontId="27" fillId="0" borderId="8" xfId="0" applyNumberFormat="1" applyFont="1" applyBorder="1" applyAlignment="1">
      <alignment horizontal="justify" wrapText="1"/>
    </xf>
    <xf numFmtId="49" fontId="21" fillId="0" borderId="22"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justify" vertical="center" wrapText="1"/>
    </xf>
    <xf numFmtId="164" fontId="46" fillId="0" borderId="19" xfId="0" applyNumberFormat="1" applyFont="1" applyBorder="1" applyAlignment="1" applyProtection="1">
      <alignment horizontal="justify" vertical="center" wrapText="1"/>
    </xf>
    <xf numFmtId="49" fontId="46" fillId="0" borderId="19" xfId="0" applyNumberFormat="1" applyFont="1" applyBorder="1" applyAlignment="1" applyProtection="1">
      <alignment horizontal="justify" vertical="center" wrapText="1"/>
    </xf>
    <xf numFmtId="0" fontId="53" fillId="0" borderId="0" xfId="0" applyFont="1"/>
    <xf numFmtId="0" fontId="54" fillId="0" borderId="0" xfId="0" applyFont="1"/>
    <xf numFmtId="0" fontId="1" fillId="0" borderId="8" xfId="0" applyFont="1" applyFill="1" applyBorder="1" applyAlignment="1">
      <alignment horizontal="center" wrapText="1"/>
    </xf>
    <xf numFmtId="4" fontId="21" fillId="0" borderId="21" xfId="0" applyNumberFormat="1" applyFont="1" applyBorder="1" applyAlignment="1" applyProtection="1">
      <alignment horizontal="right"/>
    </xf>
    <xf numFmtId="49" fontId="21" fillId="0" borderId="19" xfId="0" applyNumberFormat="1" applyFont="1" applyBorder="1" applyAlignment="1" applyProtection="1">
      <alignment horizontal="right" vertical="center" wrapText="1"/>
    </xf>
    <xf numFmtId="4" fontId="21" fillId="0" borderId="20" xfId="0" applyNumberFormat="1" applyFont="1" applyBorder="1" applyAlignment="1" applyProtection="1">
      <alignment horizontal="right"/>
    </xf>
    <xf numFmtId="0" fontId="8" fillId="2" borderId="8" xfId="0" applyFont="1" applyFill="1" applyBorder="1" applyAlignment="1">
      <alignment wrapText="1"/>
    </xf>
    <xf numFmtId="0" fontId="1" fillId="0" borderId="2" xfId="0" applyFont="1" applyFill="1" applyBorder="1" applyAlignment="1">
      <alignment horizontal="center" wrapText="1"/>
    </xf>
    <xf numFmtId="0" fontId="1" fillId="0" borderId="17" xfId="0" applyFont="1" applyFill="1" applyBorder="1" applyAlignment="1">
      <alignment horizontal="center"/>
    </xf>
    <xf numFmtId="4" fontId="1" fillId="0" borderId="8" xfId="0" applyNumberFormat="1" applyFont="1" applyFill="1" applyBorder="1" applyAlignment="1"/>
    <xf numFmtId="49" fontId="1" fillId="0" borderId="8" xfId="0" applyNumberFormat="1" applyFont="1" applyBorder="1" applyAlignment="1">
      <alignment horizontal="center"/>
    </xf>
    <xf numFmtId="0" fontId="1" fillId="0" borderId="8" xfId="0" applyFont="1" applyBorder="1" applyAlignment="1">
      <alignment horizontal="center"/>
    </xf>
    <xf numFmtId="0" fontId="55" fillId="0" borderId="0" xfId="0" applyFont="1"/>
    <xf numFmtId="0" fontId="2" fillId="0" borderId="0" xfId="0" applyFont="1" applyAlignment="1">
      <alignment vertical="center"/>
    </xf>
    <xf numFmtId="0" fontId="9" fillId="0" borderId="8" xfId="0" applyFont="1" applyBorder="1" applyAlignment="1">
      <alignment horizontal="center" vertical="center" wrapText="1"/>
    </xf>
    <xf numFmtId="0" fontId="8" fillId="0" borderId="8" xfId="0" applyFont="1" applyBorder="1" applyAlignment="1">
      <alignment vertical="center" wrapText="1"/>
    </xf>
    <xf numFmtId="0" fontId="9" fillId="0" borderId="8" xfId="0" applyFont="1" applyBorder="1" applyAlignment="1">
      <alignment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xf>
    <xf numFmtId="0" fontId="8" fillId="0" borderId="8" xfId="0" applyFont="1" applyBorder="1" applyAlignment="1">
      <alignment horizontal="left" vertical="center" wrapText="1"/>
    </xf>
    <xf numFmtId="0" fontId="9" fillId="0" borderId="8" xfId="0" applyFont="1" applyBorder="1" applyAlignment="1">
      <alignment horizontal="justify" vertical="center" wrapText="1"/>
    </xf>
    <xf numFmtId="49" fontId="8" fillId="0" borderId="8" xfId="0" applyNumberFormat="1" applyFont="1" applyBorder="1" applyAlignment="1">
      <alignment horizontal="center" vertical="center" wrapText="1"/>
    </xf>
    <xf numFmtId="0" fontId="8" fillId="0" borderId="0" xfId="0" applyFont="1"/>
    <xf numFmtId="49" fontId="8" fillId="0" borderId="8" xfId="0" applyNumberFormat="1" applyFont="1" applyBorder="1" applyAlignment="1">
      <alignment horizontal="center"/>
    </xf>
    <xf numFmtId="0" fontId="8" fillId="0" borderId="8" xfId="0" applyFont="1" applyBorder="1" applyAlignment="1">
      <alignment vertical="top" wrapText="1"/>
    </xf>
    <xf numFmtId="0" fontId="38" fillId="0" borderId="8" xfId="0" applyFont="1" applyBorder="1" applyAlignment="1">
      <alignment horizontal="justify" vertical="center"/>
    </xf>
    <xf numFmtId="0" fontId="9" fillId="0" borderId="8" xfId="0" applyFont="1" applyBorder="1" applyAlignment="1">
      <alignment wrapText="1"/>
    </xf>
    <xf numFmtId="0" fontId="2" fillId="0" borderId="0" xfId="0" applyFont="1"/>
    <xf numFmtId="0" fontId="1" fillId="0" borderId="8" xfId="0" applyFont="1" applyBorder="1" applyAlignment="1">
      <alignment horizontal="center" vertical="center" wrapText="1"/>
    </xf>
    <xf numFmtId="49" fontId="2" fillId="0" borderId="8" xfId="0" applyNumberFormat="1" applyFont="1" applyBorder="1" applyAlignment="1">
      <alignment horizontal="center"/>
    </xf>
    <xf numFmtId="49" fontId="2" fillId="0" borderId="8" xfId="1" applyNumberFormat="1" applyFont="1" applyBorder="1" applyAlignment="1">
      <alignment horizontal="center"/>
    </xf>
    <xf numFmtId="0" fontId="2" fillId="0" borderId="8" xfId="1" applyFont="1" applyBorder="1" applyAlignment="1">
      <alignment wrapText="1"/>
    </xf>
    <xf numFmtId="49" fontId="1" fillId="0" borderId="8" xfId="1" applyNumberFormat="1" applyFont="1" applyFill="1" applyBorder="1" applyAlignment="1">
      <alignment horizontal="center"/>
    </xf>
    <xf numFmtId="0" fontId="0" fillId="0" borderId="0" xfId="0" applyFill="1"/>
    <xf numFmtId="0" fontId="8" fillId="0" borderId="0" xfId="0" applyFont="1" applyAlignment="1">
      <alignment horizontal="justify" vertical="center" wrapText="1"/>
    </xf>
    <xf numFmtId="0" fontId="1" fillId="0" borderId="8" xfId="0" applyFont="1" applyBorder="1" applyAlignment="1">
      <alignment horizontal="justify" wrapText="1"/>
    </xf>
    <xf numFmtId="2" fontId="1" fillId="0" borderId="8" xfId="0" applyNumberFormat="1" applyFont="1" applyBorder="1" applyAlignment="1">
      <alignment horizontal="center" wrapText="1"/>
    </xf>
    <xf numFmtId="2" fontId="1" fillId="0" borderId="8" xfId="0" applyNumberFormat="1" applyFont="1" applyBorder="1" applyAlignment="1">
      <alignment horizontal="center"/>
    </xf>
    <xf numFmtId="4" fontId="32" fillId="0" borderId="0" xfId="0" applyNumberFormat="1" applyFont="1" applyFill="1" applyBorder="1" applyAlignment="1" applyProtection="1">
      <alignment horizontal="right"/>
    </xf>
    <xf numFmtId="0" fontId="27" fillId="0" borderId="8" xfId="0" applyFont="1" applyFill="1" applyBorder="1" applyAlignment="1">
      <alignment horizontal="justify" wrapText="1"/>
    </xf>
    <xf numFmtId="164" fontId="8" fillId="0" borderId="20" xfId="0" applyNumberFormat="1" applyFont="1" applyBorder="1" applyAlignment="1" applyProtection="1">
      <alignment horizontal="justify" vertical="center" wrapText="1"/>
    </xf>
    <xf numFmtId="49" fontId="8" fillId="0" borderId="20" xfId="0" applyNumberFormat="1" applyFont="1" applyBorder="1" applyAlignment="1" applyProtection="1">
      <alignment horizontal="justify" vertical="center" wrapText="1"/>
    </xf>
    <xf numFmtId="164" fontId="8" fillId="0" borderId="34" xfId="0" applyNumberFormat="1" applyFont="1" applyBorder="1" applyAlignment="1" applyProtection="1">
      <alignment horizontal="justify" vertical="center" wrapText="1"/>
    </xf>
    <xf numFmtId="0" fontId="1" fillId="0" borderId="17" xfId="0" applyFont="1" applyBorder="1" applyAlignment="1">
      <alignment horizontal="center"/>
    </xf>
    <xf numFmtId="0" fontId="1" fillId="0" borderId="17" xfId="0" applyFont="1" applyFill="1" applyBorder="1" applyAlignment="1">
      <alignment horizontal="center"/>
    </xf>
    <xf numFmtId="0" fontId="1" fillId="0" borderId="0" xfId="0" applyFont="1" applyFill="1" applyAlignment="1">
      <alignment horizontal="right"/>
    </xf>
    <xf numFmtId="0" fontId="2" fillId="0" borderId="8" xfId="0" applyFont="1" applyBorder="1"/>
    <xf numFmtId="4" fontId="2" fillId="0" borderId="8" xfId="0" applyNumberFormat="1" applyFont="1" applyFill="1" applyBorder="1" applyAlignment="1">
      <alignment horizontal="center"/>
    </xf>
    <xf numFmtId="49" fontId="21" fillId="2" borderId="19" xfId="0" applyNumberFormat="1" applyFont="1" applyFill="1" applyBorder="1" applyAlignment="1" applyProtection="1">
      <alignment horizontal="center" vertical="center" wrapText="1"/>
    </xf>
    <xf numFmtId="49" fontId="21" fillId="0" borderId="26" xfId="0" applyNumberFormat="1" applyFont="1" applyBorder="1" applyAlignment="1" applyProtection="1">
      <alignment horizontal="center" vertical="center" wrapText="1"/>
    </xf>
    <xf numFmtId="0" fontId="38" fillId="0" borderId="0" xfId="0" applyFont="1" applyAlignment="1">
      <alignment horizontal="justify" vertical="center" wrapText="1"/>
    </xf>
    <xf numFmtId="49" fontId="27" fillId="0" borderId="8" xfId="0" applyNumberFormat="1" applyFont="1" applyBorder="1" applyAlignment="1">
      <alignment horizontal="justify" vertical="center" wrapText="1"/>
    </xf>
    <xf numFmtId="0" fontId="1" fillId="0" borderId="8" xfId="0" applyFont="1" applyFill="1" applyBorder="1" applyAlignment="1">
      <alignment horizontal="justify" vertical="center" wrapText="1"/>
    </xf>
    <xf numFmtId="49" fontId="39" fillId="0" borderId="20" xfId="0" applyNumberFormat="1" applyFont="1" applyBorder="1" applyAlignment="1" applyProtection="1">
      <alignment horizontal="justify" vertical="center" wrapText="1"/>
    </xf>
    <xf numFmtId="4" fontId="41" fillId="0" borderId="0" xfId="0" applyNumberFormat="1" applyFont="1" applyFill="1" applyBorder="1" applyAlignment="1" applyProtection="1">
      <alignment horizontal="right"/>
    </xf>
    <xf numFmtId="0" fontId="40" fillId="0" borderId="0" xfId="0" applyFont="1" applyBorder="1"/>
    <xf numFmtId="3" fontId="40" fillId="0" borderId="0" xfId="0" applyNumberFormat="1" applyFont="1"/>
    <xf numFmtId="0" fontId="1" fillId="0" borderId="0" xfId="0" applyFont="1" applyAlignment="1">
      <alignment horizontal="center" vertical="center" wrapText="1"/>
    </xf>
    <xf numFmtId="0" fontId="8" fillId="0" borderId="8" xfId="0" applyFont="1" applyFill="1" applyBorder="1" applyAlignment="1">
      <alignment vertical="center" wrapText="1"/>
    </xf>
    <xf numFmtId="0" fontId="8" fillId="0" borderId="8" xfId="0" applyFont="1" applyFill="1" applyBorder="1" applyAlignment="1">
      <alignment horizontal="justify" vertical="center" wrapText="1"/>
    </xf>
    <xf numFmtId="0" fontId="8" fillId="0" borderId="8" xfId="0" applyFont="1" applyFill="1" applyBorder="1" applyAlignment="1">
      <alignment wrapText="1"/>
    </xf>
    <xf numFmtId="0" fontId="52" fillId="0" borderId="8" xfId="0" applyFont="1" applyBorder="1" applyAlignment="1">
      <alignment wrapText="1"/>
    </xf>
    <xf numFmtId="0" fontId="52" fillId="0" borderId="8" xfId="0" applyFont="1" applyBorder="1"/>
    <xf numFmtId="0" fontId="52" fillId="0" borderId="8" xfId="0" applyFont="1" applyBorder="1" applyAlignment="1">
      <alignment vertical="center" wrapText="1"/>
    </xf>
    <xf numFmtId="0" fontId="8" fillId="0" borderId="8" xfId="0" applyFont="1" applyBorder="1"/>
    <xf numFmtId="49" fontId="9" fillId="2" borderId="8" xfId="0" applyNumberFormat="1" applyFont="1" applyFill="1" applyBorder="1" applyAlignment="1">
      <alignment horizontal="center" vertical="center"/>
    </xf>
    <xf numFmtId="0" fontId="8" fillId="2" borderId="8" xfId="0" applyFont="1" applyFill="1" applyBorder="1" applyAlignment="1">
      <alignment horizontal="left"/>
    </xf>
    <xf numFmtId="0" fontId="9" fillId="2" borderId="8" xfId="0" applyFont="1" applyFill="1" applyBorder="1" applyAlignment="1">
      <alignment horizontal="left"/>
    </xf>
    <xf numFmtId="49" fontId="8" fillId="2" borderId="8" xfId="0" applyNumberFormat="1" applyFont="1" applyFill="1" applyBorder="1" applyAlignment="1">
      <alignment horizontal="center" vertical="center" wrapText="1"/>
    </xf>
    <xf numFmtId="0" fontId="8" fillId="2" borderId="8" xfId="0" applyFont="1" applyFill="1" applyBorder="1" applyAlignment="1">
      <alignment vertical="center" wrapText="1"/>
    </xf>
    <xf numFmtId="49" fontId="8" fillId="2" borderId="8" xfId="0" applyNumberFormat="1" applyFont="1" applyFill="1" applyBorder="1" applyAlignment="1">
      <alignment horizontal="center" vertical="center"/>
    </xf>
    <xf numFmtId="0" fontId="8" fillId="2" borderId="8" xfId="0" applyFont="1" applyFill="1" applyBorder="1" applyAlignment="1">
      <alignment horizontal="left" wrapText="1"/>
    </xf>
    <xf numFmtId="164" fontId="8" fillId="2" borderId="8" xfId="0" applyNumberFormat="1" applyFont="1" applyFill="1" applyBorder="1" applyAlignment="1">
      <alignment horizontal="left" wrapText="1"/>
    </xf>
    <xf numFmtId="0" fontId="8" fillId="2" borderId="8" xfId="0" applyFont="1" applyFill="1" applyBorder="1" applyAlignment="1">
      <alignment horizontal="left" vertical="center" wrapText="1"/>
    </xf>
    <xf numFmtId="0" fontId="8" fillId="2" borderId="8" xfId="0" applyFont="1" applyFill="1" applyBorder="1" applyAlignment="1">
      <alignment horizontal="justify" vertical="center" wrapText="1"/>
    </xf>
    <xf numFmtId="49" fontId="9" fillId="2" borderId="8" xfId="0" applyNumberFormat="1" applyFont="1" applyFill="1" applyBorder="1" applyAlignment="1">
      <alignment horizontal="center" vertical="center" wrapText="1"/>
    </xf>
    <xf numFmtId="0" fontId="9" fillId="2" borderId="8" xfId="0" applyFont="1" applyFill="1" applyBorder="1" applyAlignment="1">
      <alignment vertical="center" wrapText="1"/>
    </xf>
    <xf numFmtId="0" fontId="9" fillId="2" borderId="8" xfId="0" applyFont="1" applyFill="1" applyBorder="1" applyAlignment="1">
      <alignment horizontal="justify" vertical="center" wrapText="1"/>
    </xf>
    <xf numFmtId="0" fontId="9" fillId="2" borderId="8" xfId="0" applyFont="1" applyFill="1" applyBorder="1" applyAlignment="1">
      <alignment horizontal="center" vertical="center" wrapText="1"/>
    </xf>
    <xf numFmtId="0" fontId="52" fillId="2" borderId="8" xfId="0" applyFont="1" applyFill="1" applyBorder="1" applyAlignment="1">
      <alignment wrapText="1"/>
    </xf>
    <xf numFmtId="0" fontId="8" fillId="2" borderId="8" xfId="0" applyFont="1" applyFill="1" applyBorder="1"/>
    <xf numFmtId="0" fontId="0" fillId="0" borderId="0" xfId="0" applyAlignment="1">
      <alignment horizontal="center"/>
    </xf>
    <xf numFmtId="0" fontId="57" fillId="0" borderId="0" xfId="0" applyFont="1" applyAlignment="1">
      <alignment wrapText="1"/>
    </xf>
    <xf numFmtId="49" fontId="0" fillId="0" borderId="8" xfId="0" applyNumberFormat="1" applyBorder="1" applyAlignment="1">
      <alignment horizontal="center" wrapText="1"/>
    </xf>
    <xf numFmtId="49" fontId="0" fillId="0" borderId="0" xfId="0" applyNumberFormat="1" applyBorder="1" applyAlignment="1">
      <alignment wrapText="1"/>
    </xf>
    <xf numFmtId="49" fontId="0" fillId="0" borderId="8" xfId="0" applyNumberFormat="1" applyBorder="1" applyAlignment="1">
      <alignment wrapText="1"/>
    </xf>
    <xf numFmtId="49" fontId="56" fillId="0" borderId="8" xfId="0" applyNumberFormat="1" applyFont="1" applyBorder="1" applyAlignment="1">
      <alignment wrapText="1"/>
    </xf>
    <xf numFmtId="49" fontId="0" fillId="0" borderId="8" xfId="0" applyNumberFormat="1" applyFill="1" applyBorder="1" applyAlignment="1">
      <alignment wrapText="1"/>
    </xf>
    <xf numFmtId="49" fontId="0" fillId="0" borderId="0" xfId="0" applyNumberFormat="1" applyFill="1" applyBorder="1" applyAlignment="1">
      <alignment wrapText="1"/>
    </xf>
    <xf numFmtId="49" fontId="0" fillId="0" borderId="8" xfId="0" applyNumberFormat="1" applyFill="1" applyBorder="1" applyAlignment="1">
      <alignment horizontal="center" wrapText="1"/>
    </xf>
    <xf numFmtId="49" fontId="56" fillId="0" borderId="8" xfId="0" applyNumberFormat="1" applyFont="1" applyFill="1" applyBorder="1" applyAlignment="1">
      <alignment wrapText="1"/>
    </xf>
    <xf numFmtId="49" fontId="0" fillId="0" borderId="13" xfId="0" applyNumberFormat="1" applyFill="1" applyBorder="1" applyAlignment="1">
      <alignment wrapText="1"/>
    </xf>
    <xf numFmtId="49" fontId="0" fillId="0" borderId="2" xfId="0" applyNumberFormat="1" applyFill="1" applyBorder="1" applyAlignment="1">
      <alignment wrapText="1"/>
    </xf>
    <xf numFmtId="0" fontId="1" fillId="0" borderId="16" xfId="0" applyFont="1" applyFill="1" applyBorder="1" applyAlignment="1">
      <alignment horizontal="left" wrapText="1"/>
    </xf>
    <xf numFmtId="0" fontId="1" fillId="0" borderId="17" xfId="0" applyFont="1" applyFill="1" applyBorder="1" applyAlignment="1">
      <alignment horizontal="left" wrapText="1"/>
    </xf>
    <xf numFmtId="0" fontId="1" fillId="0" borderId="0" xfId="0" applyFont="1" applyFill="1" applyAlignment="1">
      <alignment horizontal="right"/>
    </xf>
    <xf numFmtId="0" fontId="1" fillId="0" borderId="8" xfId="0" applyFont="1" applyBorder="1" applyAlignment="1">
      <alignment horizontal="center" wrapText="1"/>
    </xf>
    <xf numFmtId="0" fontId="1" fillId="0" borderId="8" xfId="0" applyFont="1" applyBorder="1" applyAlignment="1">
      <alignment horizontal="center"/>
    </xf>
    <xf numFmtId="49" fontId="8" fillId="0" borderId="19" xfId="0" applyNumberFormat="1" applyFont="1" applyBorder="1" applyAlignment="1" applyProtection="1">
      <alignment horizontal="justify" vertical="top" wrapText="1"/>
    </xf>
    <xf numFmtId="0" fontId="1" fillId="0" borderId="0" xfId="0" applyFont="1" applyFill="1" applyAlignment="1">
      <alignment horizontal="right"/>
    </xf>
    <xf numFmtId="0" fontId="34" fillId="0" borderId="0" xfId="0" applyFont="1" applyFill="1" applyBorder="1"/>
    <xf numFmtId="0" fontId="35" fillId="0" borderId="0" xfId="0" applyFont="1" applyFill="1" applyBorder="1"/>
    <xf numFmtId="0" fontId="1" fillId="0" borderId="0" xfId="0" applyFont="1" applyFill="1" applyAlignment="1"/>
    <xf numFmtId="0" fontId="10" fillId="0" borderId="0" xfId="0" applyFont="1" applyFill="1" applyBorder="1"/>
    <xf numFmtId="0" fontId="36" fillId="0" borderId="0" xfId="0" applyFont="1" applyFill="1" applyBorder="1"/>
    <xf numFmtId="0" fontId="1" fillId="0" borderId="0" xfId="0" applyFont="1" applyFill="1" applyAlignment="1">
      <alignment horizontal="right" vertical="center"/>
    </xf>
    <xf numFmtId="0" fontId="36" fillId="0" borderId="0" xfId="0" applyFont="1" applyFill="1"/>
    <xf numFmtId="22" fontId="36" fillId="0" borderId="0" xfId="0" applyNumberFormat="1" applyFont="1" applyFill="1"/>
    <xf numFmtId="0" fontId="36" fillId="0" borderId="0" xfId="0" applyFont="1" applyFill="1" applyAlignment="1">
      <alignment horizontal="left" vertical="top"/>
    </xf>
    <xf numFmtId="0" fontId="36" fillId="0" borderId="0" xfId="0" applyFont="1" applyFill="1" applyAlignment="1">
      <alignment vertical="top" wrapText="1"/>
    </xf>
    <xf numFmtId="49" fontId="37" fillId="0" borderId="8"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 fontId="9" fillId="0" borderId="8" xfId="0" applyNumberFormat="1" applyFont="1" applyFill="1" applyBorder="1" applyAlignment="1">
      <alignment horizontal="center" vertical="center" wrapText="1"/>
    </xf>
    <xf numFmtId="49" fontId="44" fillId="0" borderId="8" xfId="0" applyNumberFormat="1" applyFont="1" applyFill="1" applyBorder="1" applyAlignment="1">
      <alignment horizontal="center" vertical="center" wrapText="1"/>
    </xf>
    <xf numFmtId="4" fontId="44" fillId="0" borderId="3" xfId="0" applyNumberFormat="1" applyFont="1" applyFill="1" applyBorder="1" applyAlignment="1">
      <alignment horizontal="center" vertical="center" wrapText="1"/>
    </xf>
    <xf numFmtId="4" fontId="44" fillId="0" borderId="8" xfId="0" applyNumberFormat="1" applyFont="1" applyFill="1" applyBorder="1" applyAlignment="1">
      <alignment horizontal="center" vertical="center" wrapText="1"/>
    </xf>
    <xf numFmtId="49" fontId="8" fillId="0" borderId="8" xfId="0" applyNumberFormat="1" applyFont="1" applyFill="1" applyBorder="1" applyAlignment="1">
      <alignment horizontal="center" wrapText="1"/>
    </xf>
    <xf numFmtId="164" fontId="8" fillId="0" borderId="8" xfId="0" applyNumberFormat="1" applyFont="1" applyFill="1" applyBorder="1" applyAlignment="1">
      <alignment horizontal="justify" wrapText="1"/>
    </xf>
    <xf numFmtId="4" fontId="8" fillId="0" borderId="3" xfId="0" applyNumberFormat="1" applyFont="1" applyFill="1" applyBorder="1" applyAlignment="1">
      <alignment horizontal="right" wrapText="1"/>
    </xf>
    <xf numFmtId="49" fontId="8" fillId="0" borderId="8" xfId="0" applyNumberFormat="1" applyFont="1" applyFill="1" applyBorder="1" applyAlignment="1">
      <alignment horizontal="justify" wrapText="1"/>
    </xf>
    <xf numFmtId="49" fontId="9" fillId="0" borderId="8" xfId="0" applyNumberFormat="1" applyFont="1" applyFill="1" applyBorder="1" applyAlignment="1">
      <alignment horizontal="center" wrapText="1"/>
    </xf>
    <xf numFmtId="49" fontId="9" fillId="0" borderId="8" xfId="0" applyNumberFormat="1" applyFont="1" applyFill="1" applyBorder="1" applyAlignment="1">
      <alignment horizontal="justify" wrapText="1"/>
    </xf>
    <xf numFmtId="4" fontId="9" fillId="0" borderId="3" xfId="0" applyNumberFormat="1" applyFont="1" applyFill="1" applyBorder="1" applyAlignment="1">
      <alignment horizontal="right" wrapText="1"/>
    </xf>
    <xf numFmtId="49" fontId="44" fillId="0" borderId="8" xfId="0" applyNumberFormat="1" applyFont="1" applyFill="1" applyBorder="1" applyAlignment="1">
      <alignment horizontal="center" wrapText="1"/>
    </xf>
    <xf numFmtId="49" fontId="44" fillId="0" borderId="8" xfId="0" applyNumberFormat="1" applyFont="1" applyFill="1" applyBorder="1" applyAlignment="1">
      <alignment horizontal="justify" wrapText="1"/>
    </xf>
    <xf numFmtId="4" fontId="44" fillId="0" borderId="3" xfId="0" applyNumberFormat="1" applyFont="1" applyFill="1" applyBorder="1" applyAlignment="1">
      <alignment horizontal="right" wrapText="1"/>
    </xf>
    <xf numFmtId="4" fontId="44" fillId="0" borderId="8" xfId="0" applyNumberFormat="1" applyFont="1" applyFill="1" applyBorder="1" applyAlignment="1">
      <alignment horizontal="right" wrapText="1"/>
    </xf>
    <xf numFmtId="4" fontId="8" fillId="0" borderId="8" xfId="0" applyNumberFormat="1" applyFont="1" applyFill="1" applyBorder="1"/>
    <xf numFmtId="0" fontId="8" fillId="0" borderId="8" xfId="0" applyFont="1" applyFill="1" applyBorder="1" applyAlignment="1">
      <alignment horizontal="justify" wrapText="1"/>
    </xf>
    <xf numFmtId="4" fontId="9" fillId="0" borderId="8" xfId="0" applyNumberFormat="1" applyFont="1" applyFill="1" applyBorder="1" applyAlignment="1">
      <alignment horizontal="right" wrapText="1"/>
    </xf>
    <xf numFmtId="49" fontId="9" fillId="0" borderId="8" xfId="0" applyNumberFormat="1" applyFont="1" applyFill="1" applyBorder="1" applyAlignment="1">
      <alignment horizontal="left" wrapText="1"/>
    </xf>
    <xf numFmtId="49" fontId="44" fillId="0" borderId="8" xfId="0" applyNumberFormat="1" applyFont="1" applyFill="1" applyBorder="1" applyAlignment="1">
      <alignment horizontal="left" wrapText="1"/>
    </xf>
    <xf numFmtId="0" fontId="8" fillId="0" borderId="0" xfId="0" applyFont="1" applyFill="1" applyAlignment="1">
      <alignment horizontal="justify" wrapText="1"/>
    </xf>
    <xf numFmtId="0" fontId="8" fillId="0" borderId="0" xfId="0" applyFont="1" applyFill="1" applyAlignment="1">
      <alignment wrapText="1"/>
    </xf>
    <xf numFmtId="49" fontId="27" fillId="0" borderId="8" xfId="0" applyNumberFormat="1" applyFont="1" applyFill="1" applyBorder="1" applyAlignment="1">
      <alignment horizontal="justify" wrapText="1"/>
    </xf>
    <xf numFmtId="0" fontId="9" fillId="0" borderId="8" xfId="0" applyFont="1" applyFill="1" applyBorder="1" applyAlignment="1">
      <alignment horizontal="justify" wrapText="1"/>
    </xf>
    <xf numFmtId="4" fontId="8" fillId="0" borderId="8" xfId="0" applyNumberFormat="1" applyFont="1" applyFill="1" applyBorder="1" applyAlignment="1">
      <alignment horizontal="right" wrapText="1"/>
    </xf>
    <xf numFmtId="164" fontId="9" fillId="0" borderId="8" xfId="0" applyNumberFormat="1" applyFont="1" applyFill="1" applyBorder="1" applyAlignment="1">
      <alignment horizontal="justify" wrapText="1"/>
    </xf>
    <xf numFmtId="49" fontId="8" fillId="0" borderId="8" xfId="0" applyNumberFormat="1" applyFont="1" applyFill="1" applyBorder="1" applyAlignment="1">
      <alignment horizontal="left" wrapText="1"/>
    </xf>
    <xf numFmtId="4" fontId="27" fillId="0" borderId="3" xfId="0" applyNumberFormat="1" applyFont="1" applyFill="1" applyBorder="1" applyAlignment="1">
      <alignment horizontal="right" wrapText="1"/>
    </xf>
    <xf numFmtId="4" fontId="27" fillId="0" borderId="8" xfId="0" applyNumberFormat="1" applyFont="1" applyFill="1" applyBorder="1" applyAlignment="1">
      <alignment horizontal="right" wrapText="1"/>
    </xf>
    <xf numFmtId="49" fontId="50" fillId="0" borderId="8" xfId="0" applyNumberFormat="1" applyFont="1" applyFill="1" applyBorder="1" applyAlignment="1">
      <alignment horizontal="center" wrapText="1"/>
    </xf>
    <xf numFmtId="4" fontId="0" fillId="0" borderId="0" xfId="0" applyNumberFormat="1" applyFill="1"/>
    <xf numFmtId="49" fontId="49" fillId="0" borderId="8" xfId="0" applyNumberFormat="1" applyFont="1" applyFill="1" applyBorder="1" applyAlignment="1">
      <alignment horizontal="left" wrapText="1"/>
    </xf>
    <xf numFmtId="49" fontId="49" fillId="0" borderId="8" xfId="0" applyNumberFormat="1" applyFont="1" applyFill="1" applyBorder="1" applyAlignment="1">
      <alignment horizontal="justify" wrapText="1"/>
    </xf>
    <xf numFmtId="49" fontId="6" fillId="0" borderId="0" xfId="0" applyNumberFormat="1" applyFont="1" applyFill="1"/>
    <xf numFmtId="49" fontId="0" fillId="0" borderId="0" xfId="0" applyNumberFormat="1" applyFill="1"/>
    <xf numFmtId="4" fontId="9" fillId="0" borderId="8" xfId="0" applyNumberFormat="1" applyFont="1" applyFill="1" applyBorder="1"/>
    <xf numFmtId="4" fontId="44" fillId="0" borderId="8" xfId="0" applyNumberFormat="1" applyFont="1" applyFill="1" applyBorder="1"/>
    <xf numFmtId="4" fontId="8" fillId="0" borderId="3" xfId="0" applyNumberFormat="1" applyFont="1" applyFill="1" applyBorder="1"/>
    <xf numFmtId="4" fontId="9" fillId="0" borderId="3" xfId="0" applyNumberFormat="1" applyFont="1" applyFill="1" applyBorder="1"/>
    <xf numFmtId="4" fontId="27" fillId="0" borderId="8" xfId="0" applyNumberFormat="1" applyFont="1" applyFill="1" applyBorder="1"/>
    <xf numFmtId="49" fontId="8" fillId="0" borderId="34" xfId="0" applyNumberFormat="1" applyFont="1" applyBorder="1" applyAlignment="1" applyProtection="1">
      <alignment horizontal="justify" vertical="center" wrapText="1"/>
    </xf>
    <xf numFmtId="4" fontId="58" fillId="0" borderId="19" xfId="0" applyNumberFormat="1" applyFont="1" applyBorder="1" applyAlignment="1" applyProtection="1">
      <alignment horizontal="right"/>
    </xf>
    <xf numFmtId="49" fontId="27" fillId="0" borderId="19" xfId="0" applyNumberFormat="1" applyFont="1" applyBorder="1" applyAlignment="1" applyProtection="1">
      <alignment horizontal="justify" vertical="top" wrapText="1"/>
    </xf>
    <xf numFmtId="0" fontId="1" fillId="0" borderId="0" xfId="0" applyFont="1" applyAlignment="1">
      <alignment horizontal="left" wrapText="1"/>
    </xf>
    <xf numFmtId="0" fontId="8" fillId="0" borderId="0" xfId="0" applyFont="1" applyAlignment="1">
      <alignment horizontal="center" wrapText="1"/>
    </xf>
    <xf numFmtId="0" fontId="1"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left" wrapText="1"/>
    </xf>
    <xf numFmtId="0" fontId="1" fillId="0" borderId="0" xfId="0" applyFont="1" applyAlignment="1">
      <alignment horizontal="right"/>
    </xf>
    <xf numFmtId="0" fontId="1" fillId="0" borderId="0" xfId="0" applyFont="1" applyAlignment="1">
      <alignment horizontal="center" wrapText="1"/>
    </xf>
    <xf numFmtId="0" fontId="1" fillId="0" borderId="2" xfId="0" applyFont="1" applyBorder="1" applyAlignment="1">
      <alignment horizontal="center"/>
    </xf>
    <xf numFmtId="0" fontId="1" fillId="0" borderId="17" xfId="0" applyFont="1" applyBorder="1" applyAlignment="1">
      <alignment horizontal="center"/>
    </xf>
    <xf numFmtId="0" fontId="1" fillId="0" borderId="2" xfId="0" applyFont="1" applyBorder="1" applyAlignment="1">
      <alignment horizontal="center" wrapText="1"/>
    </xf>
    <xf numFmtId="0" fontId="1" fillId="0" borderId="17" xfId="0" applyFont="1" applyBorder="1" applyAlignment="1">
      <alignment horizontal="center"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49" fontId="37" fillId="0" borderId="3" xfId="0" applyNumberFormat="1" applyFont="1" applyBorder="1" applyAlignment="1">
      <alignment horizontal="center" vertical="center" wrapText="1"/>
    </xf>
    <xf numFmtId="49" fontId="37" fillId="0" borderId="5" xfId="0" applyNumberFormat="1" applyFont="1" applyBorder="1" applyAlignment="1">
      <alignment horizontal="center" vertical="center" wrapText="1"/>
    </xf>
    <xf numFmtId="49" fontId="8" fillId="0" borderId="3" xfId="0" applyNumberFormat="1" applyFont="1" applyBorder="1" applyAlignment="1">
      <alignment horizontal="center" wrapText="1"/>
    </xf>
    <xf numFmtId="49" fontId="8" fillId="0" borderId="5" xfId="0" applyNumberFormat="1" applyFont="1" applyBorder="1" applyAlignment="1">
      <alignment horizontal="center" wrapText="1"/>
    </xf>
    <xf numFmtId="49" fontId="47" fillId="0" borderId="3" xfId="0" applyNumberFormat="1" applyFont="1" applyBorder="1" applyAlignment="1">
      <alignment horizontal="center" wrapText="1"/>
    </xf>
    <xf numFmtId="49" fontId="47" fillId="0" borderId="5" xfId="0" applyNumberFormat="1" applyFont="1" applyBorder="1" applyAlignment="1">
      <alignment horizontal="center" wrapText="1"/>
    </xf>
    <xf numFmtId="49" fontId="9" fillId="0" borderId="11" xfId="0" applyNumberFormat="1" applyFont="1" applyBorder="1" applyAlignment="1">
      <alignment horizontal="center" wrapText="1"/>
    </xf>
    <xf numFmtId="49" fontId="9" fillId="0" borderId="12" xfId="0" applyNumberFormat="1" applyFont="1" applyBorder="1" applyAlignment="1">
      <alignment horizontal="center" wrapText="1"/>
    </xf>
    <xf numFmtId="49" fontId="50" fillId="0" borderId="3" xfId="0" applyNumberFormat="1" applyFont="1" applyBorder="1" applyAlignment="1">
      <alignment horizontal="center" wrapText="1"/>
    </xf>
    <xf numFmtId="49" fontId="50" fillId="0" borderId="5" xfId="0" applyNumberFormat="1" applyFont="1" applyBorder="1" applyAlignment="1">
      <alignment horizontal="center" wrapText="1"/>
    </xf>
    <xf numFmtId="49" fontId="51" fillId="0" borderId="3" xfId="0" applyNumberFormat="1" applyFont="1" applyBorder="1" applyAlignment="1">
      <alignment horizontal="center" wrapText="1"/>
    </xf>
    <xf numFmtId="49" fontId="51" fillId="0" borderId="5" xfId="0" applyNumberFormat="1" applyFont="1" applyBorder="1" applyAlignment="1">
      <alignment horizontal="center" wrapText="1"/>
    </xf>
    <xf numFmtId="0" fontId="1" fillId="0" borderId="0" xfId="0" applyFont="1" applyFill="1" applyAlignment="1">
      <alignment horizontal="center"/>
    </xf>
    <xf numFmtId="49" fontId="37" fillId="0" borderId="3" xfId="0" applyNumberFormat="1" applyFont="1" applyFill="1" applyBorder="1" applyAlignment="1">
      <alignment horizontal="center" vertical="center" wrapText="1"/>
    </xf>
    <xf numFmtId="49" fontId="37" fillId="0" borderId="5" xfId="0" applyNumberFormat="1" applyFont="1" applyFill="1" applyBorder="1" applyAlignment="1">
      <alignment horizontal="center" vertical="center" wrapText="1"/>
    </xf>
    <xf numFmtId="49" fontId="8" fillId="0" borderId="3" xfId="0" applyNumberFormat="1" applyFont="1" applyFill="1" applyBorder="1" applyAlignment="1">
      <alignment horizontal="center" wrapText="1"/>
    </xf>
    <xf numFmtId="49" fontId="8" fillId="0" borderId="5" xfId="0" applyNumberFormat="1" applyFont="1" applyFill="1" applyBorder="1" applyAlignment="1">
      <alignment horizontal="center" wrapText="1"/>
    </xf>
    <xf numFmtId="49" fontId="44" fillId="0" borderId="3" xfId="0" applyNumberFormat="1" applyFont="1" applyFill="1" applyBorder="1" applyAlignment="1">
      <alignment horizontal="center" wrapText="1"/>
    </xf>
    <xf numFmtId="49" fontId="44" fillId="0" borderId="5" xfId="0" applyNumberFormat="1" applyFont="1" applyFill="1" applyBorder="1" applyAlignment="1">
      <alignment horizontal="center" wrapText="1"/>
    </xf>
    <xf numFmtId="49" fontId="9" fillId="0" borderId="3" xfId="0" applyNumberFormat="1" applyFont="1" applyFill="1" applyBorder="1" applyAlignment="1">
      <alignment horizontal="center" wrapText="1"/>
    </xf>
    <xf numFmtId="49" fontId="9" fillId="0" borderId="5" xfId="0" applyNumberFormat="1" applyFont="1" applyFill="1" applyBorder="1" applyAlignment="1">
      <alignment horizontal="center" wrapText="1"/>
    </xf>
    <xf numFmtId="49" fontId="9" fillId="0" borderId="3"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44" fillId="0" borderId="3" xfId="0" applyNumberFormat="1" applyFont="1" applyFill="1" applyBorder="1" applyAlignment="1">
      <alignment horizontal="center" vertical="center" wrapText="1"/>
    </xf>
    <xf numFmtId="49" fontId="44" fillId="0" borderId="5" xfId="0" applyNumberFormat="1" applyFont="1" applyFill="1" applyBorder="1" applyAlignment="1">
      <alignment horizontal="center" vertical="center" wrapText="1"/>
    </xf>
    <xf numFmtId="49" fontId="50" fillId="0" borderId="3" xfId="0" applyNumberFormat="1" applyFont="1" applyFill="1" applyBorder="1" applyAlignment="1">
      <alignment horizontal="center" wrapText="1"/>
    </xf>
    <xf numFmtId="49" fontId="50" fillId="0" borderId="5" xfId="0" applyNumberFormat="1" applyFont="1" applyFill="1" applyBorder="1" applyAlignment="1">
      <alignment horizontal="center" wrapText="1"/>
    </xf>
    <xf numFmtId="49" fontId="51" fillId="0" borderId="3" xfId="0" applyNumberFormat="1" applyFont="1" applyFill="1" applyBorder="1" applyAlignment="1">
      <alignment horizontal="center" wrapText="1"/>
    </xf>
    <xf numFmtId="49" fontId="51" fillId="0" borderId="5" xfId="0" applyNumberFormat="1" applyFont="1" applyFill="1" applyBorder="1" applyAlignment="1">
      <alignment horizontal="center" wrapText="1"/>
    </xf>
    <xf numFmtId="164" fontId="20" fillId="0" borderId="0" xfId="0" applyNumberFormat="1" applyFont="1" applyBorder="1" applyAlignment="1" applyProtection="1">
      <alignment horizontal="left" vertical="center" wrapText="1"/>
    </xf>
    <xf numFmtId="49" fontId="22" fillId="0" borderId="19" xfId="0" applyNumberFormat="1" applyFont="1" applyBorder="1" applyAlignment="1" applyProtection="1">
      <alignment horizontal="center" vertical="center" wrapText="1"/>
    </xf>
    <xf numFmtId="49" fontId="22" fillId="0" borderId="8" xfId="0" applyNumberFormat="1" applyFont="1" applyBorder="1" applyAlignment="1" applyProtection="1">
      <alignment horizontal="center" vertical="center" wrapText="1"/>
    </xf>
    <xf numFmtId="49" fontId="22" fillId="0" borderId="32" xfId="0" applyNumberFormat="1" applyFont="1" applyBorder="1" applyAlignment="1" applyProtection="1">
      <alignment horizontal="center" vertical="center" wrapText="1"/>
    </xf>
    <xf numFmtId="49" fontId="22" fillId="0" borderId="33" xfId="0" applyNumberFormat="1" applyFont="1" applyBorder="1" applyAlignment="1" applyProtection="1">
      <alignment horizontal="center" vertical="center" wrapText="1"/>
    </xf>
    <xf numFmtId="164" fontId="22" fillId="0" borderId="2" xfId="0" applyNumberFormat="1" applyFont="1" applyBorder="1" applyAlignment="1" applyProtection="1">
      <alignment horizontal="center" vertical="center" wrapText="1"/>
    </xf>
    <xf numFmtId="164" fontId="22" fillId="0" borderId="17" xfId="0" applyNumberFormat="1" applyFont="1" applyBorder="1" applyAlignment="1" applyProtection="1">
      <alignment horizontal="center" vertical="center" wrapText="1"/>
    </xf>
    <xf numFmtId="164" fontId="20" fillId="0" borderId="0" xfId="0" applyNumberFormat="1" applyFont="1" applyBorder="1" applyAlignment="1" applyProtection="1">
      <alignment horizontal="center" vertical="center" wrapText="1"/>
    </xf>
    <xf numFmtId="164" fontId="22" fillId="0" borderId="32" xfId="0" applyNumberFormat="1" applyFont="1" applyBorder="1" applyAlignment="1" applyProtection="1">
      <alignment horizontal="center" vertical="center" wrapText="1"/>
    </xf>
    <xf numFmtId="164" fontId="22" fillId="0" borderId="33" xfId="0" applyNumberFormat="1" applyFont="1" applyBorder="1" applyAlignment="1" applyProtection="1">
      <alignment horizontal="center" vertical="center" wrapText="1"/>
    </xf>
    <xf numFmtId="49" fontId="31" fillId="0" borderId="32" xfId="0" applyNumberFormat="1" applyFont="1" applyBorder="1" applyAlignment="1" applyProtection="1">
      <alignment horizontal="center" vertical="center" wrapText="1"/>
    </xf>
    <xf numFmtId="164" fontId="22" fillId="0" borderId="30" xfId="0" applyNumberFormat="1" applyFont="1" applyBorder="1" applyAlignment="1" applyProtection="1">
      <alignment horizontal="center" vertical="center" wrapText="1"/>
    </xf>
    <xf numFmtId="164" fontId="22" fillId="0" borderId="31" xfId="0" applyNumberFormat="1" applyFont="1" applyBorder="1" applyAlignment="1" applyProtection="1">
      <alignment horizontal="center" vertical="center" wrapText="1"/>
    </xf>
    <xf numFmtId="49" fontId="2" fillId="0" borderId="11" xfId="0" applyNumberFormat="1" applyFont="1" applyBorder="1" applyAlignment="1">
      <alignment horizontal="right" wrapText="1"/>
    </xf>
    <xf numFmtId="49" fontId="2" fillId="0" borderId="4" xfId="0" applyNumberFormat="1" applyFont="1" applyBorder="1" applyAlignment="1">
      <alignment horizontal="right" wrapText="1"/>
    </xf>
    <xf numFmtId="49" fontId="2" fillId="0" borderId="12" xfId="0" applyNumberFormat="1" applyFont="1" applyBorder="1" applyAlignment="1">
      <alignment horizontal="right" wrapText="1"/>
    </xf>
    <xf numFmtId="0" fontId="1" fillId="0" borderId="2" xfId="0" applyFont="1" applyFill="1" applyBorder="1" applyAlignment="1">
      <alignment horizontal="justify" wrapText="1"/>
    </xf>
    <xf numFmtId="0" fontId="1" fillId="0" borderId="16" xfId="0" applyFont="1" applyFill="1" applyBorder="1" applyAlignment="1">
      <alignment horizontal="justify" wrapText="1"/>
    </xf>
    <xf numFmtId="0" fontId="1" fillId="0" borderId="17" xfId="0" applyFont="1" applyFill="1" applyBorder="1" applyAlignment="1">
      <alignment horizontal="justify" wrapText="1"/>
    </xf>
    <xf numFmtId="0" fontId="1" fillId="0" borderId="2" xfId="0" applyFont="1" applyFill="1" applyBorder="1" applyAlignment="1">
      <alignment horizontal="left" wrapText="1"/>
    </xf>
    <xf numFmtId="0" fontId="1" fillId="0" borderId="16" xfId="0" applyFont="1" applyFill="1" applyBorder="1" applyAlignment="1">
      <alignment horizontal="left" wrapText="1"/>
    </xf>
    <xf numFmtId="0" fontId="1" fillId="0" borderId="2"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2" xfId="0" applyFont="1" applyFill="1" applyBorder="1" applyAlignment="1">
      <alignment wrapText="1"/>
    </xf>
    <xf numFmtId="0" fontId="1" fillId="0" borderId="16" xfId="0" applyFont="1" applyFill="1" applyBorder="1" applyAlignment="1">
      <alignment wrapText="1"/>
    </xf>
    <xf numFmtId="0" fontId="1" fillId="0" borderId="17" xfId="0" applyFont="1" applyFill="1" applyBorder="1" applyAlignment="1">
      <alignment wrapText="1"/>
    </xf>
    <xf numFmtId="0" fontId="1" fillId="0" borderId="8" xfId="0" applyFont="1" applyFill="1" applyBorder="1" applyAlignment="1">
      <alignment horizontal="center" wrapText="1"/>
    </xf>
    <xf numFmtId="0" fontId="1" fillId="0" borderId="14" xfId="0" applyFont="1" applyFill="1" applyBorder="1" applyAlignment="1">
      <alignment horizontal="center" wrapText="1"/>
    </xf>
    <xf numFmtId="0" fontId="1" fillId="0" borderId="18" xfId="0" applyFont="1" applyFill="1" applyBorder="1" applyAlignment="1">
      <alignment horizontal="center" wrapText="1"/>
    </xf>
    <xf numFmtId="0" fontId="1" fillId="0" borderId="8" xfId="0" applyFont="1" applyFill="1" applyBorder="1" applyAlignment="1">
      <alignment horizontal="center"/>
    </xf>
    <xf numFmtId="3" fontId="1" fillId="0" borderId="8"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17" xfId="0" applyFont="1" applyFill="1" applyBorder="1" applyAlignment="1">
      <alignment horizontal="center" wrapText="1"/>
    </xf>
    <xf numFmtId="0" fontId="1" fillId="0" borderId="17" xfId="0" applyFont="1" applyFill="1" applyBorder="1" applyAlignment="1">
      <alignment horizontal="left" wrapText="1"/>
    </xf>
    <xf numFmtId="0" fontId="1" fillId="0" borderId="0" xfId="0" applyFont="1" applyFill="1" applyAlignment="1">
      <alignment horizontal="right"/>
    </xf>
    <xf numFmtId="0" fontId="1" fillId="0" borderId="0" xfId="0" applyFont="1" applyFill="1" applyAlignment="1">
      <alignment horizontal="center" wrapText="1"/>
    </xf>
    <xf numFmtId="14" fontId="1" fillId="0" borderId="2" xfId="0" applyNumberFormat="1" applyFont="1" applyFill="1" applyBorder="1" applyAlignment="1">
      <alignment horizontal="right" wrapText="1"/>
    </xf>
    <xf numFmtId="14" fontId="1" fillId="0" borderId="16" xfId="0" applyNumberFormat="1" applyFont="1" applyFill="1" applyBorder="1" applyAlignment="1">
      <alignment horizontal="right" wrapText="1"/>
    </xf>
    <xf numFmtId="0" fontId="1" fillId="0" borderId="17" xfId="0" applyFont="1" applyFill="1" applyBorder="1" applyAlignment="1">
      <alignment horizontal="right" wrapText="1"/>
    </xf>
    <xf numFmtId="0" fontId="1" fillId="0" borderId="2" xfId="0" applyFont="1" applyFill="1" applyBorder="1" applyAlignment="1">
      <alignment horizontal="right" wrapText="1"/>
    </xf>
    <xf numFmtId="0" fontId="1" fillId="0" borderId="16" xfId="0" applyFont="1" applyFill="1" applyBorder="1" applyAlignment="1">
      <alignment horizontal="right" wrapText="1"/>
    </xf>
    <xf numFmtId="0" fontId="1" fillId="0" borderId="16" xfId="0" applyFont="1" applyFill="1" applyBorder="1" applyAlignment="1">
      <alignment horizontal="center" wrapText="1"/>
    </xf>
    <xf numFmtId="0" fontId="2"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justify"/>
    </xf>
    <xf numFmtId="0" fontId="1" fillId="0" borderId="0" xfId="0" applyFont="1" applyFill="1" applyBorder="1" applyAlignment="1">
      <alignment horizontal="center"/>
    </xf>
    <xf numFmtId="0" fontId="1" fillId="0" borderId="0" xfId="0" applyFont="1" applyFill="1" applyBorder="1" applyAlignment="1">
      <alignment horizontal="justify" wrapText="1"/>
    </xf>
    <xf numFmtId="0" fontId="1" fillId="0" borderId="0" xfId="0" applyFont="1" applyAlignment="1">
      <alignment horizontal="righ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2" fillId="0" borderId="0" xfId="0" applyFont="1" applyAlignment="1">
      <alignment horizontal="center" wrapText="1"/>
    </xf>
    <xf numFmtId="0" fontId="3" fillId="0" borderId="8" xfId="0" applyFont="1" applyBorder="1" applyAlignment="1">
      <alignment horizontal="center" wrapText="1"/>
    </xf>
    <xf numFmtId="0" fontId="1" fillId="0" borderId="8" xfId="0" applyFont="1" applyBorder="1" applyAlignment="1">
      <alignment horizontal="center" wrapText="1"/>
    </xf>
    <xf numFmtId="0" fontId="1" fillId="0" borderId="14" xfId="0" applyFont="1" applyBorder="1" applyAlignment="1">
      <alignment horizontal="center" wrapText="1"/>
    </xf>
    <xf numFmtId="0" fontId="1" fillId="0" borderId="18" xfId="0" applyFont="1" applyBorder="1" applyAlignment="1">
      <alignment horizontal="center" wrapText="1"/>
    </xf>
    <xf numFmtId="0" fontId="1" fillId="0" borderId="15"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57" fillId="0" borderId="0" xfId="0" applyFont="1" applyAlignment="1">
      <alignment horizontal="center" wrapText="1"/>
    </xf>
    <xf numFmtId="0" fontId="0" fillId="0" borderId="0" xfId="0" applyAlignment="1">
      <alignment horizontal="right"/>
    </xf>
    <xf numFmtId="0" fontId="0" fillId="0" borderId="0" xfId="0" applyAlignment="1">
      <alignment horizontal="center"/>
    </xf>
  </cellXfs>
  <cellStyles count="3">
    <cellStyle name="Обычный" xfId="0" builtinId="0"/>
    <cellStyle name="Обычный 2" xfId="2"/>
    <cellStyle name="Обычный_Источн."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41;&#1102;&#1076;&#1078;&#1077;&#1090;\&#1041;&#1102;&#1076;&#1078;&#1077;&#1090;%20&#1085;&#1072;%202015-2017%20&#1075;&#1086;&#1076;&#1099;\2%20&#1095;&#1090;&#1077;&#1085;&#1080;&#1077;\&#1058;&#1072;&#1073;&#1083;&#1080;&#1094;&#1099;,%20&#1088;&#1072;&#1089;&#1095;&#1077;&#1090;&#1099;%202%20&#1095;&#1090;&#1077;&#1085;&#1080;&#1077;%20&#1086;&#1090;%2020.12.2013%20&#8470;18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расходы"/>
      <sheetName val="ОМСУ"/>
      <sheetName val="Казенные"/>
      <sheetName val="объем субсидий"/>
      <sheetName val="ПНО"/>
      <sheetName val="Лист3"/>
      <sheetName val="прогноз конс.бюдж.14-16"/>
      <sheetName val="выписка"/>
      <sheetName val="ожид.исп."/>
      <sheetName val="Лист1"/>
      <sheetName val="Лист2"/>
      <sheetName val="П_1"/>
      <sheetName val="ГАД ОГВ"/>
      <sheetName val="ГАД ОМС"/>
      <sheetName val="АД ОМС"/>
      <sheetName val="П_2"/>
      <sheetName val="П_3"/>
      <sheetName val="П_4"/>
      <sheetName val="П_5"/>
      <sheetName val="П_6"/>
      <sheetName val="П_7"/>
      <sheetName val="П_8"/>
      <sheetName val="П_9"/>
      <sheetName val="Лист6"/>
      <sheetName val="П_10"/>
      <sheetName val="П_11"/>
      <sheetName val="П_12"/>
      <sheetName val="иные субсидии"/>
      <sheetName val="верхн. предел долга"/>
      <sheetName val="расчет % в область"/>
      <sheetName val="Согласование РАЙОНО ДОУ"/>
      <sheetName val="Согласование РАЙОНО ОУ"/>
      <sheetName val="Согласование РАЙОНО прочие"/>
      <sheetName val="Согласование адм."/>
      <sheetName val="БУ, АУ"/>
      <sheetName val="График поселений"/>
      <sheetName val="график в область"/>
      <sheetName val="расходы поселений"/>
      <sheetName val="доп.инф."/>
      <sheetName val="расчет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C12">
            <v>0</v>
          </cell>
        </row>
        <row r="13">
          <cell r="C13">
            <v>0</v>
          </cell>
          <cell r="D13">
            <v>0</v>
          </cell>
          <cell r="E13">
            <v>0</v>
          </cell>
        </row>
        <row r="15">
          <cell r="C15">
            <v>0</v>
          </cell>
          <cell r="D15">
            <v>0</v>
          </cell>
          <cell r="E15">
            <v>0</v>
          </cell>
        </row>
        <row r="19">
          <cell r="C19">
            <v>0</v>
          </cell>
          <cell r="D19">
            <v>0</v>
          </cell>
          <cell r="E19">
            <v>0</v>
          </cell>
        </row>
      </sheetData>
      <sheetData sheetId="17"/>
      <sheetData sheetId="18">
        <row r="10">
          <cell r="F10">
            <v>3000000</v>
          </cell>
        </row>
      </sheetData>
      <sheetData sheetId="19">
        <row r="11">
          <cell r="I11">
            <v>1436106</v>
          </cell>
        </row>
        <row r="198">
          <cell r="I198">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workbookViewId="0">
      <selection activeCell="B156" sqref="B156"/>
    </sheetView>
  </sheetViews>
  <sheetFormatPr defaultColWidth="9.140625" defaultRowHeight="15.75" x14ac:dyDescent="0.25"/>
  <cols>
    <col min="1" max="1" width="15.7109375" style="1" customWidth="1"/>
    <col min="2" max="2" width="30.5703125" style="1" customWidth="1"/>
    <col min="3" max="3" width="86.28515625" style="1" customWidth="1"/>
    <col min="4" max="16384" width="9.140625" style="328"/>
  </cols>
  <sheetData>
    <row r="1" spans="1:3" x14ac:dyDescent="0.25">
      <c r="C1" s="2" t="s">
        <v>1040</v>
      </c>
    </row>
    <row r="2" spans="1:3" x14ac:dyDescent="0.25">
      <c r="C2" s="2" t="s">
        <v>1041</v>
      </c>
    </row>
    <row r="3" spans="1:3" x14ac:dyDescent="0.25">
      <c r="C3" s="2" t="s">
        <v>0</v>
      </c>
    </row>
    <row r="4" spans="1:3" x14ac:dyDescent="0.25">
      <c r="C4" s="2" t="s">
        <v>1356</v>
      </c>
    </row>
    <row r="5" spans="1:3" x14ac:dyDescent="0.25">
      <c r="A5" s="329" t="s">
        <v>1042</v>
      </c>
    </row>
    <row r="6" spans="1:3" ht="24.75" customHeight="1" x14ac:dyDescent="0.25">
      <c r="A6" s="475" t="s">
        <v>1185</v>
      </c>
      <c r="B6" s="475"/>
      <c r="C6" s="475"/>
    </row>
    <row r="7" spans="1:3" x14ac:dyDescent="0.25">
      <c r="A7" s="373"/>
      <c r="B7" s="373"/>
      <c r="C7" s="373"/>
    </row>
    <row r="8" spans="1:3" ht="47.25" x14ac:dyDescent="0.25">
      <c r="A8" s="333" t="s">
        <v>1186</v>
      </c>
      <c r="B8" s="334" t="s">
        <v>1187</v>
      </c>
      <c r="C8" s="334" t="s">
        <v>1188</v>
      </c>
    </row>
    <row r="9" spans="1:3" x14ac:dyDescent="0.25">
      <c r="A9" s="381" t="s">
        <v>15</v>
      </c>
      <c r="B9" s="382"/>
      <c r="C9" s="383" t="s">
        <v>28</v>
      </c>
    </row>
    <row r="10" spans="1:3" ht="31.5" x14ac:dyDescent="0.25">
      <c r="A10" s="384"/>
      <c r="B10" s="385" t="s">
        <v>1096</v>
      </c>
      <c r="C10" s="385" t="s">
        <v>1097</v>
      </c>
    </row>
    <row r="11" spans="1:3" x14ac:dyDescent="0.25">
      <c r="A11" s="386"/>
      <c r="B11" s="382" t="s">
        <v>973</v>
      </c>
      <c r="C11" s="387" t="s">
        <v>974</v>
      </c>
    </row>
    <row r="12" spans="1:3" ht="31.5" x14ac:dyDescent="0.25">
      <c r="A12" s="386"/>
      <c r="B12" s="382" t="s">
        <v>7</v>
      </c>
      <c r="C12" s="388" t="s">
        <v>8</v>
      </c>
    </row>
    <row r="13" spans="1:3" ht="31.5" x14ac:dyDescent="0.25">
      <c r="A13" s="386"/>
      <c r="B13" s="382" t="s">
        <v>1342</v>
      </c>
      <c r="C13" s="388" t="s">
        <v>1344</v>
      </c>
    </row>
    <row r="14" spans="1:3" ht="31.5" x14ac:dyDescent="0.25">
      <c r="A14" s="386"/>
      <c r="B14" s="382" t="s">
        <v>1343</v>
      </c>
      <c r="C14" s="388" t="s">
        <v>1345</v>
      </c>
    </row>
    <row r="15" spans="1:3" ht="63" x14ac:dyDescent="0.25">
      <c r="A15" s="384"/>
      <c r="B15" s="389" t="s">
        <v>979</v>
      </c>
      <c r="C15" s="322" t="s">
        <v>977</v>
      </c>
    </row>
    <row r="16" spans="1:3" x14ac:dyDescent="0.25">
      <c r="A16" s="384"/>
      <c r="B16" s="385" t="s">
        <v>1082</v>
      </c>
      <c r="C16" s="385" t="s">
        <v>1083</v>
      </c>
    </row>
    <row r="17" spans="1:3" x14ac:dyDescent="0.25">
      <c r="A17" s="384"/>
      <c r="B17" s="385" t="s">
        <v>1084</v>
      </c>
      <c r="C17" s="385" t="s">
        <v>17</v>
      </c>
    </row>
    <row r="18" spans="1:3" x14ac:dyDescent="0.25">
      <c r="A18" s="386"/>
      <c r="B18" s="390" t="s">
        <v>1085</v>
      </c>
      <c r="C18" s="390" t="s">
        <v>1086</v>
      </c>
    </row>
    <row r="19" spans="1:3" x14ac:dyDescent="0.25">
      <c r="A19" s="391" t="s">
        <v>16</v>
      </c>
      <c r="B19" s="385"/>
      <c r="C19" s="392" t="s">
        <v>1087</v>
      </c>
    </row>
    <row r="20" spans="1:3" ht="31.5" x14ac:dyDescent="0.25">
      <c r="A20" s="384"/>
      <c r="B20" s="385" t="s">
        <v>955</v>
      </c>
      <c r="C20" s="385" t="s">
        <v>1088</v>
      </c>
    </row>
    <row r="21" spans="1:3" ht="31.5" x14ac:dyDescent="0.25">
      <c r="A21" s="384"/>
      <c r="B21" s="385" t="s">
        <v>1090</v>
      </c>
      <c r="C21" s="385" t="s">
        <v>1091</v>
      </c>
    </row>
    <row r="22" spans="1:3" x14ac:dyDescent="0.25">
      <c r="A22" s="384"/>
      <c r="B22" s="385" t="s">
        <v>1082</v>
      </c>
      <c r="C22" s="385" t="s">
        <v>1083</v>
      </c>
    </row>
    <row r="23" spans="1:3" x14ac:dyDescent="0.25">
      <c r="A23" s="384"/>
      <c r="B23" s="390" t="s">
        <v>1085</v>
      </c>
      <c r="C23" s="390" t="s">
        <v>1086</v>
      </c>
    </row>
    <row r="24" spans="1:3" x14ac:dyDescent="0.25">
      <c r="A24" s="391" t="s">
        <v>18</v>
      </c>
      <c r="B24" s="390"/>
      <c r="C24" s="393" t="s">
        <v>806</v>
      </c>
    </row>
    <row r="25" spans="1:3" x14ac:dyDescent="0.25">
      <c r="A25" s="386"/>
      <c r="B25" s="382" t="s">
        <v>973</v>
      </c>
      <c r="C25" s="387" t="s">
        <v>974</v>
      </c>
    </row>
    <row r="26" spans="1:3" ht="68.25" customHeight="1" x14ac:dyDescent="0.25">
      <c r="A26" s="384"/>
      <c r="B26" s="389" t="s">
        <v>979</v>
      </c>
      <c r="C26" s="322" t="s">
        <v>977</v>
      </c>
    </row>
    <row r="27" spans="1:3" ht="31.5" x14ac:dyDescent="0.25">
      <c r="A27" s="386"/>
      <c r="B27" s="382" t="s">
        <v>7</v>
      </c>
      <c r="C27" s="388" t="s">
        <v>8</v>
      </c>
    </row>
    <row r="28" spans="1:3" x14ac:dyDescent="0.25">
      <c r="A28" s="384"/>
      <c r="B28" s="385" t="s">
        <v>1082</v>
      </c>
      <c r="C28" s="385" t="s">
        <v>1083</v>
      </c>
    </row>
    <row r="29" spans="1:3" x14ac:dyDescent="0.25">
      <c r="A29" s="384"/>
      <c r="B29" s="385" t="s">
        <v>1084</v>
      </c>
      <c r="C29" s="385" t="s">
        <v>17</v>
      </c>
    </row>
    <row r="30" spans="1:3" x14ac:dyDescent="0.25">
      <c r="A30" s="384"/>
      <c r="B30" s="390" t="s">
        <v>1085</v>
      </c>
      <c r="C30" s="390" t="s">
        <v>1092</v>
      </c>
    </row>
    <row r="31" spans="1:3" x14ac:dyDescent="0.25">
      <c r="A31" s="391" t="s">
        <v>19</v>
      </c>
      <c r="B31" s="385"/>
      <c r="C31" s="392" t="s">
        <v>1093</v>
      </c>
    </row>
    <row r="32" spans="1:3" ht="78.75" x14ac:dyDescent="0.25">
      <c r="A32" s="384"/>
      <c r="B32" s="385" t="s">
        <v>20</v>
      </c>
      <c r="C32" s="385" t="s">
        <v>1189</v>
      </c>
    </row>
    <row r="33" spans="1:3" ht="63" x14ac:dyDescent="0.25">
      <c r="A33" s="384"/>
      <c r="B33" s="385" t="s">
        <v>744</v>
      </c>
      <c r="C33" s="322" t="s">
        <v>1094</v>
      </c>
    </row>
    <row r="34" spans="1:3" ht="63" x14ac:dyDescent="0.25">
      <c r="A34" s="384"/>
      <c r="B34" s="385" t="s">
        <v>968</v>
      </c>
      <c r="C34" s="385" t="s">
        <v>964</v>
      </c>
    </row>
    <row r="35" spans="1:3" ht="47.25" x14ac:dyDescent="0.25">
      <c r="A35" s="384"/>
      <c r="B35" s="385" t="s">
        <v>1095</v>
      </c>
      <c r="C35" s="385" t="s">
        <v>22</v>
      </c>
    </row>
    <row r="36" spans="1:3" ht="63" x14ac:dyDescent="0.25">
      <c r="A36" s="384"/>
      <c r="B36" s="385" t="s">
        <v>23</v>
      </c>
      <c r="C36" s="385" t="s">
        <v>24</v>
      </c>
    </row>
    <row r="37" spans="1:3" ht="78.75" x14ac:dyDescent="0.25">
      <c r="A37" s="384"/>
      <c r="B37" s="385" t="s">
        <v>25</v>
      </c>
      <c r="C37" s="385" t="s">
        <v>747</v>
      </c>
    </row>
    <row r="38" spans="1:3" ht="47.25" x14ac:dyDescent="0.25">
      <c r="A38" s="384"/>
      <c r="B38" s="385" t="s">
        <v>26</v>
      </c>
      <c r="C38" s="385" t="s">
        <v>1190</v>
      </c>
    </row>
    <row r="39" spans="1:3" ht="31.5" x14ac:dyDescent="0.25">
      <c r="A39" s="384"/>
      <c r="B39" s="385" t="s">
        <v>750</v>
      </c>
      <c r="C39" s="385" t="s">
        <v>751</v>
      </c>
    </row>
    <row r="40" spans="1:3" ht="45.75" customHeight="1" x14ac:dyDescent="0.25">
      <c r="A40" s="384"/>
      <c r="B40" s="385" t="s">
        <v>1098</v>
      </c>
      <c r="C40" s="385" t="s">
        <v>1191</v>
      </c>
    </row>
    <row r="41" spans="1:3" ht="78.75" x14ac:dyDescent="0.25">
      <c r="A41" s="384"/>
      <c r="B41" s="385" t="s">
        <v>1099</v>
      </c>
      <c r="C41" s="385" t="s">
        <v>1192</v>
      </c>
    </row>
    <row r="42" spans="1:3" ht="63" x14ac:dyDescent="0.25">
      <c r="A42" s="384"/>
      <c r="B42" s="385" t="s">
        <v>1100</v>
      </c>
      <c r="C42" s="385" t="s">
        <v>1193</v>
      </c>
    </row>
    <row r="43" spans="1:3" ht="63" x14ac:dyDescent="0.25">
      <c r="A43" s="384"/>
      <c r="B43" s="385" t="s">
        <v>976</v>
      </c>
      <c r="C43" s="385" t="s">
        <v>975</v>
      </c>
    </row>
    <row r="44" spans="1:3" ht="31.5" x14ac:dyDescent="0.25">
      <c r="A44" s="384"/>
      <c r="B44" s="385" t="s">
        <v>1101</v>
      </c>
      <c r="C44" s="385" t="s">
        <v>1102</v>
      </c>
    </row>
    <row r="45" spans="1:3" ht="63" x14ac:dyDescent="0.25">
      <c r="A45" s="384"/>
      <c r="B45" s="385" t="s">
        <v>979</v>
      </c>
      <c r="C45" s="322" t="s">
        <v>977</v>
      </c>
    </row>
    <row r="46" spans="1:3" ht="31.5" x14ac:dyDescent="0.25">
      <c r="A46" s="384"/>
      <c r="B46" s="385" t="s">
        <v>7</v>
      </c>
      <c r="C46" s="385" t="s">
        <v>1103</v>
      </c>
    </row>
    <row r="47" spans="1:3" x14ac:dyDescent="0.25">
      <c r="A47" s="384"/>
      <c r="B47" s="385" t="s">
        <v>1082</v>
      </c>
      <c r="C47" s="385" t="s">
        <v>1083</v>
      </c>
    </row>
    <row r="48" spans="1:3" ht="47.25" x14ac:dyDescent="0.25">
      <c r="A48" s="384"/>
      <c r="B48" s="385" t="s">
        <v>1104</v>
      </c>
      <c r="C48" s="385" t="s">
        <v>1105</v>
      </c>
    </row>
    <row r="49" spans="1:3" ht="47.25" x14ac:dyDescent="0.25">
      <c r="A49" s="384"/>
      <c r="B49" s="385" t="s">
        <v>1106</v>
      </c>
      <c r="C49" s="390" t="s">
        <v>1107</v>
      </c>
    </row>
    <row r="50" spans="1:3" ht="47.25" x14ac:dyDescent="0.25">
      <c r="A50" s="384"/>
      <c r="B50" s="385" t="s">
        <v>1108</v>
      </c>
      <c r="C50" s="385" t="s">
        <v>1109</v>
      </c>
    </row>
    <row r="51" spans="1:3" x14ac:dyDescent="0.25">
      <c r="A51" s="384"/>
      <c r="B51" s="385" t="s">
        <v>996</v>
      </c>
      <c r="C51" s="385" t="s">
        <v>17</v>
      </c>
    </row>
    <row r="52" spans="1:3" x14ac:dyDescent="0.25">
      <c r="A52" s="384"/>
      <c r="B52" s="385" t="s">
        <v>1194</v>
      </c>
      <c r="C52" s="390" t="s">
        <v>1086</v>
      </c>
    </row>
    <row r="53" spans="1:3" x14ac:dyDescent="0.25">
      <c r="A53" s="391" t="s">
        <v>978</v>
      </c>
      <c r="B53" s="394"/>
      <c r="C53" s="394" t="s">
        <v>1074</v>
      </c>
    </row>
    <row r="54" spans="1:3" ht="31.5" x14ac:dyDescent="0.25">
      <c r="A54" s="384"/>
      <c r="B54" s="389" t="s">
        <v>7</v>
      </c>
      <c r="C54" s="390" t="s">
        <v>8</v>
      </c>
    </row>
    <row r="55" spans="1:3" ht="63" x14ac:dyDescent="0.25">
      <c r="A55" s="384"/>
      <c r="B55" s="389" t="s">
        <v>979</v>
      </c>
      <c r="C55" s="390" t="s">
        <v>977</v>
      </c>
    </row>
    <row r="56" spans="1:3" ht="31.5" x14ac:dyDescent="0.25">
      <c r="A56" s="391" t="s">
        <v>14</v>
      </c>
      <c r="B56" s="385"/>
      <c r="C56" s="395" t="s">
        <v>1075</v>
      </c>
    </row>
    <row r="57" spans="1:3" ht="31.5" x14ac:dyDescent="0.25">
      <c r="A57" s="384"/>
      <c r="B57" s="385" t="s">
        <v>7</v>
      </c>
      <c r="C57" s="390" t="s">
        <v>8</v>
      </c>
    </row>
    <row r="58" spans="1:3" ht="31.5" x14ac:dyDescent="0.25">
      <c r="A58" s="391" t="s">
        <v>5</v>
      </c>
      <c r="B58" s="385"/>
      <c r="C58" s="395" t="s">
        <v>1195</v>
      </c>
    </row>
    <row r="59" spans="1:3" ht="31.5" x14ac:dyDescent="0.25">
      <c r="A59" s="384"/>
      <c r="B59" s="385" t="s">
        <v>753</v>
      </c>
      <c r="C59" s="390" t="s">
        <v>1054</v>
      </c>
    </row>
    <row r="60" spans="1:3" ht="31.5" x14ac:dyDescent="0.25">
      <c r="A60" s="384"/>
      <c r="B60" s="385" t="s">
        <v>755</v>
      </c>
      <c r="C60" s="390" t="s">
        <v>1055</v>
      </c>
    </row>
    <row r="61" spans="1:3" x14ac:dyDescent="0.25">
      <c r="A61" s="384"/>
      <c r="B61" s="385" t="s">
        <v>757</v>
      </c>
      <c r="C61" s="390" t="s">
        <v>1056</v>
      </c>
    </row>
    <row r="62" spans="1:3" x14ac:dyDescent="0.25">
      <c r="A62" s="384"/>
      <c r="B62" s="385" t="s">
        <v>759</v>
      </c>
      <c r="C62" s="390" t="s">
        <v>1057</v>
      </c>
    </row>
    <row r="63" spans="1:3" x14ac:dyDescent="0.25">
      <c r="A63" s="384"/>
      <c r="B63" s="385" t="s">
        <v>1058</v>
      </c>
      <c r="C63" s="396" t="s">
        <v>1059</v>
      </c>
    </row>
    <row r="64" spans="1:3" x14ac:dyDescent="0.25">
      <c r="A64" s="310" t="s">
        <v>6</v>
      </c>
      <c r="B64" s="331"/>
      <c r="C64" s="336" t="s">
        <v>1060</v>
      </c>
    </row>
    <row r="65" spans="1:3" ht="31.5" x14ac:dyDescent="0.25">
      <c r="A65" s="337"/>
      <c r="B65" s="331" t="s">
        <v>785</v>
      </c>
      <c r="C65" s="20" t="s">
        <v>8</v>
      </c>
    </row>
    <row r="66" spans="1:3" ht="31.5" x14ac:dyDescent="0.25">
      <c r="A66" s="337"/>
      <c r="B66" s="331" t="s">
        <v>1061</v>
      </c>
      <c r="C66" s="20" t="s">
        <v>45</v>
      </c>
    </row>
    <row r="67" spans="1:3" ht="47.25" x14ac:dyDescent="0.25">
      <c r="A67" s="339"/>
      <c r="B67" s="335" t="s">
        <v>786</v>
      </c>
      <c r="C67" s="20" t="s">
        <v>1063</v>
      </c>
    </row>
    <row r="68" spans="1:3" ht="36" customHeight="1" x14ac:dyDescent="0.25">
      <c r="A68" s="310" t="s">
        <v>761</v>
      </c>
      <c r="B68" s="331"/>
      <c r="C68" s="336" t="s">
        <v>1076</v>
      </c>
    </row>
    <row r="69" spans="1:3" ht="31.5" x14ac:dyDescent="0.25">
      <c r="A69" s="337"/>
      <c r="B69" s="331" t="s">
        <v>785</v>
      </c>
      <c r="C69" s="20" t="s">
        <v>8</v>
      </c>
    </row>
    <row r="70" spans="1:3" ht="47.25" x14ac:dyDescent="0.25">
      <c r="A70" s="337"/>
      <c r="B70" s="331" t="s">
        <v>786</v>
      </c>
      <c r="C70" s="20" t="s">
        <v>1063</v>
      </c>
    </row>
    <row r="71" spans="1:3" ht="25.15" customHeight="1" x14ac:dyDescent="0.25">
      <c r="A71" s="330">
        <v>100</v>
      </c>
      <c r="B71" s="331"/>
      <c r="C71" s="336" t="s">
        <v>1069</v>
      </c>
    </row>
    <row r="72" spans="1:3" ht="15.75" customHeight="1" x14ac:dyDescent="0.25">
      <c r="A72" s="333"/>
      <c r="B72" s="331" t="s">
        <v>1070</v>
      </c>
      <c r="C72" s="20" t="s">
        <v>1071</v>
      </c>
    </row>
    <row r="73" spans="1:3" ht="63" x14ac:dyDescent="0.25">
      <c r="A73" s="333"/>
      <c r="B73" s="331" t="s">
        <v>10</v>
      </c>
      <c r="C73" s="341" t="s">
        <v>60</v>
      </c>
    </row>
    <row r="74" spans="1:3" ht="63" x14ac:dyDescent="0.25">
      <c r="A74" s="333"/>
      <c r="B74" s="331" t="s">
        <v>11</v>
      </c>
      <c r="C74" s="215" t="s">
        <v>62</v>
      </c>
    </row>
    <row r="75" spans="1:3" ht="63" x14ac:dyDescent="0.25">
      <c r="A75" s="333"/>
      <c r="B75" s="331" t="s">
        <v>12</v>
      </c>
      <c r="C75" s="215" t="s">
        <v>763</v>
      </c>
    </row>
    <row r="76" spans="1:3" ht="63" x14ac:dyDescent="0.25">
      <c r="A76" s="333"/>
      <c r="B76" s="331" t="s">
        <v>13</v>
      </c>
      <c r="C76" s="215" t="s">
        <v>66</v>
      </c>
    </row>
    <row r="77" spans="1:3" ht="31.5" x14ac:dyDescent="0.25">
      <c r="A77" s="330">
        <v>106</v>
      </c>
      <c r="B77" s="331"/>
      <c r="C77" s="377" t="s">
        <v>1211</v>
      </c>
    </row>
    <row r="78" spans="1:3" ht="31.5" x14ac:dyDescent="0.25">
      <c r="A78" s="333"/>
      <c r="B78" s="331" t="s">
        <v>7</v>
      </c>
      <c r="C78" s="20" t="s">
        <v>8</v>
      </c>
    </row>
    <row r="79" spans="1:3" x14ac:dyDescent="0.25">
      <c r="A79" s="330">
        <v>116</v>
      </c>
      <c r="B79" s="331"/>
      <c r="C79" s="336" t="s">
        <v>1079</v>
      </c>
    </row>
    <row r="80" spans="1:3" ht="31.5" x14ac:dyDescent="0.25">
      <c r="A80" s="333"/>
      <c r="B80" s="331" t="s">
        <v>7</v>
      </c>
      <c r="C80" s="20" t="s">
        <v>8</v>
      </c>
    </row>
    <row r="81" spans="1:3" x14ac:dyDescent="0.25">
      <c r="A81" s="330">
        <v>117</v>
      </c>
      <c r="B81" s="331"/>
      <c r="C81" s="378" t="s">
        <v>1077</v>
      </c>
    </row>
    <row r="82" spans="1:3" ht="78" customHeight="1" x14ac:dyDescent="0.25">
      <c r="A82" s="333"/>
      <c r="B82" s="331" t="s">
        <v>956</v>
      </c>
      <c r="C82" s="211" t="s">
        <v>767</v>
      </c>
    </row>
    <row r="83" spans="1:3" ht="15.75" hidden="1" customHeight="1" x14ac:dyDescent="0.25">
      <c r="A83" s="333"/>
      <c r="B83" s="331" t="s">
        <v>7</v>
      </c>
      <c r="C83" s="20" t="s">
        <v>8</v>
      </c>
    </row>
    <row r="84" spans="1:3" ht="31.5" x14ac:dyDescent="0.25">
      <c r="A84" s="330">
        <v>141</v>
      </c>
      <c r="B84" s="331"/>
      <c r="C84" s="377" t="s">
        <v>1212</v>
      </c>
    </row>
    <row r="85" spans="1:3" ht="45.75" customHeight="1" x14ac:dyDescent="0.25">
      <c r="A85" s="333"/>
      <c r="B85" s="331" t="s">
        <v>990</v>
      </c>
      <c r="C85" s="20" t="s">
        <v>1068</v>
      </c>
    </row>
    <row r="86" spans="1:3" ht="15.75" hidden="1" customHeight="1" x14ac:dyDescent="0.25">
      <c r="A86" s="333"/>
      <c r="B86" s="331" t="s">
        <v>986</v>
      </c>
      <c r="C86" s="20" t="s">
        <v>984</v>
      </c>
    </row>
    <row r="87" spans="1:3" ht="31.5" x14ac:dyDescent="0.25">
      <c r="A87" s="333"/>
      <c r="B87" s="331" t="s">
        <v>785</v>
      </c>
      <c r="C87" s="20" t="s">
        <v>8</v>
      </c>
    </row>
    <row r="88" spans="1:3" x14ac:dyDescent="0.25">
      <c r="A88" s="330">
        <v>161</v>
      </c>
      <c r="B88" s="331"/>
      <c r="C88" s="379" t="s">
        <v>1213</v>
      </c>
    </row>
    <row r="89" spans="1:3" ht="47.25" x14ac:dyDescent="0.25">
      <c r="A89" s="333"/>
      <c r="B89" s="331" t="s">
        <v>1072</v>
      </c>
      <c r="C89" s="340" t="s">
        <v>1073</v>
      </c>
    </row>
    <row r="90" spans="1:3" ht="47.25" x14ac:dyDescent="0.25">
      <c r="A90" s="330">
        <v>177</v>
      </c>
      <c r="B90" s="332"/>
      <c r="C90" s="377" t="s">
        <v>1081</v>
      </c>
    </row>
    <row r="91" spans="1:3" ht="47.25" x14ac:dyDescent="0.25">
      <c r="A91" s="333"/>
      <c r="B91" s="331" t="s">
        <v>786</v>
      </c>
      <c r="C91" s="211" t="s">
        <v>767</v>
      </c>
    </row>
    <row r="92" spans="1:3" x14ac:dyDescent="0.25">
      <c r="A92" s="330">
        <v>182</v>
      </c>
      <c r="B92" s="331"/>
      <c r="C92" s="332" t="s">
        <v>1196</v>
      </c>
    </row>
    <row r="93" spans="1:3" ht="63" x14ac:dyDescent="0.25">
      <c r="A93" s="476"/>
      <c r="B93" s="331" t="s">
        <v>1197</v>
      </c>
      <c r="C93" s="20" t="s">
        <v>1043</v>
      </c>
    </row>
    <row r="94" spans="1:3" ht="94.5" x14ac:dyDescent="0.25">
      <c r="A94" s="476"/>
      <c r="B94" s="331" t="s">
        <v>1198</v>
      </c>
      <c r="C94" s="20" t="s">
        <v>770</v>
      </c>
    </row>
    <row r="95" spans="1:3" ht="31.5" x14ac:dyDescent="0.25">
      <c r="A95" s="476"/>
      <c r="B95" s="331" t="s">
        <v>1199</v>
      </c>
      <c r="C95" s="20" t="s">
        <v>772</v>
      </c>
    </row>
    <row r="96" spans="1:3" x14ac:dyDescent="0.25">
      <c r="A96" s="476"/>
      <c r="B96" s="331" t="s">
        <v>1200</v>
      </c>
      <c r="C96" s="20" t="s">
        <v>2</v>
      </c>
    </row>
    <row r="97" spans="1:3" ht="31.5" x14ac:dyDescent="0.25">
      <c r="A97" s="476"/>
      <c r="B97" s="335" t="s">
        <v>1201</v>
      </c>
      <c r="C97" s="20" t="s">
        <v>39</v>
      </c>
    </row>
    <row r="98" spans="1:3" ht="31.5" x14ac:dyDescent="0.25">
      <c r="A98" s="476"/>
      <c r="B98" s="331" t="s">
        <v>1202</v>
      </c>
      <c r="C98" s="20" t="s">
        <v>777</v>
      </c>
    </row>
    <row r="99" spans="1:3" x14ac:dyDescent="0.25">
      <c r="A99" s="476"/>
      <c r="B99" s="331" t="s">
        <v>1203</v>
      </c>
      <c r="C99" s="20" t="s">
        <v>3</v>
      </c>
    </row>
    <row r="100" spans="1:3" ht="31.5" x14ac:dyDescent="0.25">
      <c r="A100" s="476"/>
      <c r="B100" s="331" t="s">
        <v>1204</v>
      </c>
      <c r="C100" s="20" t="s">
        <v>1044</v>
      </c>
    </row>
    <row r="101" spans="1:3" ht="31.5" x14ac:dyDescent="0.25">
      <c r="A101" s="476"/>
      <c r="B101" s="331" t="s">
        <v>1205</v>
      </c>
      <c r="C101" s="20" t="s">
        <v>1045</v>
      </c>
    </row>
    <row r="102" spans="1:3" ht="31.5" x14ac:dyDescent="0.25">
      <c r="A102" s="476"/>
      <c r="B102" s="331" t="s">
        <v>1206</v>
      </c>
      <c r="C102" s="20" t="s">
        <v>779</v>
      </c>
    </row>
    <row r="103" spans="1:3" ht="31.5" x14ac:dyDescent="0.25">
      <c r="A103" s="476"/>
      <c r="B103" s="331" t="s">
        <v>1207</v>
      </c>
      <c r="C103" s="20" t="s">
        <v>1046</v>
      </c>
    </row>
    <row r="104" spans="1:3" ht="31.5" x14ac:dyDescent="0.25">
      <c r="A104" s="476"/>
      <c r="B104" s="331" t="s">
        <v>1208</v>
      </c>
      <c r="C104" s="20" t="s">
        <v>1047</v>
      </c>
    </row>
    <row r="105" spans="1:3" ht="31.5" x14ac:dyDescent="0.25">
      <c r="A105" s="476"/>
      <c r="B105" s="331" t="s">
        <v>1209</v>
      </c>
      <c r="C105" s="20" t="s">
        <v>1048</v>
      </c>
    </row>
    <row r="106" spans="1:3" ht="63" x14ac:dyDescent="0.25">
      <c r="A106" s="476"/>
      <c r="B106" s="331" t="s">
        <v>1210</v>
      </c>
      <c r="C106" s="20" t="s">
        <v>957</v>
      </c>
    </row>
    <row r="107" spans="1:3" ht="47.25" x14ac:dyDescent="0.25">
      <c r="A107" s="476"/>
      <c r="B107" s="374" t="s">
        <v>1029</v>
      </c>
      <c r="C107" s="375" t="s">
        <v>1049</v>
      </c>
    </row>
    <row r="108" spans="1:3" ht="47.25" x14ac:dyDescent="0.25">
      <c r="A108" s="476"/>
      <c r="B108" s="374" t="s">
        <v>983</v>
      </c>
      <c r="C108" s="375" t="s">
        <v>982</v>
      </c>
    </row>
    <row r="109" spans="1:3" ht="47.25" x14ac:dyDescent="0.25">
      <c r="A109" s="476"/>
      <c r="B109" s="374" t="s">
        <v>1050</v>
      </c>
      <c r="C109" s="376" t="s">
        <v>1051</v>
      </c>
    </row>
    <row r="110" spans="1:3" ht="31.5" x14ac:dyDescent="0.25">
      <c r="A110" s="476"/>
      <c r="B110" s="374" t="s">
        <v>1052</v>
      </c>
      <c r="C110" s="376" t="s">
        <v>1053</v>
      </c>
    </row>
    <row r="111" spans="1:3" ht="31.5" x14ac:dyDescent="0.25">
      <c r="A111" s="330">
        <v>188</v>
      </c>
      <c r="B111" s="331"/>
      <c r="C111" s="377" t="s">
        <v>1214</v>
      </c>
    </row>
    <row r="112" spans="1:3" ht="47.25" x14ac:dyDescent="0.25">
      <c r="A112" s="333"/>
      <c r="B112" s="331" t="s">
        <v>783</v>
      </c>
      <c r="C112" s="166" t="s">
        <v>1051</v>
      </c>
    </row>
    <row r="113" spans="1:3" ht="31.5" x14ac:dyDescent="0.25">
      <c r="A113" s="333"/>
      <c r="B113" s="331" t="s">
        <v>1052</v>
      </c>
      <c r="C113" s="166" t="s">
        <v>1053</v>
      </c>
    </row>
    <row r="114" spans="1:3" ht="31.5" x14ac:dyDescent="0.25">
      <c r="A114" s="333"/>
      <c r="B114" s="331" t="s">
        <v>785</v>
      </c>
      <c r="C114" s="20" t="s">
        <v>8</v>
      </c>
    </row>
    <row r="115" spans="1:3" ht="31.5" x14ac:dyDescent="0.25">
      <c r="A115" s="333"/>
      <c r="B115" s="331" t="s">
        <v>987</v>
      </c>
      <c r="C115" s="340" t="s">
        <v>985</v>
      </c>
    </row>
    <row r="116" spans="1:3" ht="47.25" x14ac:dyDescent="0.25">
      <c r="A116" s="333"/>
      <c r="B116" s="331" t="s">
        <v>786</v>
      </c>
      <c r="C116" s="20" t="s">
        <v>1063</v>
      </c>
    </row>
    <row r="117" spans="1:3" ht="47.25" x14ac:dyDescent="0.25">
      <c r="A117" s="333"/>
      <c r="B117" s="331" t="s">
        <v>1066</v>
      </c>
      <c r="C117" s="166" t="s">
        <v>1067</v>
      </c>
    </row>
    <row r="118" spans="1:3" ht="47.25" x14ac:dyDescent="0.25">
      <c r="A118" s="333"/>
      <c r="B118" s="331" t="s">
        <v>986</v>
      </c>
      <c r="C118" s="166" t="s">
        <v>984</v>
      </c>
    </row>
    <row r="119" spans="1:3" x14ac:dyDescent="0.25">
      <c r="A119" s="330">
        <v>192</v>
      </c>
      <c r="B119" s="331"/>
      <c r="C119" s="336" t="s">
        <v>1215</v>
      </c>
    </row>
    <row r="120" spans="1:3" ht="47.25" x14ac:dyDescent="0.25">
      <c r="A120" s="333"/>
      <c r="B120" s="331" t="s">
        <v>786</v>
      </c>
      <c r="C120" s="20" t="s">
        <v>1064</v>
      </c>
    </row>
    <row r="121" spans="1:3" ht="31.5" x14ac:dyDescent="0.25">
      <c r="A121" s="333"/>
      <c r="B121" s="331" t="s">
        <v>785</v>
      </c>
      <c r="C121" s="20" t="s">
        <v>8</v>
      </c>
    </row>
    <row r="122" spans="1:3" ht="31.5" x14ac:dyDescent="0.25">
      <c r="A122" s="330">
        <v>321</v>
      </c>
      <c r="B122" s="331"/>
      <c r="C122" s="336" t="s">
        <v>1216</v>
      </c>
    </row>
    <row r="123" spans="1:3" x14ac:dyDescent="0.25">
      <c r="A123" s="333"/>
      <c r="B123" s="331" t="s">
        <v>1065</v>
      </c>
      <c r="C123" s="20" t="s">
        <v>988</v>
      </c>
    </row>
    <row r="124" spans="1:3" x14ac:dyDescent="0.25">
      <c r="A124" s="330">
        <v>322</v>
      </c>
      <c r="B124" s="331"/>
      <c r="C124" s="336" t="s">
        <v>1184</v>
      </c>
    </row>
    <row r="125" spans="1:3" ht="31.5" x14ac:dyDescent="0.25">
      <c r="A125" s="333"/>
      <c r="B125" s="331" t="s">
        <v>785</v>
      </c>
      <c r="C125" s="20" t="s">
        <v>8</v>
      </c>
    </row>
    <row r="126" spans="1:3" x14ac:dyDescent="0.25">
      <c r="A126" s="330">
        <v>906</v>
      </c>
      <c r="B126" s="20"/>
      <c r="C126" s="379" t="s">
        <v>1217</v>
      </c>
    </row>
    <row r="127" spans="1:3" ht="31.5" x14ac:dyDescent="0.25">
      <c r="A127" s="333"/>
      <c r="B127" s="331" t="s">
        <v>7</v>
      </c>
      <c r="C127" s="20" t="s">
        <v>8</v>
      </c>
    </row>
    <row r="128" spans="1:3" x14ac:dyDescent="0.25">
      <c r="A128" s="330">
        <v>918</v>
      </c>
      <c r="B128" s="331"/>
      <c r="C128" s="336" t="s">
        <v>1080</v>
      </c>
    </row>
    <row r="129" spans="1:3" ht="31.5" x14ac:dyDescent="0.25">
      <c r="A129" s="333"/>
      <c r="B129" s="331" t="s">
        <v>7</v>
      </c>
      <c r="C129" s="20" t="s">
        <v>8</v>
      </c>
    </row>
    <row r="130" spans="1:3" ht="36" customHeight="1" x14ac:dyDescent="0.25">
      <c r="A130" s="330">
        <v>924</v>
      </c>
      <c r="B130" s="331"/>
      <c r="C130" s="378" t="s">
        <v>1218</v>
      </c>
    </row>
    <row r="131" spans="1:3" ht="31.5" x14ac:dyDescent="0.25">
      <c r="A131" s="333"/>
      <c r="B131" s="331" t="s">
        <v>1219</v>
      </c>
      <c r="C131" s="211" t="s">
        <v>1220</v>
      </c>
    </row>
    <row r="132" spans="1:3" ht="31.5" x14ac:dyDescent="0.25">
      <c r="A132" s="330">
        <v>927</v>
      </c>
      <c r="B132" s="331"/>
      <c r="C132" s="379" t="s">
        <v>1078</v>
      </c>
    </row>
    <row r="133" spans="1:3" ht="31.5" x14ac:dyDescent="0.25">
      <c r="A133" s="333"/>
      <c r="B133" s="331" t="s">
        <v>9</v>
      </c>
      <c r="C133" s="20" t="s">
        <v>1062</v>
      </c>
    </row>
    <row r="134" spans="1:3" ht="31.5" x14ac:dyDescent="0.25">
      <c r="A134" s="333"/>
      <c r="B134" s="331" t="s">
        <v>7</v>
      </c>
      <c r="C134" s="20" t="s">
        <v>8</v>
      </c>
    </row>
    <row r="135" spans="1:3" ht="47.25" x14ac:dyDescent="0.25">
      <c r="A135" s="380"/>
      <c r="B135" s="380"/>
      <c r="C135" s="342" t="s">
        <v>1221</v>
      </c>
    </row>
    <row r="136" spans="1:3" x14ac:dyDescent="0.25">
      <c r="A136" s="380"/>
      <c r="B136" s="380" t="s">
        <v>973</v>
      </c>
      <c r="C136" s="380" t="s">
        <v>974</v>
      </c>
    </row>
    <row r="137" spans="1:3" ht="47.25" x14ac:dyDescent="0.25">
      <c r="A137" s="380"/>
      <c r="B137" s="380" t="s">
        <v>979</v>
      </c>
      <c r="C137" s="340" t="s">
        <v>1073</v>
      </c>
    </row>
    <row r="138" spans="1:3" ht="31.5" x14ac:dyDescent="0.25">
      <c r="A138" s="380"/>
      <c r="B138" s="380" t="s">
        <v>7</v>
      </c>
      <c r="C138" s="20" t="s">
        <v>8</v>
      </c>
    </row>
    <row r="139" spans="1:3" x14ac:dyDescent="0.25">
      <c r="A139" s="338"/>
      <c r="B139" s="338"/>
      <c r="C139" s="338"/>
    </row>
    <row r="140" spans="1:3" x14ac:dyDescent="0.25">
      <c r="A140" s="338"/>
      <c r="B140" s="338"/>
      <c r="C140" s="338"/>
    </row>
    <row r="141" spans="1:3" ht="48" customHeight="1" x14ac:dyDescent="0.25">
      <c r="A141" s="477" t="s">
        <v>1222</v>
      </c>
      <c r="B141" s="477"/>
      <c r="C141" s="477"/>
    </row>
    <row r="142" spans="1:3" x14ac:dyDescent="0.25">
      <c r="A142" s="338"/>
      <c r="B142" s="338"/>
      <c r="C142" s="338"/>
    </row>
    <row r="143" spans="1:3" x14ac:dyDescent="0.25">
      <c r="A143" s="338"/>
      <c r="B143" s="338"/>
      <c r="C143" s="338"/>
    </row>
    <row r="144" spans="1:3" ht="70.900000000000006" customHeight="1" x14ac:dyDescent="0.25">
      <c r="A144" s="477" t="s">
        <v>1223</v>
      </c>
      <c r="B144" s="477"/>
      <c r="C144" s="477"/>
    </row>
    <row r="145" spans="1:10" ht="72" customHeight="1" x14ac:dyDescent="0.25">
      <c r="A145" s="473" t="s">
        <v>1224</v>
      </c>
      <c r="B145" s="473"/>
      <c r="C145" s="473"/>
    </row>
    <row r="146" spans="1:10" ht="15.6" customHeight="1" x14ac:dyDescent="0.25">
      <c r="A146" s="474"/>
      <c r="B146" s="474"/>
      <c r="C146" s="474"/>
      <c r="D146" s="474"/>
      <c r="E146" s="474"/>
      <c r="F146" s="474"/>
      <c r="G146" s="474"/>
      <c r="H146" s="474"/>
      <c r="I146" s="474"/>
      <c r="J146" s="474"/>
    </row>
    <row r="148" spans="1:10" x14ac:dyDescent="0.25">
      <c r="A148" s="473"/>
      <c r="B148" s="473"/>
      <c r="C148" s="473"/>
    </row>
  </sheetData>
  <mergeCells count="7">
    <mergeCell ref="A145:C145"/>
    <mergeCell ref="A146:J146"/>
    <mergeCell ref="A148:C148"/>
    <mergeCell ref="A6:C6"/>
    <mergeCell ref="A93:A110"/>
    <mergeCell ref="A141:C141"/>
    <mergeCell ref="A144:C144"/>
  </mergeCells>
  <pageMargins left="0.70866141732283472" right="0.70866141732283472" top="0.74803149606299213" bottom="0.74803149606299213" header="0.31496062992125984" footer="0.31496062992125984"/>
  <pageSetup paperSize="9" scale="65" fitToHeight="0"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65"/>
  <sheetViews>
    <sheetView workbookViewId="0">
      <selection activeCell="C4" sqref="C4:F4"/>
    </sheetView>
  </sheetViews>
  <sheetFormatPr defaultRowHeight="15" x14ac:dyDescent="0.25"/>
  <cols>
    <col min="1" max="2" width="5.7109375" style="110" customWidth="1"/>
    <col min="3" max="3" width="55.85546875" style="111" customWidth="1"/>
    <col min="4" max="4" width="15.140625" style="97" customWidth="1"/>
    <col min="5" max="5" width="14.42578125" customWidth="1"/>
    <col min="6" max="6" width="14.85546875" customWidth="1"/>
    <col min="257" max="258" width="5.7109375" customWidth="1"/>
    <col min="259" max="259" width="55.85546875" customWidth="1"/>
    <col min="260" max="260" width="13.42578125" customWidth="1"/>
    <col min="261" max="261" width="14.42578125" customWidth="1"/>
    <col min="262" max="262" width="14.85546875" customWidth="1"/>
    <col min="513" max="514" width="5.7109375" customWidth="1"/>
    <col min="515" max="515" width="55.85546875" customWidth="1"/>
    <col min="516" max="516" width="13.42578125" customWidth="1"/>
    <col min="517" max="517" width="14.42578125" customWidth="1"/>
    <col min="518" max="518" width="14.85546875" customWidth="1"/>
    <col min="769" max="770" width="5.7109375" customWidth="1"/>
    <col min="771" max="771" width="55.85546875" customWidth="1"/>
    <col min="772" max="772" width="13.42578125" customWidth="1"/>
    <col min="773" max="773" width="14.42578125" customWidth="1"/>
    <col min="774" max="774" width="14.85546875" customWidth="1"/>
    <col min="1025" max="1026" width="5.7109375" customWidth="1"/>
    <col min="1027" max="1027" width="55.85546875" customWidth="1"/>
    <col min="1028" max="1028" width="13.42578125" customWidth="1"/>
    <col min="1029" max="1029" width="14.42578125" customWidth="1"/>
    <col min="1030" max="1030" width="14.85546875" customWidth="1"/>
    <col min="1281" max="1282" width="5.7109375" customWidth="1"/>
    <col min="1283" max="1283" width="55.85546875" customWidth="1"/>
    <col min="1284" max="1284" width="13.42578125" customWidth="1"/>
    <col min="1285" max="1285" width="14.42578125" customWidth="1"/>
    <col min="1286" max="1286" width="14.85546875" customWidth="1"/>
    <col min="1537" max="1538" width="5.7109375" customWidth="1"/>
    <col min="1539" max="1539" width="55.85546875" customWidth="1"/>
    <col min="1540" max="1540" width="13.42578125" customWidth="1"/>
    <col min="1541" max="1541" width="14.42578125" customWidth="1"/>
    <col min="1542" max="1542" width="14.85546875" customWidth="1"/>
    <col min="1793" max="1794" width="5.7109375" customWidth="1"/>
    <col min="1795" max="1795" width="55.85546875" customWidth="1"/>
    <col min="1796" max="1796" width="13.42578125" customWidth="1"/>
    <col min="1797" max="1797" width="14.42578125" customWidth="1"/>
    <col min="1798" max="1798" width="14.85546875" customWidth="1"/>
    <col min="2049" max="2050" width="5.7109375" customWidth="1"/>
    <col min="2051" max="2051" width="55.85546875" customWidth="1"/>
    <col min="2052" max="2052" width="13.42578125" customWidth="1"/>
    <col min="2053" max="2053" width="14.42578125" customWidth="1"/>
    <col min="2054" max="2054" width="14.85546875" customWidth="1"/>
    <col min="2305" max="2306" width="5.7109375" customWidth="1"/>
    <col min="2307" max="2307" width="55.85546875" customWidth="1"/>
    <col min="2308" max="2308" width="13.42578125" customWidth="1"/>
    <col min="2309" max="2309" width="14.42578125" customWidth="1"/>
    <col min="2310" max="2310" width="14.85546875" customWidth="1"/>
    <col min="2561" max="2562" width="5.7109375" customWidth="1"/>
    <col min="2563" max="2563" width="55.85546875" customWidth="1"/>
    <col min="2564" max="2564" width="13.42578125" customWidth="1"/>
    <col min="2565" max="2565" width="14.42578125" customWidth="1"/>
    <col min="2566" max="2566" width="14.85546875" customWidth="1"/>
    <col min="2817" max="2818" width="5.7109375" customWidth="1"/>
    <col min="2819" max="2819" width="55.85546875" customWidth="1"/>
    <col min="2820" max="2820" width="13.42578125" customWidth="1"/>
    <col min="2821" max="2821" width="14.42578125" customWidth="1"/>
    <col min="2822" max="2822" width="14.85546875" customWidth="1"/>
    <col min="3073" max="3074" width="5.7109375" customWidth="1"/>
    <col min="3075" max="3075" width="55.85546875" customWidth="1"/>
    <col min="3076" max="3076" width="13.42578125" customWidth="1"/>
    <col min="3077" max="3077" width="14.42578125" customWidth="1"/>
    <col min="3078" max="3078" width="14.85546875" customWidth="1"/>
    <col min="3329" max="3330" width="5.7109375" customWidth="1"/>
    <col min="3331" max="3331" width="55.85546875" customWidth="1"/>
    <col min="3332" max="3332" width="13.42578125" customWidth="1"/>
    <col min="3333" max="3333" width="14.42578125" customWidth="1"/>
    <col min="3334" max="3334" width="14.85546875" customWidth="1"/>
    <col min="3585" max="3586" width="5.7109375" customWidth="1"/>
    <col min="3587" max="3587" width="55.85546875" customWidth="1"/>
    <col min="3588" max="3588" width="13.42578125" customWidth="1"/>
    <col min="3589" max="3589" width="14.42578125" customWidth="1"/>
    <col min="3590" max="3590" width="14.85546875" customWidth="1"/>
    <col min="3841" max="3842" width="5.7109375" customWidth="1"/>
    <col min="3843" max="3843" width="55.85546875" customWidth="1"/>
    <col min="3844" max="3844" width="13.42578125" customWidth="1"/>
    <col min="3845" max="3845" width="14.42578125" customWidth="1"/>
    <col min="3846" max="3846" width="14.85546875" customWidth="1"/>
    <col min="4097" max="4098" width="5.7109375" customWidth="1"/>
    <col min="4099" max="4099" width="55.85546875" customWidth="1"/>
    <col min="4100" max="4100" width="13.42578125" customWidth="1"/>
    <col min="4101" max="4101" width="14.42578125" customWidth="1"/>
    <col min="4102" max="4102" width="14.85546875" customWidth="1"/>
    <col min="4353" max="4354" width="5.7109375" customWidth="1"/>
    <col min="4355" max="4355" width="55.85546875" customWidth="1"/>
    <col min="4356" max="4356" width="13.42578125" customWidth="1"/>
    <col min="4357" max="4357" width="14.42578125" customWidth="1"/>
    <col min="4358" max="4358" width="14.85546875" customWidth="1"/>
    <col min="4609" max="4610" width="5.7109375" customWidth="1"/>
    <col min="4611" max="4611" width="55.85546875" customWidth="1"/>
    <col min="4612" max="4612" width="13.42578125" customWidth="1"/>
    <col min="4613" max="4613" width="14.42578125" customWidth="1"/>
    <col min="4614" max="4614" width="14.85546875" customWidth="1"/>
    <col min="4865" max="4866" width="5.7109375" customWidth="1"/>
    <col min="4867" max="4867" width="55.85546875" customWidth="1"/>
    <col min="4868" max="4868" width="13.42578125" customWidth="1"/>
    <col min="4869" max="4869" width="14.42578125" customWidth="1"/>
    <col min="4870" max="4870" width="14.85546875" customWidth="1"/>
    <col min="5121" max="5122" width="5.7109375" customWidth="1"/>
    <col min="5123" max="5123" width="55.85546875" customWidth="1"/>
    <col min="5124" max="5124" width="13.42578125" customWidth="1"/>
    <col min="5125" max="5125" width="14.42578125" customWidth="1"/>
    <col min="5126" max="5126" width="14.85546875" customWidth="1"/>
    <col min="5377" max="5378" width="5.7109375" customWidth="1"/>
    <col min="5379" max="5379" width="55.85546875" customWidth="1"/>
    <col min="5380" max="5380" width="13.42578125" customWidth="1"/>
    <col min="5381" max="5381" width="14.42578125" customWidth="1"/>
    <col min="5382" max="5382" width="14.85546875" customWidth="1"/>
    <col min="5633" max="5634" width="5.7109375" customWidth="1"/>
    <col min="5635" max="5635" width="55.85546875" customWidth="1"/>
    <col min="5636" max="5636" width="13.42578125" customWidth="1"/>
    <col min="5637" max="5637" width="14.42578125" customWidth="1"/>
    <col min="5638" max="5638" width="14.85546875" customWidth="1"/>
    <col min="5889" max="5890" width="5.7109375" customWidth="1"/>
    <col min="5891" max="5891" width="55.85546875" customWidth="1"/>
    <col min="5892" max="5892" width="13.42578125" customWidth="1"/>
    <col min="5893" max="5893" width="14.42578125" customWidth="1"/>
    <col min="5894" max="5894" width="14.85546875" customWidth="1"/>
    <col min="6145" max="6146" width="5.7109375" customWidth="1"/>
    <col min="6147" max="6147" width="55.85546875" customWidth="1"/>
    <col min="6148" max="6148" width="13.42578125" customWidth="1"/>
    <col min="6149" max="6149" width="14.42578125" customWidth="1"/>
    <col min="6150" max="6150" width="14.85546875" customWidth="1"/>
    <col min="6401" max="6402" width="5.7109375" customWidth="1"/>
    <col min="6403" max="6403" width="55.85546875" customWidth="1"/>
    <col min="6404" max="6404" width="13.42578125" customWidth="1"/>
    <col min="6405" max="6405" width="14.42578125" customWidth="1"/>
    <col min="6406" max="6406" width="14.85546875" customWidth="1"/>
    <col min="6657" max="6658" width="5.7109375" customWidth="1"/>
    <col min="6659" max="6659" width="55.85546875" customWidth="1"/>
    <col min="6660" max="6660" width="13.42578125" customWidth="1"/>
    <col min="6661" max="6661" width="14.42578125" customWidth="1"/>
    <col min="6662" max="6662" width="14.85546875" customWidth="1"/>
    <col min="6913" max="6914" width="5.7109375" customWidth="1"/>
    <col min="6915" max="6915" width="55.85546875" customWidth="1"/>
    <col min="6916" max="6916" width="13.42578125" customWidth="1"/>
    <col min="6917" max="6917" width="14.42578125" customWidth="1"/>
    <col min="6918" max="6918" width="14.85546875" customWidth="1"/>
    <col min="7169" max="7170" width="5.7109375" customWidth="1"/>
    <col min="7171" max="7171" width="55.85546875" customWidth="1"/>
    <col min="7172" max="7172" width="13.42578125" customWidth="1"/>
    <col min="7173" max="7173" width="14.42578125" customWidth="1"/>
    <col min="7174" max="7174" width="14.85546875" customWidth="1"/>
    <col min="7425" max="7426" width="5.7109375" customWidth="1"/>
    <col min="7427" max="7427" width="55.85546875" customWidth="1"/>
    <col min="7428" max="7428" width="13.42578125" customWidth="1"/>
    <col min="7429" max="7429" width="14.42578125" customWidth="1"/>
    <col min="7430" max="7430" width="14.85546875" customWidth="1"/>
    <col min="7681" max="7682" width="5.7109375" customWidth="1"/>
    <col min="7683" max="7683" width="55.85546875" customWidth="1"/>
    <col min="7684" max="7684" width="13.42578125" customWidth="1"/>
    <col min="7685" max="7685" width="14.42578125" customWidth="1"/>
    <col min="7686" max="7686" width="14.85546875" customWidth="1"/>
    <col min="7937" max="7938" width="5.7109375" customWidth="1"/>
    <col min="7939" max="7939" width="55.85546875" customWidth="1"/>
    <col min="7940" max="7940" width="13.42578125" customWidth="1"/>
    <col min="7941" max="7941" width="14.42578125" customWidth="1"/>
    <col min="7942" max="7942" width="14.85546875" customWidth="1"/>
    <col min="8193" max="8194" width="5.7109375" customWidth="1"/>
    <col min="8195" max="8195" width="55.85546875" customWidth="1"/>
    <col min="8196" max="8196" width="13.42578125" customWidth="1"/>
    <col min="8197" max="8197" width="14.42578125" customWidth="1"/>
    <col min="8198" max="8198" width="14.85546875" customWidth="1"/>
    <col min="8449" max="8450" width="5.7109375" customWidth="1"/>
    <col min="8451" max="8451" width="55.85546875" customWidth="1"/>
    <col min="8452" max="8452" width="13.42578125" customWidth="1"/>
    <col min="8453" max="8453" width="14.42578125" customWidth="1"/>
    <col min="8454" max="8454" width="14.85546875" customWidth="1"/>
    <col min="8705" max="8706" width="5.7109375" customWidth="1"/>
    <col min="8707" max="8707" width="55.85546875" customWidth="1"/>
    <col min="8708" max="8708" width="13.42578125" customWidth="1"/>
    <col min="8709" max="8709" width="14.42578125" customWidth="1"/>
    <col min="8710" max="8710" width="14.85546875" customWidth="1"/>
    <col min="8961" max="8962" width="5.7109375" customWidth="1"/>
    <col min="8963" max="8963" width="55.85546875" customWidth="1"/>
    <col min="8964" max="8964" width="13.42578125" customWidth="1"/>
    <col min="8965" max="8965" width="14.42578125" customWidth="1"/>
    <col min="8966" max="8966" width="14.85546875" customWidth="1"/>
    <col min="9217" max="9218" width="5.7109375" customWidth="1"/>
    <col min="9219" max="9219" width="55.85546875" customWidth="1"/>
    <col min="9220" max="9220" width="13.42578125" customWidth="1"/>
    <col min="9221" max="9221" width="14.42578125" customWidth="1"/>
    <col min="9222" max="9222" width="14.85546875" customWidth="1"/>
    <col min="9473" max="9474" width="5.7109375" customWidth="1"/>
    <col min="9475" max="9475" width="55.85546875" customWidth="1"/>
    <col min="9476" max="9476" width="13.42578125" customWidth="1"/>
    <col min="9477" max="9477" width="14.42578125" customWidth="1"/>
    <col min="9478" max="9478" width="14.85546875" customWidth="1"/>
    <col min="9729" max="9730" width="5.7109375" customWidth="1"/>
    <col min="9731" max="9731" width="55.85546875" customWidth="1"/>
    <col min="9732" max="9732" width="13.42578125" customWidth="1"/>
    <col min="9733" max="9733" width="14.42578125" customWidth="1"/>
    <col min="9734" max="9734" width="14.85546875" customWidth="1"/>
    <col min="9985" max="9986" width="5.7109375" customWidth="1"/>
    <col min="9987" max="9987" width="55.85546875" customWidth="1"/>
    <col min="9988" max="9988" width="13.42578125" customWidth="1"/>
    <col min="9989" max="9989" width="14.42578125" customWidth="1"/>
    <col min="9990" max="9990" width="14.85546875" customWidth="1"/>
    <col min="10241" max="10242" width="5.7109375" customWidth="1"/>
    <col min="10243" max="10243" width="55.85546875" customWidth="1"/>
    <col min="10244" max="10244" width="13.42578125" customWidth="1"/>
    <col min="10245" max="10245" width="14.42578125" customWidth="1"/>
    <col min="10246" max="10246" width="14.85546875" customWidth="1"/>
    <col min="10497" max="10498" width="5.7109375" customWidth="1"/>
    <col min="10499" max="10499" width="55.85546875" customWidth="1"/>
    <col min="10500" max="10500" width="13.42578125" customWidth="1"/>
    <col min="10501" max="10501" width="14.42578125" customWidth="1"/>
    <col min="10502" max="10502" width="14.85546875" customWidth="1"/>
    <col min="10753" max="10754" width="5.7109375" customWidth="1"/>
    <col min="10755" max="10755" width="55.85546875" customWidth="1"/>
    <col min="10756" max="10756" width="13.42578125" customWidth="1"/>
    <col min="10757" max="10757" width="14.42578125" customWidth="1"/>
    <col min="10758" max="10758" width="14.85546875" customWidth="1"/>
    <col min="11009" max="11010" width="5.7109375" customWidth="1"/>
    <col min="11011" max="11011" width="55.85546875" customWidth="1"/>
    <col min="11012" max="11012" width="13.42578125" customWidth="1"/>
    <col min="11013" max="11013" width="14.42578125" customWidth="1"/>
    <col min="11014" max="11014" width="14.85546875" customWidth="1"/>
    <col min="11265" max="11266" width="5.7109375" customWidth="1"/>
    <col min="11267" max="11267" width="55.85546875" customWidth="1"/>
    <col min="11268" max="11268" width="13.42578125" customWidth="1"/>
    <col min="11269" max="11269" width="14.42578125" customWidth="1"/>
    <col min="11270" max="11270" width="14.85546875" customWidth="1"/>
    <col min="11521" max="11522" width="5.7109375" customWidth="1"/>
    <col min="11523" max="11523" width="55.85546875" customWidth="1"/>
    <col min="11524" max="11524" width="13.42578125" customWidth="1"/>
    <col min="11525" max="11525" width="14.42578125" customWidth="1"/>
    <col min="11526" max="11526" width="14.85546875" customWidth="1"/>
    <col min="11777" max="11778" width="5.7109375" customWidth="1"/>
    <col min="11779" max="11779" width="55.85546875" customWidth="1"/>
    <col min="11780" max="11780" width="13.42578125" customWidth="1"/>
    <col min="11781" max="11781" width="14.42578125" customWidth="1"/>
    <col min="11782" max="11782" width="14.85546875" customWidth="1"/>
    <col min="12033" max="12034" width="5.7109375" customWidth="1"/>
    <col min="12035" max="12035" width="55.85546875" customWidth="1"/>
    <col min="12036" max="12036" width="13.42578125" customWidth="1"/>
    <col min="12037" max="12037" width="14.42578125" customWidth="1"/>
    <col min="12038" max="12038" width="14.85546875" customWidth="1"/>
    <col min="12289" max="12290" width="5.7109375" customWidth="1"/>
    <col min="12291" max="12291" width="55.85546875" customWidth="1"/>
    <col min="12292" max="12292" width="13.42578125" customWidth="1"/>
    <col min="12293" max="12293" width="14.42578125" customWidth="1"/>
    <col min="12294" max="12294" width="14.85546875" customWidth="1"/>
    <col min="12545" max="12546" width="5.7109375" customWidth="1"/>
    <col min="12547" max="12547" width="55.85546875" customWidth="1"/>
    <col min="12548" max="12548" width="13.42578125" customWidth="1"/>
    <col min="12549" max="12549" width="14.42578125" customWidth="1"/>
    <col min="12550" max="12550" width="14.85546875" customWidth="1"/>
    <col min="12801" max="12802" width="5.7109375" customWidth="1"/>
    <col min="12803" max="12803" width="55.85546875" customWidth="1"/>
    <col min="12804" max="12804" width="13.42578125" customWidth="1"/>
    <col min="12805" max="12805" width="14.42578125" customWidth="1"/>
    <col min="12806" max="12806" width="14.85546875" customWidth="1"/>
    <col min="13057" max="13058" width="5.7109375" customWidth="1"/>
    <col min="13059" max="13059" width="55.85546875" customWidth="1"/>
    <col min="13060" max="13060" width="13.42578125" customWidth="1"/>
    <col min="13061" max="13061" width="14.42578125" customWidth="1"/>
    <col min="13062" max="13062" width="14.85546875" customWidth="1"/>
    <col min="13313" max="13314" width="5.7109375" customWidth="1"/>
    <col min="13315" max="13315" width="55.85546875" customWidth="1"/>
    <col min="13316" max="13316" width="13.42578125" customWidth="1"/>
    <col min="13317" max="13317" width="14.42578125" customWidth="1"/>
    <col min="13318" max="13318" width="14.85546875" customWidth="1"/>
    <col min="13569" max="13570" width="5.7109375" customWidth="1"/>
    <col min="13571" max="13571" width="55.85546875" customWidth="1"/>
    <col min="13572" max="13572" width="13.42578125" customWidth="1"/>
    <col min="13573" max="13573" width="14.42578125" customWidth="1"/>
    <col min="13574" max="13574" width="14.85546875" customWidth="1"/>
    <col min="13825" max="13826" width="5.7109375" customWidth="1"/>
    <col min="13827" max="13827" width="55.85546875" customWidth="1"/>
    <col min="13828" max="13828" width="13.42578125" customWidth="1"/>
    <col min="13829" max="13829" width="14.42578125" customWidth="1"/>
    <col min="13830" max="13830" width="14.85546875" customWidth="1"/>
    <col min="14081" max="14082" width="5.7109375" customWidth="1"/>
    <col min="14083" max="14083" width="55.85546875" customWidth="1"/>
    <col min="14084" max="14084" width="13.42578125" customWidth="1"/>
    <col min="14085" max="14085" width="14.42578125" customWidth="1"/>
    <col min="14086" max="14086" width="14.85546875" customWidth="1"/>
    <col min="14337" max="14338" width="5.7109375" customWidth="1"/>
    <col min="14339" max="14339" width="55.85546875" customWidth="1"/>
    <col min="14340" max="14340" width="13.42578125" customWidth="1"/>
    <col min="14341" max="14341" width="14.42578125" customWidth="1"/>
    <col min="14342" max="14342" width="14.85546875" customWidth="1"/>
    <col min="14593" max="14594" width="5.7109375" customWidth="1"/>
    <col min="14595" max="14595" width="55.85546875" customWidth="1"/>
    <col min="14596" max="14596" width="13.42578125" customWidth="1"/>
    <col min="14597" max="14597" width="14.42578125" customWidth="1"/>
    <col min="14598" max="14598" width="14.85546875" customWidth="1"/>
    <col min="14849" max="14850" width="5.7109375" customWidth="1"/>
    <col min="14851" max="14851" width="55.85546875" customWidth="1"/>
    <col min="14852" max="14852" width="13.42578125" customWidth="1"/>
    <col min="14853" max="14853" width="14.42578125" customWidth="1"/>
    <col min="14854" max="14854" width="14.85546875" customWidth="1"/>
    <col min="15105" max="15106" width="5.7109375" customWidth="1"/>
    <col min="15107" max="15107" width="55.85546875" customWidth="1"/>
    <col min="15108" max="15108" width="13.42578125" customWidth="1"/>
    <col min="15109" max="15109" width="14.42578125" customWidth="1"/>
    <col min="15110" max="15110" width="14.85546875" customWidth="1"/>
    <col min="15361" max="15362" width="5.7109375" customWidth="1"/>
    <col min="15363" max="15363" width="55.85546875" customWidth="1"/>
    <col min="15364" max="15364" width="13.42578125" customWidth="1"/>
    <col min="15365" max="15365" width="14.42578125" customWidth="1"/>
    <col min="15366" max="15366" width="14.85546875" customWidth="1"/>
    <col min="15617" max="15618" width="5.7109375" customWidth="1"/>
    <col min="15619" max="15619" width="55.85546875" customWidth="1"/>
    <col min="15620" max="15620" width="13.42578125" customWidth="1"/>
    <col min="15621" max="15621" width="14.42578125" customWidth="1"/>
    <col min="15622" max="15622" width="14.85546875" customWidth="1"/>
    <col min="15873" max="15874" width="5.7109375" customWidth="1"/>
    <col min="15875" max="15875" width="55.85546875" customWidth="1"/>
    <col min="15876" max="15876" width="13.42578125" customWidth="1"/>
    <col min="15877" max="15877" width="14.42578125" customWidth="1"/>
    <col min="15878" max="15878" width="14.85546875" customWidth="1"/>
    <col min="16129" max="16130" width="5.7109375" customWidth="1"/>
    <col min="16131" max="16131" width="55.85546875" customWidth="1"/>
    <col min="16132" max="16132" width="13.42578125" customWidth="1"/>
    <col min="16133" max="16133" width="14.42578125" customWidth="1"/>
    <col min="16134" max="16134" width="14.85546875" customWidth="1"/>
  </cols>
  <sheetData>
    <row r="1" spans="1:6" s="94" customFormat="1" ht="15.75" x14ac:dyDescent="0.25">
      <c r="A1" s="1"/>
      <c r="B1" s="1"/>
      <c r="C1" s="567" t="s">
        <v>1130</v>
      </c>
      <c r="D1" s="567"/>
      <c r="E1" s="567"/>
      <c r="F1" s="567"/>
    </row>
    <row r="2" spans="1:6" s="94" customFormat="1" ht="15.75" customHeight="1" x14ac:dyDescent="0.25">
      <c r="A2" s="1"/>
      <c r="B2" s="1"/>
      <c r="C2" s="567" t="s">
        <v>244</v>
      </c>
      <c r="D2" s="567"/>
      <c r="E2" s="567"/>
      <c r="F2" s="567"/>
    </row>
    <row r="3" spans="1:6" s="94" customFormat="1" ht="15.75" x14ac:dyDescent="0.25">
      <c r="A3" s="1"/>
      <c r="B3" s="1"/>
      <c r="C3" s="567" t="s">
        <v>245</v>
      </c>
      <c r="D3" s="567"/>
      <c r="E3" s="567"/>
      <c r="F3" s="567"/>
    </row>
    <row r="4" spans="1:6" s="94" customFormat="1" ht="15.75" x14ac:dyDescent="0.25">
      <c r="A4" s="1"/>
      <c r="B4" s="1"/>
      <c r="C4" s="567" t="s">
        <v>1356</v>
      </c>
      <c r="D4" s="567"/>
      <c r="E4" s="567"/>
      <c r="F4" s="567"/>
    </row>
    <row r="5" spans="1:6" s="94" customFormat="1" ht="15.75" x14ac:dyDescent="0.25">
      <c r="A5" s="1"/>
      <c r="B5" s="1"/>
      <c r="C5" s="96"/>
      <c r="D5" s="35"/>
    </row>
    <row r="6" spans="1:6" ht="15.75" x14ac:dyDescent="0.25">
      <c r="A6" s="1"/>
      <c r="B6" s="1"/>
      <c r="C6" s="96"/>
      <c r="D6" s="35"/>
    </row>
    <row r="7" spans="1:6" ht="40.5" customHeight="1" x14ac:dyDescent="0.25">
      <c r="A7" s="479" t="s">
        <v>1137</v>
      </c>
      <c r="B7" s="479"/>
      <c r="C7" s="479"/>
      <c r="D7" s="479"/>
      <c r="E7" s="479"/>
      <c r="F7" s="479"/>
    </row>
    <row r="8" spans="1:6" ht="15.75" x14ac:dyDescent="0.25">
      <c r="A8" s="1"/>
      <c r="B8" s="1"/>
      <c r="C8" s="26"/>
      <c r="F8" s="35" t="s">
        <v>187</v>
      </c>
    </row>
    <row r="9" spans="1:6" ht="15.75" x14ac:dyDescent="0.25">
      <c r="A9" s="480" t="s">
        <v>134</v>
      </c>
      <c r="B9" s="480" t="s">
        <v>135</v>
      </c>
      <c r="C9" s="482" t="s">
        <v>1</v>
      </c>
      <c r="D9" s="484" t="s">
        <v>246</v>
      </c>
      <c r="E9" s="485"/>
      <c r="F9" s="486"/>
    </row>
    <row r="10" spans="1:6" ht="16.5" x14ac:dyDescent="0.3">
      <c r="A10" s="481"/>
      <c r="B10" s="481"/>
      <c r="C10" s="483"/>
      <c r="D10" s="64">
        <v>2018</v>
      </c>
      <c r="E10" s="98">
        <v>2019</v>
      </c>
      <c r="F10" s="98">
        <v>2020</v>
      </c>
    </row>
    <row r="11" spans="1:6" ht="15.75" x14ac:dyDescent="0.25">
      <c r="A11" s="99" t="s">
        <v>122</v>
      </c>
      <c r="B11" s="99" t="s">
        <v>133</v>
      </c>
      <c r="C11" s="45" t="s">
        <v>111</v>
      </c>
      <c r="D11" s="47">
        <f>D12+D13+D14+D16+D18+D19+D15+D17</f>
        <v>75817868.879999995</v>
      </c>
      <c r="E11" s="47">
        <f>E12+E13+E14+E16+E18+E19+E15+E17</f>
        <v>75648311.640000015</v>
      </c>
      <c r="F11" s="47">
        <f>F12+F13+F14+F16+F18+F19+F15+F17</f>
        <v>76000575.700000003</v>
      </c>
    </row>
    <row r="12" spans="1:6" ht="31.5" x14ac:dyDescent="0.25">
      <c r="A12" s="100" t="s">
        <v>122</v>
      </c>
      <c r="B12" s="100" t="s">
        <v>132</v>
      </c>
      <c r="C12" s="37" t="s">
        <v>247</v>
      </c>
      <c r="D12" s="42">
        <f>П6ВСР!Z13</f>
        <v>1554484</v>
      </c>
      <c r="E12" s="42">
        <f>П6ВСР!AA13</f>
        <v>1554484</v>
      </c>
      <c r="F12" s="42">
        <f>П6ВСР!AB13</f>
        <v>1554484</v>
      </c>
    </row>
    <row r="13" spans="1:6" ht="47.25" x14ac:dyDescent="0.25">
      <c r="A13" s="100" t="s">
        <v>122</v>
      </c>
      <c r="B13" s="100" t="s">
        <v>123</v>
      </c>
      <c r="C13" s="37" t="s">
        <v>248</v>
      </c>
      <c r="D13" s="42">
        <f>П6ВСР!Z16</f>
        <v>3006545.2199999997</v>
      </c>
      <c r="E13" s="42">
        <f>П6ВСР!AA16</f>
        <v>3006545.2199999997</v>
      </c>
      <c r="F13" s="42">
        <f>П6ВСР!AB16</f>
        <v>3006545.12</v>
      </c>
    </row>
    <row r="14" spans="1:6" ht="63" x14ac:dyDescent="0.25">
      <c r="A14" s="100" t="s">
        <v>122</v>
      </c>
      <c r="B14" s="100" t="s">
        <v>136</v>
      </c>
      <c r="C14" s="37" t="s">
        <v>249</v>
      </c>
      <c r="D14" s="42">
        <f>П6ВСР!Z23</f>
        <v>30217711.690000001</v>
      </c>
      <c r="E14" s="42">
        <f>П6ВСР!AA23</f>
        <v>30325711.680000003</v>
      </c>
      <c r="F14" s="42">
        <f>П6ВСР!AB23</f>
        <v>30325711.680000003</v>
      </c>
    </row>
    <row r="15" spans="1:6" ht="15.75" hidden="1" x14ac:dyDescent="0.25">
      <c r="A15" s="100" t="s">
        <v>122</v>
      </c>
      <c r="B15" s="100" t="s">
        <v>124</v>
      </c>
      <c r="C15" s="22" t="s">
        <v>137</v>
      </c>
      <c r="D15" s="42">
        <f>П6ВСР!Z35</f>
        <v>328200</v>
      </c>
      <c r="E15" s="42">
        <f>П6ВСР!AA35</f>
        <v>22000</v>
      </c>
      <c r="F15" s="42">
        <f>П6ВСР!AB35</f>
        <v>35400</v>
      </c>
    </row>
    <row r="16" spans="1:6" ht="46.5" customHeight="1" x14ac:dyDescent="0.25">
      <c r="A16" s="100" t="s">
        <v>122</v>
      </c>
      <c r="B16" s="100" t="s">
        <v>125</v>
      </c>
      <c r="C16" s="37" t="s">
        <v>250</v>
      </c>
      <c r="D16" s="42">
        <f>П6ВСР!Z38+П6ВСР!Z269</f>
        <v>12346449.779999999</v>
      </c>
      <c r="E16" s="42">
        <f>П6ВСР!AA38+П6ВСР!AA269</f>
        <v>12346449.779999999</v>
      </c>
      <c r="F16" s="42">
        <f>П6ВСР!AB38+П6ВСР!AB269</f>
        <v>12346449.779999999</v>
      </c>
    </row>
    <row r="17" spans="1:6" ht="15.75" hidden="1" x14ac:dyDescent="0.25">
      <c r="A17" s="100" t="s">
        <v>122</v>
      </c>
      <c r="B17" s="100" t="s">
        <v>138</v>
      </c>
      <c r="C17" s="37" t="s">
        <v>139</v>
      </c>
      <c r="D17" s="42">
        <f>П6ВСР!Z43</f>
        <v>0</v>
      </c>
      <c r="E17" s="42">
        <f>П6ВСР!AA42</f>
        <v>0</v>
      </c>
      <c r="F17" s="42">
        <f>П6ВСР!AB42</f>
        <v>0</v>
      </c>
    </row>
    <row r="18" spans="1:6" ht="15.75" x14ac:dyDescent="0.25">
      <c r="A18" s="100" t="s">
        <v>122</v>
      </c>
      <c r="B18" s="100" t="s">
        <v>128</v>
      </c>
      <c r="C18" s="37" t="s">
        <v>140</v>
      </c>
      <c r="D18" s="42">
        <f>П6ВСР!Z44</f>
        <v>351931</v>
      </c>
      <c r="E18" s="42">
        <f>П6ВСР!AA44</f>
        <v>351931</v>
      </c>
      <c r="F18" s="42">
        <f>П6ВСР!AB44</f>
        <v>351931</v>
      </c>
    </row>
    <row r="19" spans="1:6" ht="15.75" x14ac:dyDescent="0.25">
      <c r="A19" s="100" t="s">
        <v>122</v>
      </c>
      <c r="B19" s="100" t="s">
        <v>130</v>
      </c>
      <c r="C19" s="37" t="s">
        <v>141</v>
      </c>
      <c r="D19" s="42">
        <f>П6ВСР!Z47+П6ВСР!Z437</f>
        <v>28012547.189999998</v>
      </c>
      <c r="E19" s="42">
        <f>П6ВСР!AA47+П6ВСР!AA437</f>
        <v>28041189.960000001</v>
      </c>
      <c r="F19" s="42">
        <f>П6ВСР!AB47+П6ВСР!AB437</f>
        <v>28380054.119999997</v>
      </c>
    </row>
    <row r="20" spans="1:6" ht="31.5" x14ac:dyDescent="0.25">
      <c r="A20" s="99" t="s">
        <v>123</v>
      </c>
      <c r="B20" s="99" t="s">
        <v>133</v>
      </c>
      <c r="C20" s="45" t="s">
        <v>112</v>
      </c>
      <c r="D20" s="47">
        <f>D22+D23</f>
        <v>8493253.5999999996</v>
      </c>
      <c r="E20" s="47">
        <f>E22+E23</f>
        <v>3514339.99</v>
      </c>
      <c r="F20" s="47">
        <f>F22+F23</f>
        <v>3514339.99</v>
      </c>
    </row>
    <row r="21" spans="1:6" ht="15.75" hidden="1" x14ac:dyDescent="0.25">
      <c r="A21" s="100" t="s">
        <v>123</v>
      </c>
      <c r="B21" s="100" t="s">
        <v>132</v>
      </c>
      <c r="C21" s="37" t="s">
        <v>142</v>
      </c>
      <c r="D21" s="42">
        <v>0</v>
      </c>
      <c r="E21" s="42">
        <v>0</v>
      </c>
      <c r="F21" s="42">
        <v>0</v>
      </c>
    </row>
    <row r="22" spans="1:6" ht="34.5" customHeight="1" x14ac:dyDescent="0.25">
      <c r="A22" s="100" t="s">
        <v>123</v>
      </c>
      <c r="B22" s="100" t="s">
        <v>127</v>
      </c>
      <c r="C22" s="37" t="s">
        <v>251</v>
      </c>
      <c r="D22" s="42">
        <f>П6ВСР!Z70+П6ВСР!Z448</f>
        <v>8393253.5999999996</v>
      </c>
      <c r="E22" s="42">
        <f>П6ВСР!AA70+П6ВСР!AA448</f>
        <v>3414339.99</v>
      </c>
      <c r="F22" s="42">
        <f>П6ВСР!AB70+П6ВСР!AB448</f>
        <v>3414339.99</v>
      </c>
    </row>
    <row r="23" spans="1:6" ht="22.5" customHeight="1" x14ac:dyDescent="0.25">
      <c r="A23" s="100" t="s">
        <v>123</v>
      </c>
      <c r="B23" s="100" t="s">
        <v>143</v>
      </c>
      <c r="C23" s="37" t="s">
        <v>144</v>
      </c>
      <c r="D23" s="42">
        <f>П6ВСР!Z79</f>
        <v>100000</v>
      </c>
      <c r="E23" s="86">
        <f>П6ВСР!AA79</f>
        <v>100000</v>
      </c>
      <c r="F23" s="86">
        <f>П6ВСР!AB79</f>
        <v>100000</v>
      </c>
    </row>
    <row r="24" spans="1:6" ht="0.75" hidden="1" customHeight="1" x14ac:dyDescent="0.25">
      <c r="A24" s="100" t="s">
        <v>123</v>
      </c>
      <c r="B24" s="100" t="s">
        <v>131</v>
      </c>
      <c r="C24" s="37" t="s">
        <v>145</v>
      </c>
      <c r="D24" s="42">
        <v>0</v>
      </c>
      <c r="E24" s="101">
        <v>0</v>
      </c>
      <c r="F24" s="101">
        <v>0</v>
      </c>
    </row>
    <row r="25" spans="1:6" ht="15.75" x14ac:dyDescent="0.25">
      <c r="A25" s="99" t="s">
        <v>136</v>
      </c>
      <c r="B25" s="99" t="s">
        <v>133</v>
      </c>
      <c r="C25" s="45" t="s">
        <v>113</v>
      </c>
      <c r="D25" s="47">
        <f>D26+D27+D28+D29+D30+D31</f>
        <v>23059292.449999999</v>
      </c>
      <c r="E25" s="47">
        <f>E26+E27+E28+E29+E30+E31</f>
        <v>25437288.960000001</v>
      </c>
      <c r="F25" s="47">
        <f>F26+F27+F28+F29+F30+F31</f>
        <v>25437288.960000001</v>
      </c>
    </row>
    <row r="26" spans="1:6" ht="15.75" hidden="1" x14ac:dyDescent="0.25">
      <c r="A26" s="100" t="s">
        <v>136</v>
      </c>
      <c r="B26" s="100" t="s">
        <v>122</v>
      </c>
      <c r="C26" s="37" t="s">
        <v>146</v>
      </c>
      <c r="D26" s="42">
        <v>0</v>
      </c>
      <c r="E26" s="42">
        <v>0</v>
      </c>
      <c r="F26" s="42">
        <v>0</v>
      </c>
    </row>
    <row r="27" spans="1:6" ht="15" customHeight="1" x14ac:dyDescent="0.25">
      <c r="A27" s="100" t="s">
        <v>136</v>
      </c>
      <c r="B27" s="100" t="s">
        <v>124</v>
      </c>
      <c r="C27" s="37" t="s">
        <v>147</v>
      </c>
      <c r="D27" s="42">
        <f>П6ВСР!Z83</f>
        <v>246900</v>
      </c>
      <c r="E27" s="42">
        <f>П6ВСР!AA83</f>
        <v>246900</v>
      </c>
      <c r="F27" s="42">
        <f>П6ВСР!AB83</f>
        <v>246900</v>
      </c>
    </row>
    <row r="28" spans="1:6" ht="15.75" hidden="1" x14ac:dyDescent="0.25">
      <c r="A28" s="100" t="s">
        <v>136</v>
      </c>
      <c r="B28" s="100" t="s">
        <v>125</v>
      </c>
      <c r="C28" s="102" t="s">
        <v>252</v>
      </c>
      <c r="D28" s="42">
        <f>П6ВСР!Z106</f>
        <v>0</v>
      </c>
      <c r="E28" s="42">
        <f>П6ВСР!AA106</f>
        <v>0</v>
      </c>
      <c r="F28" s="42">
        <f>П6ВСР!AB106</f>
        <v>0</v>
      </c>
    </row>
    <row r="29" spans="1:6" ht="15.75" hidden="1" x14ac:dyDescent="0.25">
      <c r="A29" s="100" t="s">
        <v>136</v>
      </c>
      <c r="B29" s="100" t="s">
        <v>126</v>
      </c>
      <c r="C29" s="37" t="s">
        <v>148</v>
      </c>
      <c r="D29" s="42">
        <f>П6ВСР!Z111</f>
        <v>0</v>
      </c>
      <c r="E29" s="42">
        <f>П6ВСР!AA111</f>
        <v>0</v>
      </c>
      <c r="F29" s="42">
        <f>П6ВСР!AB111</f>
        <v>0</v>
      </c>
    </row>
    <row r="30" spans="1:6" ht="15.75" x14ac:dyDescent="0.25">
      <c r="A30" s="100" t="s">
        <v>136</v>
      </c>
      <c r="B30" s="100" t="s">
        <v>127</v>
      </c>
      <c r="C30" s="37" t="s">
        <v>520</v>
      </c>
      <c r="D30" s="42">
        <f>П6ВСР!Z134+П6ВСР!Z281</f>
        <v>22492392.449999999</v>
      </c>
      <c r="E30" s="42">
        <f>П6ВСР!AA134</f>
        <v>24990388.960000001</v>
      </c>
      <c r="F30" s="42">
        <f>П6ВСР!AB134</f>
        <v>24990388.960000001</v>
      </c>
    </row>
    <row r="31" spans="1:6" ht="15.75" x14ac:dyDescent="0.25">
      <c r="A31" s="100" t="s">
        <v>136</v>
      </c>
      <c r="B31" s="100" t="s">
        <v>129</v>
      </c>
      <c r="C31" s="37" t="s">
        <v>149</v>
      </c>
      <c r="D31" s="42">
        <f>П6ВСР!Z141+П6ВСР!Z288</f>
        <v>320000</v>
      </c>
      <c r="E31" s="42">
        <f>П6ВСР!AA141</f>
        <v>200000</v>
      </c>
      <c r="F31" s="42">
        <f>П6ВСР!AB141</f>
        <v>200000</v>
      </c>
    </row>
    <row r="32" spans="1:6" ht="15.75" x14ac:dyDescent="0.25">
      <c r="A32" s="99" t="s">
        <v>124</v>
      </c>
      <c r="B32" s="99" t="s">
        <v>133</v>
      </c>
      <c r="C32" s="45" t="s">
        <v>114</v>
      </c>
      <c r="D32" s="103">
        <f>D33+D34+D35+D36</f>
        <v>140232974.56</v>
      </c>
      <c r="E32" s="103">
        <f>E33+E34+E35+E36</f>
        <v>115774262.14</v>
      </c>
      <c r="F32" s="103">
        <f>F33+F34+F35+F36</f>
        <v>138235656.74000001</v>
      </c>
    </row>
    <row r="33" spans="1:6" ht="15.75" x14ac:dyDescent="0.25">
      <c r="A33" s="100" t="s">
        <v>124</v>
      </c>
      <c r="B33" s="100" t="s">
        <v>122</v>
      </c>
      <c r="C33" s="37" t="s">
        <v>150</v>
      </c>
      <c r="D33" s="42">
        <f>П6ВСР!Z151</f>
        <v>39475774.559999995</v>
      </c>
      <c r="E33" s="42">
        <f>П6ВСР!AA151</f>
        <v>13729536</v>
      </c>
      <c r="F33" s="42">
        <f>П6ВСР!AB151</f>
        <v>25561688.739999998</v>
      </c>
    </row>
    <row r="34" spans="1:6" ht="15.75" x14ac:dyDescent="0.25">
      <c r="A34" s="100" t="s">
        <v>124</v>
      </c>
      <c r="B34" s="100" t="s">
        <v>132</v>
      </c>
      <c r="C34" s="37" t="s">
        <v>151</v>
      </c>
      <c r="D34" s="42">
        <f>П6ВСР!Z162+П6ВСР!Z294</f>
        <v>97107200</v>
      </c>
      <c r="E34" s="42">
        <f>П6ВСР!AA162</f>
        <v>101314736.14</v>
      </c>
      <c r="F34" s="42">
        <f>П6ВСР!AB162</f>
        <v>112223968</v>
      </c>
    </row>
    <row r="35" spans="1:6" ht="15.75" x14ac:dyDescent="0.25">
      <c r="A35" s="100" t="s">
        <v>124</v>
      </c>
      <c r="B35" s="100" t="s">
        <v>123</v>
      </c>
      <c r="C35" s="102" t="s">
        <v>152</v>
      </c>
      <c r="D35" s="42">
        <f>П6ВСР!Z169+П6ВСР!Z305+П6ВСР!Z328+П6ВСР!Z316</f>
        <v>3650000</v>
      </c>
      <c r="E35" s="42">
        <f>П6ВСР!AA169</f>
        <v>729990</v>
      </c>
      <c r="F35" s="42">
        <f>П6ВСР!AB169</f>
        <v>450000</v>
      </c>
    </row>
    <row r="36" spans="1:6" ht="31.5" hidden="1" x14ac:dyDescent="0.25">
      <c r="A36" s="100" t="s">
        <v>124</v>
      </c>
      <c r="B36" s="100" t="s">
        <v>124</v>
      </c>
      <c r="C36" s="37" t="s">
        <v>153</v>
      </c>
      <c r="D36" s="42"/>
      <c r="E36" s="104"/>
      <c r="F36" s="104"/>
    </row>
    <row r="37" spans="1:6" ht="15.75" hidden="1" x14ac:dyDescent="0.25">
      <c r="A37" s="99" t="s">
        <v>125</v>
      </c>
      <c r="B37" s="99" t="s">
        <v>133</v>
      </c>
      <c r="C37" s="45" t="s">
        <v>115</v>
      </c>
      <c r="D37" s="47">
        <f>D38</f>
        <v>0</v>
      </c>
      <c r="E37" s="47">
        <f>E38</f>
        <v>0</v>
      </c>
      <c r="F37" s="47">
        <f>F38</f>
        <v>0</v>
      </c>
    </row>
    <row r="38" spans="1:6" ht="15.75" hidden="1" x14ac:dyDescent="0.25">
      <c r="A38" s="100" t="s">
        <v>125</v>
      </c>
      <c r="B38" s="100" t="s">
        <v>132</v>
      </c>
      <c r="C38" s="102" t="s">
        <v>154</v>
      </c>
      <c r="D38" s="42"/>
      <c r="E38" s="104"/>
      <c r="F38" s="104"/>
    </row>
    <row r="39" spans="1:6" ht="15.75" x14ac:dyDescent="0.25">
      <c r="A39" s="99" t="s">
        <v>138</v>
      </c>
      <c r="B39" s="99" t="s">
        <v>133</v>
      </c>
      <c r="C39" s="45" t="s">
        <v>116</v>
      </c>
      <c r="D39" s="47">
        <f>D40+D41+D43+D44+D42</f>
        <v>400020251.97999996</v>
      </c>
      <c r="E39" s="47">
        <f>E40+E41+E43+E44+E42</f>
        <v>407049045.74000001</v>
      </c>
      <c r="F39" s="47">
        <f>F40+F41+F43+F44+F42</f>
        <v>407909808.08000004</v>
      </c>
    </row>
    <row r="40" spans="1:6" ht="15.75" x14ac:dyDescent="0.25">
      <c r="A40" s="100" t="s">
        <v>138</v>
      </c>
      <c r="B40" s="100" t="s">
        <v>122</v>
      </c>
      <c r="C40" s="37" t="s">
        <v>155</v>
      </c>
      <c r="D40" s="42">
        <f>П6ВСР!Z344</f>
        <v>102836589.02000001</v>
      </c>
      <c r="E40" s="42">
        <f>П6ВСР!AA344</f>
        <v>99916814.579999998</v>
      </c>
      <c r="F40" s="42">
        <f>П6ВСР!AB344</f>
        <v>102849481.18000001</v>
      </c>
    </row>
    <row r="41" spans="1:6" ht="15.75" x14ac:dyDescent="0.25">
      <c r="A41" s="100" t="s">
        <v>138</v>
      </c>
      <c r="B41" s="100" t="s">
        <v>132</v>
      </c>
      <c r="C41" s="37" t="s">
        <v>156</v>
      </c>
      <c r="D41" s="42">
        <f>П6ВСР!Z187+П6ВСР!Z357+П6ВСР!Z452</f>
        <v>260674244</v>
      </c>
      <c r="E41" s="42">
        <f>П6ВСР!AA187+П6ВСР!AA357+П6ВСР!AA452</f>
        <v>270923952.06999999</v>
      </c>
      <c r="F41" s="42">
        <f>П6ВСР!AB187+П6ВСР!AB357+П6ВСР!AB452</f>
        <v>269017847.81</v>
      </c>
    </row>
    <row r="42" spans="1:6" ht="15.75" x14ac:dyDescent="0.25">
      <c r="A42" s="100" t="s">
        <v>138</v>
      </c>
      <c r="B42" s="100" t="s">
        <v>123</v>
      </c>
      <c r="C42" s="275" t="s">
        <v>849</v>
      </c>
      <c r="D42" s="42">
        <f>П6ВСР!Z455</f>
        <v>8030117</v>
      </c>
      <c r="E42" s="42">
        <f>П6ВСР!AA455</f>
        <v>8027959.6200000001</v>
      </c>
      <c r="F42" s="42">
        <f>П6ВСР!AB455</f>
        <v>8027959.6200000001</v>
      </c>
    </row>
    <row r="43" spans="1:6" ht="15.75" x14ac:dyDescent="0.25">
      <c r="A43" s="100" t="s">
        <v>138</v>
      </c>
      <c r="B43" s="100" t="s">
        <v>138</v>
      </c>
      <c r="C43" s="37" t="s">
        <v>794</v>
      </c>
      <c r="D43" s="42">
        <f>П6ВСР!Z190+П6ВСР!Z388</f>
        <v>3969600</v>
      </c>
      <c r="E43" s="42">
        <f>П6ВСР!AA190+П6ВСР!AA388</f>
        <v>3786100</v>
      </c>
      <c r="F43" s="42">
        <f>П6ВСР!AB190+П6ВСР!AB388</f>
        <v>3620300</v>
      </c>
    </row>
    <row r="44" spans="1:6" ht="15.75" x14ac:dyDescent="0.25">
      <c r="A44" s="100" t="s">
        <v>138</v>
      </c>
      <c r="B44" s="100" t="s">
        <v>127</v>
      </c>
      <c r="C44" s="37" t="s">
        <v>158</v>
      </c>
      <c r="D44" s="42">
        <f>П6ВСР!Z203+П6ВСР!Z399</f>
        <v>24509701.960000001</v>
      </c>
      <c r="E44" s="42">
        <f>П6ВСР!AA203+П6ВСР!AA399</f>
        <v>24394219.469999999</v>
      </c>
      <c r="F44" s="42">
        <f>П6ВСР!AB203+П6ВСР!AB399</f>
        <v>24394219.469999999</v>
      </c>
    </row>
    <row r="45" spans="1:6" ht="15.75" x14ac:dyDescent="0.25">
      <c r="A45" s="99" t="s">
        <v>126</v>
      </c>
      <c r="B45" s="99" t="s">
        <v>133</v>
      </c>
      <c r="C45" s="45" t="s">
        <v>253</v>
      </c>
      <c r="D45" s="47">
        <f>D46</f>
        <v>20377645.470000003</v>
      </c>
      <c r="E45" s="47">
        <f>E46</f>
        <v>20427645.470000003</v>
      </c>
      <c r="F45" s="47">
        <f>F46</f>
        <v>19677645.470000003</v>
      </c>
    </row>
    <row r="46" spans="1:6" ht="15" customHeight="1" x14ac:dyDescent="0.25">
      <c r="A46" s="100" t="s">
        <v>126</v>
      </c>
      <c r="B46" s="100" t="s">
        <v>122</v>
      </c>
      <c r="C46" s="37" t="s">
        <v>159</v>
      </c>
      <c r="D46" s="42">
        <f>П6ВСР!Z207+П6ВСР!Z458+П6ВСР!Z332</f>
        <v>20377645.470000003</v>
      </c>
      <c r="E46" s="42">
        <f>П6ВСР!AA207+П6ВСР!AA458</f>
        <v>20427645.470000003</v>
      </c>
      <c r="F46" s="42">
        <f>П6ВСР!AB207+П6ВСР!AB458</f>
        <v>19677645.470000003</v>
      </c>
    </row>
    <row r="47" spans="1:6" ht="0.75" hidden="1" customHeight="1" x14ac:dyDescent="0.25">
      <c r="A47" s="99" t="s">
        <v>127</v>
      </c>
      <c r="B47" s="99" t="s">
        <v>133</v>
      </c>
      <c r="C47" s="45" t="s">
        <v>117</v>
      </c>
      <c r="D47" s="47">
        <f>D49+D48</f>
        <v>0</v>
      </c>
      <c r="E47" s="47">
        <f>E49+E48</f>
        <v>0</v>
      </c>
      <c r="F47" s="47">
        <f>F49+F48</f>
        <v>0</v>
      </c>
    </row>
    <row r="48" spans="1:6" s="18" customFormat="1" ht="15.75" hidden="1" x14ac:dyDescent="0.25">
      <c r="A48" s="100" t="s">
        <v>127</v>
      </c>
      <c r="B48" s="100" t="s">
        <v>138</v>
      </c>
      <c r="C48" s="37" t="s">
        <v>160</v>
      </c>
      <c r="D48" s="42">
        <v>0</v>
      </c>
      <c r="E48" s="42">
        <v>0</v>
      </c>
      <c r="F48" s="42">
        <v>0</v>
      </c>
    </row>
    <row r="49" spans="1:6" ht="15.75" hidden="1" x14ac:dyDescent="0.25">
      <c r="A49" s="105" t="s">
        <v>127</v>
      </c>
      <c r="B49" s="105" t="s">
        <v>127</v>
      </c>
      <c r="C49" s="22" t="s">
        <v>161</v>
      </c>
      <c r="D49" s="42">
        <f>П6ВСР!Z220</f>
        <v>0</v>
      </c>
      <c r="E49" s="42">
        <f>П6ВСР!AA220</f>
        <v>0</v>
      </c>
      <c r="F49" s="42">
        <f>П6ВСР!AB220</f>
        <v>0</v>
      </c>
    </row>
    <row r="50" spans="1:6" ht="15.75" x14ac:dyDescent="0.25">
      <c r="A50" s="106" t="s">
        <v>143</v>
      </c>
      <c r="B50" s="106" t="s">
        <v>133</v>
      </c>
      <c r="C50" s="107" t="s">
        <v>118</v>
      </c>
      <c r="D50" s="47">
        <f>D51+D52+D53+D54</f>
        <v>35274770.399999999</v>
      </c>
      <c r="E50" s="47">
        <f>E51+E52+E53+E54</f>
        <v>35567316.020000003</v>
      </c>
      <c r="F50" s="47">
        <f>F51+F52+F53+F54</f>
        <v>35217636.019999996</v>
      </c>
    </row>
    <row r="51" spans="1:6" ht="15.75" x14ac:dyDescent="0.25">
      <c r="A51" s="105" t="s">
        <v>143</v>
      </c>
      <c r="B51" s="105" t="s">
        <v>122</v>
      </c>
      <c r="C51" s="22" t="s">
        <v>162</v>
      </c>
      <c r="D51" s="42">
        <f>П6ВСР!Z225+П6ВСР!Z411</f>
        <v>2096470.4</v>
      </c>
      <c r="E51" s="42">
        <f>П6ВСР!AA225+П6ВСР!AA411</f>
        <v>2160716.02</v>
      </c>
      <c r="F51" s="42">
        <f>П6ВСР!AB225+П6ВСР!AB411</f>
        <v>2161036.02</v>
      </c>
    </row>
    <row r="52" spans="1:6" ht="15.75" x14ac:dyDescent="0.25">
      <c r="A52" s="105" t="s">
        <v>143</v>
      </c>
      <c r="B52" s="105" t="s">
        <v>123</v>
      </c>
      <c r="C52" s="22" t="s">
        <v>163</v>
      </c>
      <c r="D52" s="42">
        <f>П6ВСР!Z230</f>
        <v>671000</v>
      </c>
      <c r="E52" s="42">
        <f>П6ВСР!AA230</f>
        <v>780000</v>
      </c>
      <c r="F52" s="42">
        <f>П6ВСР!AB230</f>
        <v>430000</v>
      </c>
    </row>
    <row r="53" spans="1:6" ht="15.75" x14ac:dyDescent="0.25">
      <c r="A53" s="105" t="s">
        <v>143</v>
      </c>
      <c r="B53" s="105" t="s">
        <v>136</v>
      </c>
      <c r="C53" s="22" t="s">
        <v>164</v>
      </c>
      <c r="D53" s="42">
        <f>П6ВСР!Z246+П6ВСР!Z415</f>
        <v>30757100</v>
      </c>
      <c r="E53" s="42">
        <f>П6ВСР!AA246+П6ВСР!AA415</f>
        <v>30876400</v>
      </c>
      <c r="F53" s="42">
        <f>П6ВСР!AB246+П6ВСР!AB415</f>
        <v>30876400</v>
      </c>
    </row>
    <row r="54" spans="1:6" ht="15.75" x14ac:dyDescent="0.25">
      <c r="A54" s="105" t="s">
        <v>143</v>
      </c>
      <c r="B54" s="105" t="s">
        <v>125</v>
      </c>
      <c r="C54" s="162" t="s">
        <v>857</v>
      </c>
      <c r="D54" s="42">
        <f>П6ВСР!Z431</f>
        <v>1750200</v>
      </c>
      <c r="E54" s="42">
        <f>П6ВСР!AA431</f>
        <v>1750200</v>
      </c>
      <c r="F54" s="42">
        <f>П6ВСР!AB431</f>
        <v>1750200</v>
      </c>
    </row>
    <row r="55" spans="1:6" ht="15.75" x14ac:dyDescent="0.25">
      <c r="A55" s="106" t="s">
        <v>128</v>
      </c>
      <c r="B55" s="106" t="s">
        <v>133</v>
      </c>
      <c r="C55" s="107" t="s">
        <v>165</v>
      </c>
      <c r="D55" s="47">
        <f>D56+D59</f>
        <v>1150000.0000000002</v>
      </c>
      <c r="E55" s="47">
        <f>E56+E59</f>
        <v>950000</v>
      </c>
      <c r="F55" s="47">
        <f>F56+F59</f>
        <v>250000</v>
      </c>
    </row>
    <row r="56" spans="1:6" ht="15.75" x14ac:dyDescent="0.25">
      <c r="A56" s="105" t="s">
        <v>128</v>
      </c>
      <c r="B56" s="105" t="s">
        <v>122</v>
      </c>
      <c r="C56" s="22" t="s">
        <v>254</v>
      </c>
      <c r="D56" s="42">
        <f>П6ВСР!Z252</f>
        <v>550000</v>
      </c>
      <c r="E56" s="42">
        <f>П6ВСР!AA252</f>
        <v>550000</v>
      </c>
      <c r="F56" s="42">
        <f>П6ВСР!AB252</f>
        <v>150000</v>
      </c>
    </row>
    <row r="57" spans="1:6" ht="31.5" hidden="1" x14ac:dyDescent="0.25">
      <c r="A57" s="105" t="s">
        <v>128</v>
      </c>
      <c r="B57" s="105" t="s">
        <v>136</v>
      </c>
      <c r="C57" s="22" t="s">
        <v>167</v>
      </c>
      <c r="D57" s="42">
        <v>0</v>
      </c>
      <c r="E57" s="101">
        <v>0</v>
      </c>
      <c r="F57" s="101">
        <v>0</v>
      </c>
    </row>
    <row r="58" spans="1:6" ht="15.75" hidden="1" x14ac:dyDescent="0.25">
      <c r="A58" s="105" t="s">
        <v>128</v>
      </c>
      <c r="B58" s="105" t="s">
        <v>124</v>
      </c>
      <c r="C58" s="85" t="s">
        <v>168</v>
      </c>
      <c r="D58" s="42">
        <v>0</v>
      </c>
      <c r="E58" s="101">
        <v>0</v>
      </c>
      <c r="F58" s="101">
        <v>0</v>
      </c>
    </row>
    <row r="59" spans="1:6" ht="15.75" x14ac:dyDescent="0.25">
      <c r="A59" s="105" t="s">
        <v>128</v>
      </c>
      <c r="B59" s="105" t="s">
        <v>132</v>
      </c>
      <c r="C59" s="85" t="s">
        <v>166</v>
      </c>
      <c r="D59" s="42">
        <f>П6ВСР!Z257</f>
        <v>600000.00000000023</v>
      </c>
      <c r="E59" s="42">
        <f>П6ВСР!AA257</f>
        <v>400000</v>
      </c>
      <c r="F59" s="42">
        <f>П6ВСР!AB257</f>
        <v>100000</v>
      </c>
    </row>
    <row r="60" spans="1:6" ht="31.5" hidden="1" x14ac:dyDescent="0.25">
      <c r="A60" s="106" t="s">
        <v>130</v>
      </c>
      <c r="B60" s="106" t="s">
        <v>133</v>
      </c>
      <c r="C60" s="108" t="s">
        <v>120</v>
      </c>
      <c r="D60" s="47">
        <f>D61</f>
        <v>0</v>
      </c>
      <c r="E60" s="47">
        <f>E61</f>
        <v>0</v>
      </c>
      <c r="F60" s="47">
        <f>F61</f>
        <v>0</v>
      </c>
    </row>
    <row r="61" spans="1:6" ht="31.5" hidden="1" x14ac:dyDescent="0.25">
      <c r="A61" s="105" t="s">
        <v>130</v>
      </c>
      <c r="B61" s="105" t="s">
        <v>122</v>
      </c>
      <c r="C61" s="85" t="s">
        <v>255</v>
      </c>
      <c r="D61" s="42">
        <f>П6ВСР!Z277</f>
        <v>0</v>
      </c>
      <c r="E61" s="42">
        <f>П6ВСР!AA277</f>
        <v>0</v>
      </c>
      <c r="F61" s="42">
        <f>П6ВСР!AB277</f>
        <v>0</v>
      </c>
    </row>
    <row r="62" spans="1:6" ht="47.25" x14ac:dyDescent="0.25">
      <c r="A62" s="106" t="s">
        <v>131</v>
      </c>
      <c r="B62" s="106" t="s">
        <v>133</v>
      </c>
      <c r="C62" s="108" t="s">
        <v>256</v>
      </c>
      <c r="D62" s="47">
        <f>D63</f>
        <v>20000000</v>
      </c>
      <c r="E62" s="47">
        <f>E63</f>
        <v>20000000</v>
      </c>
      <c r="F62" s="47">
        <f>F63</f>
        <v>20000000</v>
      </c>
    </row>
    <row r="63" spans="1:6" ht="47.25" x14ac:dyDescent="0.25">
      <c r="A63" s="105" t="s">
        <v>131</v>
      </c>
      <c r="B63" s="105" t="s">
        <v>122</v>
      </c>
      <c r="C63" s="85" t="s">
        <v>169</v>
      </c>
      <c r="D63" s="42">
        <f>П6ВСР!Z339</f>
        <v>20000000</v>
      </c>
      <c r="E63" s="42">
        <f>П6ВСР!AA339</f>
        <v>20000000</v>
      </c>
      <c r="F63" s="42">
        <f>П6ВСР!AB339</f>
        <v>20000000</v>
      </c>
    </row>
    <row r="64" spans="1:6" s="109" customFormat="1" ht="15.75" x14ac:dyDescent="0.25">
      <c r="A64" s="106" t="s">
        <v>133</v>
      </c>
      <c r="B64" s="106" t="s">
        <v>133</v>
      </c>
      <c r="C64" s="108" t="s">
        <v>110</v>
      </c>
      <c r="D64" s="47">
        <f>[1]П_6!I198</f>
        <v>0</v>
      </c>
      <c r="E64" s="47">
        <f>П6ВСР!AA265</f>
        <v>0</v>
      </c>
      <c r="F64" s="47">
        <f>П6ВСР!AB265</f>
        <v>0</v>
      </c>
    </row>
    <row r="65" spans="1:6" ht="18.75" customHeight="1" x14ac:dyDescent="0.25">
      <c r="A65" s="106" t="s">
        <v>170</v>
      </c>
      <c r="B65" s="106" t="s">
        <v>133</v>
      </c>
      <c r="C65" s="107" t="s">
        <v>171</v>
      </c>
      <c r="D65" s="47">
        <f>D11+D20+D25+D32+D39+D45+D47+D50+D55+D37+D60+D62</f>
        <v>724426057.34000003</v>
      </c>
      <c r="E65" s="47">
        <f>E11+E20+E25+E32+E39+E45+E47+E50+E55+E37+E60+E62+E64</f>
        <v>704368209.96000004</v>
      </c>
      <c r="F65" s="47">
        <f>F11+F20+F25+F32+F39+F45+F47+F50+F55+F37+F60+F62+F64</f>
        <v>726242950.96000004</v>
      </c>
    </row>
  </sheetData>
  <mergeCells count="9">
    <mergeCell ref="A9:A10"/>
    <mergeCell ref="B9:B10"/>
    <mergeCell ref="C9:C10"/>
    <mergeCell ref="D9:F9"/>
    <mergeCell ref="C1:F1"/>
    <mergeCell ref="C2:F2"/>
    <mergeCell ref="C3:F3"/>
    <mergeCell ref="C4:F4"/>
    <mergeCell ref="A7:F7"/>
  </mergeCells>
  <pageMargins left="0.70866141732283472" right="0.70866141732283472" top="0.74803149606299213" bottom="0.19685039370078741" header="0.31496062992125984" footer="0.31496062992125984"/>
  <pageSetup paperSize="9" scale="7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workbookViewId="0">
      <selection activeCell="A4" sqref="A4:D4"/>
    </sheetView>
  </sheetViews>
  <sheetFormatPr defaultRowHeight="15" x14ac:dyDescent="0.25"/>
  <cols>
    <col min="1" max="1" width="67.7109375" customWidth="1"/>
    <col min="2" max="4" width="20.7109375" customWidth="1"/>
    <col min="257" max="257" width="67.7109375" customWidth="1"/>
    <col min="258" max="260" width="20.7109375" customWidth="1"/>
    <col min="513" max="513" width="67.7109375" customWidth="1"/>
    <col min="514" max="516" width="20.7109375" customWidth="1"/>
    <col min="769" max="769" width="67.7109375" customWidth="1"/>
    <col min="770" max="772" width="20.7109375" customWidth="1"/>
    <col min="1025" max="1025" width="67.7109375" customWidth="1"/>
    <col min="1026" max="1028" width="20.7109375" customWidth="1"/>
    <col min="1281" max="1281" width="67.7109375" customWidth="1"/>
    <col min="1282" max="1284" width="20.7109375" customWidth="1"/>
    <col min="1537" max="1537" width="67.7109375" customWidth="1"/>
    <col min="1538" max="1540" width="20.7109375" customWidth="1"/>
    <col min="1793" max="1793" width="67.7109375" customWidth="1"/>
    <col min="1794" max="1796" width="20.7109375" customWidth="1"/>
    <col min="2049" max="2049" width="67.7109375" customWidth="1"/>
    <col min="2050" max="2052" width="20.7109375" customWidth="1"/>
    <col min="2305" max="2305" width="67.7109375" customWidth="1"/>
    <col min="2306" max="2308" width="20.7109375" customWidth="1"/>
    <col min="2561" max="2561" width="67.7109375" customWidth="1"/>
    <col min="2562" max="2564" width="20.7109375" customWidth="1"/>
    <col min="2817" max="2817" width="67.7109375" customWidth="1"/>
    <col min="2818" max="2820" width="20.7109375" customWidth="1"/>
    <col min="3073" max="3073" width="67.7109375" customWidth="1"/>
    <col min="3074" max="3076" width="20.7109375" customWidth="1"/>
    <col min="3329" max="3329" width="67.7109375" customWidth="1"/>
    <col min="3330" max="3332" width="20.7109375" customWidth="1"/>
    <col min="3585" max="3585" width="67.7109375" customWidth="1"/>
    <col min="3586" max="3588" width="20.7109375" customWidth="1"/>
    <col min="3841" max="3841" width="67.7109375" customWidth="1"/>
    <col min="3842" max="3844" width="20.7109375" customWidth="1"/>
    <col min="4097" max="4097" width="67.7109375" customWidth="1"/>
    <col min="4098" max="4100" width="20.7109375" customWidth="1"/>
    <col min="4353" max="4353" width="67.7109375" customWidth="1"/>
    <col min="4354" max="4356" width="20.7109375" customWidth="1"/>
    <col min="4609" max="4609" width="67.7109375" customWidth="1"/>
    <col min="4610" max="4612" width="20.7109375" customWidth="1"/>
    <col min="4865" max="4865" width="67.7109375" customWidth="1"/>
    <col min="4866" max="4868" width="20.7109375" customWidth="1"/>
    <col min="5121" max="5121" width="67.7109375" customWidth="1"/>
    <col min="5122" max="5124" width="20.7109375" customWidth="1"/>
    <col min="5377" max="5377" width="67.7109375" customWidth="1"/>
    <col min="5378" max="5380" width="20.7109375" customWidth="1"/>
    <col min="5633" max="5633" width="67.7109375" customWidth="1"/>
    <col min="5634" max="5636" width="20.7109375" customWidth="1"/>
    <col min="5889" max="5889" width="67.7109375" customWidth="1"/>
    <col min="5890" max="5892" width="20.7109375" customWidth="1"/>
    <col min="6145" max="6145" width="67.7109375" customWidth="1"/>
    <col min="6146" max="6148" width="20.7109375" customWidth="1"/>
    <col min="6401" max="6401" width="67.7109375" customWidth="1"/>
    <col min="6402" max="6404" width="20.7109375" customWidth="1"/>
    <col min="6657" max="6657" width="67.7109375" customWidth="1"/>
    <col min="6658" max="6660" width="20.7109375" customWidth="1"/>
    <col min="6913" max="6913" width="67.7109375" customWidth="1"/>
    <col min="6914" max="6916" width="20.7109375" customWidth="1"/>
    <col min="7169" max="7169" width="67.7109375" customWidth="1"/>
    <col min="7170" max="7172" width="20.7109375" customWidth="1"/>
    <col min="7425" max="7425" width="67.7109375" customWidth="1"/>
    <col min="7426" max="7428" width="20.7109375" customWidth="1"/>
    <col min="7681" max="7681" width="67.7109375" customWidth="1"/>
    <col min="7682" max="7684" width="20.7109375" customWidth="1"/>
    <col min="7937" max="7937" width="67.7109375" customWidth="1"/>
    <col min="7938" max="7940" width="20.7109375" customWidth="1"/>
    <col min="8193" max="8193" width="67.7109375" customWidth="1"/>
    <col min="8194" max="8196" width="20.7109375" customWidth="1"/>
    <col min="8449" max="8449" width="67.7109375" customWidth="1"/>
    <col min="8450" max="8452" width="20.7109375" customWidth="1"/>
    <col min="8705" max="8705" width="67.7109375" customWidth="1"/>
    <col min="8706" max="8708" width="20.7109375" customWidth="1"/>
    <col min="8961" max="8961" width="67.7109375" customWidth="1"/>
    <col min="8962" max="8964" width="20.7109375" customWidth="1"/>
    <col min="9217" max="9217" width="67.7109375" customWidth="1"/>
    <col min="9218" max="9220" width="20.7109375" customWidth="1"/>
    <col min="9473" max="9473" width="67.7109375" customWidth="1"/>
    <col min="9474" max="9476" width="20.7109375" customWidth="1"/>
    <col min="9729" max="9729" width="67.7109375" customWidth="1"/>
    <col min="9730" max="9732" width="20.7109375" customWidth="1"/>
    <col min="9985" max="9985" width="67.7109375" customWidth="1"/>
    <col min="9986" max="9988" width="20.7109375" customWidth="1"/>
    <col min="10241" max="10241" width="67.7109375" customWidth="1"/>
    <col min="10242" max="10244" width="20.7109375" customWidth="1"/>
    <col min="10497" max="10497" width="67.7109375" customWidth="1"/>
    <col min="10498" max="10500" width="20.7109375" customWidth="1"/>
    <col min="10753" max="10753" width="67.7109375" customWidth="1"/>
    <col min="10754" max="10756" width="20.7109375" customWidth="1"/>
    <col min="11009" max="11009" width="67.7109375" customWidth="1"/>
    <col min="11010" max="11012" width="20.7109375" customWidth="1"/>
    <col min="11265" max="11265" width="67.7109375" customWidth="1"/>
    <col min="11266" max="11268" width="20.7109375" customWidth="1"/>
    <col min="11521" max="11521" width="67.7109375" customWidth="1"/>
    <col min="11522" max="11524" width="20.7109375" customWidth="1"/>
    <col min="11777" max="11777" width="67.7109375" customWidth="1"/>
    <col min="11778" max="11780" width="20.7109375" customWidth="1"/>
    <col min="12033" max="12033" width="67.7109375" customWidth="1"/>
    <col min="12034" max="12036" width="20.7109375" customWidth="1"/>
    <col min="12289" max="12289" width="67.7109375" customWidth="1"/>
    <col min="12290" max="12292" width="20.7109375" customWidth="1"/>
    <col min="12545" max="12545" width="67.7109375" customWidth="1"/>
    <col min="12546" max="12548" width="20.7109375" customWidth="1"/>
    <col min="12801" max="12801" width="67.7109375" customWidth="1"/>
    <col min="12802" max="12804" width="20.7109375" customWidth="1"/>
    <col min="13057" max="13057" width="67.7109375" customWidth="1"/>
    <col min="13058" max="13060" width="20.7109375" customWidth="1"/>
    <col min="13313" max="13313" width="67.7109375" customWidth="1"/>
    <col min="13314" max="13316" width="20.7109375" customWidth="1"/>
    <col min="13569" max="13569" width="67.7109375" customWidth="1"/>
    <col min="13570" max="13572" width="20.7109375" customWidth="1"/>
    <col min="13825" max="13825" width="67.7109375" customWidth="1"/>
    <col min="13826" max="13828" width="20.7109375" customWidth="1"/>
    <col min="14081" max="14081" width="67.7109375" customWidth="1"/>
    <col min="14082" max="14084" width="20.7109375" customWidth="1"/>
    <col min="14337" max="14337" width="67.7109375" customWidth="1"/>
    <col min="14338" max="14340" width="20.7109375" customWidth="1"/>
    <col min="14593" max="14593" width="67.7109375" customWidth="1"/>
    <col min="14594" max="14596" width="20.7109375" customWidth="1"/>
    <col min="14849" max="14849" width="67.7109375" customWidth="1"/>
    <col min="14850" max="14852" width="20.7109375" customWidth="1"/>
    <col min="15105" max="15105" width="67.7109375" customWidth="1"/>
    <col min="15106" max="15108" width="20.7109375" customWidth="1"/>
    <col min="15361" max="15361" width="67.7109375" customWidth="1"/>
    <col min="15362" max="15364" width="20.7109375" customWidth="1"/>
    <col min="15617" max="15617" width="67.7109375" customWidth="1"/>
    <col min="15618" max="15620" width="20.7109375" customWidth="1"/>
    <col min="15873" max="15873" width="67.7109375" customWidth="1"/>
    <col min="15874" max="15876" width="20.7109375" customWidth="1"/>
    <col min="16129" max="16129" width="67.7109375" customWidth="1"/>
    <col min="16130" max="16132" width="20.7109375" customWidth="1"/>
  </cols>
  <sheetData>
    <row r="1" spans="1:4" ht="15.75" x14ac:dyDescent="0.25">
      <c r="A1" s="478" t="s">
        <v>1131</v>
      </c>
      <c r="B1" s="478"/>
      <c r="C1" s="478"/>
      <c r="D1" s="478"/>
    </row>
    <row r="2" spans="1:4" ht="15.75" x14ac:dyDescent="0.25">
      <c r="A2" s="478" t="s">
        <v>258</v>
      </c>
      <c r="B2" s="478"/>
      <c r="C2" s="478"/>
      <c r="D2" s="478"/>
    </row>
    <row r="3" spans="1:4" ht="15.75" x14ac:dyDescent="0.25">
      <c r="A3" s="478" t="s">
        <v>0</v>
      </c>
      <c r="B3" s="478"/>
      <c r="C3" s="478"/>
      <c r="D3" s="478"/>
    </row>
    <row r="4" spans="1:4" ht="15.75" x14ac:dyDescent="0.25">
      <c r="A4" s="478" t="s">
        <v>1356</v>
      </c>
      <c r="B4" s="478"/>
      <c r="C4" s="478"/>
      <c r="D4" s="478"/>
    </row>
    <row r="5" spans="1:4" ht="15.75" x14ac:dyDescent="0.25">
      <c r="A5" s="1"/>
      <c r="B5" s="1"/>
      <c r="C5" s="1"/>
      <c r="D5" s="1"/>
    </row>
    <row r="6" spans="1:4" ht="18" x14ac:dyDescent="0.25">
      <c r="A6" s="571" t="s">
        <v>259</v>
      </c>
      <c r="B6" s="571"/>
      <c r="C6" s="571"/>
      <c r="D6" s="571"/>
    </row>
    <row r="7" spans="1:4" ht="18" x14ac:dyDescent="0.25">
      <c r="A7" s="571" t="s">
        <v>1138</v>
      </c>
      <c r="B7" s="571"/>
      <c r="C7" s="571"/>
      <c r="D7" s="571"/>
    </row>
    <row r="8" spans="1:4" ht="15.75" x14ac:dyDescent="0.25">
      <c r="A8" s="1"/>
      <c r="B8" s="1"/>
      <c r="C8" s="1"/>
      <c r="D8" s="1"/>
    </row>
    <row r="9" spans="1:4" ht="15.75" x14ac:dyDescent="0.25">
      <c r="A9" s="482" t="s">
        <v>1</v>
      </c>
      <c r="B9" s="568" t="s">
        <v>174</v>
      </c>
      <c r="C9" s="569"/>
      <c r="D9" s="570"/>
    </row>
    <row r="10" spans="1:4" ht="15.75" x14ac:dyDescent="0.25">
      <c r="A10" s="483"/>
      <c r="B10" s="28">
        <v>2018</v>
      </c>
      <c r="C10" s="28">
        <v>2019</v>
      </c>
      <c r="D10" s="21">
        <v>2020</v>
      </c>
    </row>
    <row r="11" spans="1:4" ht="15.75" x14ac:dyDescent="0.25">
      <c r="A11" s="22" t="s">
        <v>260</v>
      </c>
      <c r="B11" s="42">
        <f>B13+B16+B19</f>
        <v>3965769.97</v>
      </c>
      <c r="C11" s="42">
        <f>C13+C16+C19</f>
        <v>0</v>
      </c>
      <c r="D11" s="42">
        <f>D13+D16+D19</f>
        <v>0</v>
      </c>
    </row>
    <row r="12" spans="1:4" ht="15.75" x14ac:dyDescent="0.25">
      <c r="A12" s="22" t="s">
        <v>109</v>
      </c>
      <c r="B12" s="22"/>
      <c r="C12" s="22"/>
      <c r="D12" s="23"/>
    </row>
    <row r="13" spans="1:4" ht="15.75" x14ac:dyDescent="0.25">
      <c r="A13" s="1" t="s">
        <v>175</v>
      </c>
      <c r="B13" s="23">
        <f>B14</f>
        <v>0</v>
      </c>
      <c r="C13" s="23">
        <f>C14</f>
        <v>0</v>
      </c>
      <c r="D13" s="23">
        <f>D14</f>
        <v>0</v>
      </c>
    </row>
    <row r="14" spans="1:4" ht="31.5" x14ac:dyDescent="0.25">
      <c r="A14" s="24" t="s">
        <v>176</v>
      </c>
      <c r="B14" s="25">
        <f>П3ИВФ!C12</f>
        <v>0</v>
      </c>
      <c r="C14" s="25">
        <f>П3ИВФ!D12</f>
        <v>0</v>
      </c>
      <c r="D14" s="25">
        <f>П3ИВФ!E12</f>
        <v>0</v>
      </c>
    </row>
    <row r="15" spans="1:4" ht="31.5" x14ac:dyDescent="0.25">
      <c r="A15" s="24" t="s">
        <v>177</v>
      </c>
      <c r="B15" s="25">
        <f>[1]П_3!C13</f>
        <v>0</v>
      </c>
      <c r="C15" s="25">
        <f>[1]П_3!D13</f>
        <v>0</v>
      </c>
      <c r="D15" s="25">
        <f>[1]П_3!E13</f>
        <v>0</v>
      </c>
    </row>
    <row r="16" spans="1:4" ht="31.5" x14ac:dyDescent="0.25">
      <c r="A16" s="22" t="s">
        <v>178</v>
      </c>
      <c r="B16" s="23">
        <f>B17+B18</f>
        <v>0</v>
      </c>
      <c r="C16" s="23">
        <f>C17+C18</f>
        <v>0</v>
      </c>
      <c r="D16" s="23">
        <f>D17+D18</f>
        <v>0</v>
      </c>
    </row>
    <row r="17" spans="1:4" ht="31.5" x14ac:dyDescent="0.25">
      <c r="A17" s="24" t="s">
        <v>179</v>
      </c>
      <c r="B17" s="25">
        <f>[1]П_3!C15</f>
        <v>0</v>
      </c>
      <c r="C17" s="25">
        <f>[1]П_3!D15</f>
        <v>0</v>
      </c>
      <c r="D17" s="25">
        <f>[1]П_3!E15</f>
        <v>0</v>
      </c>
    </row>
    <row r="18" spans="1:4" ht="31.5" x14ac:dyDescent="0.25">
      <c r="A18" s="24" t="s">
        <v>180</v>
      </c>
      <c r="B18" s="25">
        <f>П3ИВФ!C16</f>
        <v>0</v>
      </c>
      <c r="C18" s="25">
        <f>П3ИВФ!D16</f>
        <v>0</v>
      </c>
      <c r="D18" s="25">
        <f>П3ИВФ!E16</f>
        <v>0</v>
      </c>
    </row>
    <row r="19" spans="1:4" ht="31.5" x14ac:dyDescent="0.25">
      <c r="A19" s="24" t="s">
        <v>181</v>
      </c>
      <c r="B19" s="23">
        <f>B20+B21</f>
        <v>3965769.97</v>
      </c>
      <c r="C19" s="23">
        <f>C20+C21</f>
        <v>0</v>
      </c>
      <c r="D19" s="23">
        <f>D20+D21</f>
        <v>0</v>
      </c>
    </row>
    <row r="20" spans="1:4" ht="15.75" x14ac:dyDescent="0.25">
      <c r="A20" s="24" t="s">
        <v>182</v>
      </c>
      <c r="B20" s="25">
        <f>[1]П_3!C19</f>
        <v>0</v>
      </c>
      <c r="C20" s="25">
        <f>[1]П_3!D19</f>
        <v>0</v>
      </c>
      <c r="D20" s="25">
        <f>[1]П_3!E19</f>
        <v>0</v>
      </c>
    </row>
    <row r="21" spans="1:4" ht="31.5" x14ac:dyDescent="0.25">
      <c r="A21" s="24" t="s">
        <v>183</v>
      </c>
      <c r="B21" s="131">
        <f>П3ИВФ!C20</f>
        <v>3965769.97</v>
      </c>
      <c r="C21" s="131">
        <f>П3ИВФ!D20</f>
        <v>0</v>
      </c>
      <c r="D21" s="131">
        <f>П3ИВФ!E20</f>
        <v>0</v>
      </c>
    </row>
  </sheetData>
  <mergeCells count="8">
    <mergeCell ref="A9:A10"/>
    <mergeCell ref="B9:D9"/>
    <mergeCell ref="A1:D1"/>
    <mergeCell ref="A2:D2"/>
    <mergeCell ref="A3:D3"/>
    <mergeCell ref="A4:D4"/>
    <mergeCell ref="A6:D6"/>
    <mergeCell ref="A7:D7"/>
  </mergeCells>
  <pageMargins left="0.70866141732283472" right="0.39370078740157483" top="0.74803149606299213" bottom="0.74803149606299213" header="0.31496062992125984" footer="0.31496062992125984"/>
  <pageSetup paperSize="9" scale="7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D4" sqref="D4"/>
    </sheetView>
  </sheetViews>
  <sheetFormatPr defaultRowHeight="15" x14ac:dyDescent="0.25"/>
  <cols>
    <col min="1" max="1" width="30.5703125" customWidth="1"/>
    <col min="2" max="2" width="20.28515625" customWidth="1"/>
    <col min="3" max="3" width="21.42578125" customWidth="1"/>
    <col min="4" max="4" width="21" customWidth="1"/>
    <col min="257" max="257" width="30.5703125" customWidth="1"/>
    <col min="258" max="258" width="20.28515625" customWidth="1"/>
    <col min="259" max="259" width="21.42578125" customWidth="1"/>
    <col min="260" max="260" width="21" customWidth="1"/>
    <col min="513" max="513" width="30.5703125" customWidth="1"/>
    <col min="514" max="514" width="20.28515625" customWidth="1"/>
    <col min="515" max="515" width="21.42578125" customWidth="1"/>
    <col min="516" max="516" width="21" customWidth="1"/>
    <col min="769" max="769" width="30.5703125" customWidth="1"/>
    <col min="770" max="770" width="20.28515625" customWidth="1"/>
    <col min="771" max="771" width="21.42578125" customWidth="1"/>
    <col min="772" max="772" width="21" customWidth="1"/>
    <col min="1025" max="1025" width="30.5703125" customWidth="1"/>
    <col min="1026" max="1026" width="20.28515625" customWidth="1"/>
    <col min="1027" max="1027" width="21.42578125" customWidth="1"/>
    <col min="1028" max="1028" width="21" customWidth="1"/>
    <col min="1281" max="1281" width="30.5703125" customWidth="1"/>
    <col min="1282" max="1282" width="20.28515625" customWidth="1"/>
    <col min="1283" max="1283" width="21.42578125" customWidth="1"/>
    <col min="1284" max="1284" width="21" customWidth="1"/>
    <col min="1537" max="1537" width="30.5703125" customWidth="1"/>
    <col min="1538" max="1538" width="20.28515625" customWidth="1"/>
    <col min="1539" max="1539" width="21.42578125" customWidth="1"/>
    <col min="1540" max="1540" width="21" customWidth="1"/>
    <col min="1793" max="1793" width="30.5703125" customWidth="1"/>
    <col min="1794" max="1794" width="20.28515625" customWidth="1"/>
    <col min="1795" max="1795" width="21.42578125" customWidth="1"/>
    <col min="1796" max="1796" width="21" customWidth="1"/>
    <col min="2049" max="2049" width="30.5703125" customWidth="1"/>
    <col min="2050" max="2050" width="20.28515625" customWidth="1"/>
    <col min="2051" max="2051" width="21.42578125" customWidth="1"/>
    <col min="2052" max="2052" width="21" customWidth="1"/>
    <col min="2305" max="2305" width="30.5703125" customWidth="1"/>
    <col min="2306" max="2306" width="20.28515625" customWidth="1"/>
    <col min="2307" max="2307" width="21.42578125" customWidth="1"/>
    <col min="2308" max="2308" width="21" customWidth="1"/>
    <col min="2561" max="2561" width="30.5703125" customWidth="1"/>
    <col min="2562" max="2562" width="20.28515625" customWidth="1"/>
    <col min="2563" max="2563" width="21.42578125" customWidth="1"/>
    <col min="2564" max="2564" width="21" customWidth="1"/>
    <col min="2817" max="2817" width="30.5703125" customWidth="1"/>
    <col min="2818" max="2818" width="20.28515625" customWidth="1"/>
    <col min="2819" max="2819" width="21.42578125" customWidth="1"/>
    <col min="2820" max="2820" width="21" customWidth="1"/>
    <col min="3073" max="3073" width="30.5703125" customWidth="1"/>
    <col min="3074" max="3074" width="20.28515625" customWidth="1"/>
    <col min="3075" max="3075" width="21.42578125" customWidth="1"/>
    <col min="3076" max="3076" width="21" customWidth="1"/>
    <col min="3329" max="3329" width="30.5703125" customWidth="1"/>
    <col min="3330" max="3330" width="20.28515625" customWidth="1"/>
    <col min="3331" max="3331" width="21.42578125" customWidth="1"/>
    <col min="3332" max="3332" width="21" customWidth="1"/>
    <col min="3585" max="3585" width="30.5703125" customWidth="1"/>
    <col min="3586" max="3586" width="20.28515625" customWidth="1"/>
    <col min="3587" max="3587" width="21.42578125" customWidth="1"/>
    <col min="3588" max="3588" width="21" customWidth="1"/>
    <col min="3841" max="3841" width="30.5703125" customWidth="1"/>
    <col min="3842" max="3842" width="20.28515625" customWidth="1"/>
    <col min="3843" max="3843" width="21.42578125" customWidth="1"/>
    <col min="3844" max="3844" width="21" customWidth="1"/>
    <col min="4097" max="4097" width="30.5703125" customWidth="1"/>
    <col min="4098" max="4098" width="20.28515625" customWidth="1"/>
    <col min="4099" max="4099" width="21.42578125" customWidth="1"/>
    <col min="4100" max="4100" width="21" customWidth="1"/>
    <col min="4353" max="4353" width="30.5703125" customWidth="1"/>
    <col min="4354" max="4354" width="20.28515625" customWidth="1"/>
    <col min="4355" max="4355" width="21.42578125" customWidth="1"/>
    <col min="4356" max="4356" width="21" customWidth="1"/>
    <col min="4609" max="4609" width="30.5703125" customWidth="1"/>
    <col min="4610" max="4610" width="20.28515625" customWidth="1"/>
    <col min="4611" max="4611" width="21.42578125" customWidth="1"/>
    <col min="4612" max="4612" width="21" customWidth="1"/>
    <col min="4865" max="4865" width="30.5703125" customWidth="1"/>
    <col min="4866" max="4866" width="20.28515625" customWidth="1"/>
    <col min="4867" max="4867" width="21.42578125" customWidth="1"/>
    <col min="4868" max="4868" width="21" customWidth="1"/>
    <col min="5121" max="5121" width="30.5703125" customWidth="1"/>
    <col min="5122" max="5122" width="20.28515625" customWidth="1"/>
    <col min="5123" max="5123" width="21.42578125" customWidth="1"/>
    <col min="5124" max="5124" width="21" customWidth="1"/>
    <col min="5377" max="5377" width="30.5703125" customWidth="1"/>
    <col min="5378" max="5378" width="20.28515625" customWidth="1"/>
    <col min="5379" max="5379" width="21.42578125" customWidth="1"/>
    <col min="5380" max="5380" width="21" customWidth="1"/>
    <col min="5633" max="5633" width="30.5703125" customWidth="1"/>
    <col min="5634" max="5634" width="20.28515625" customWidth="1"/>
    <col min="5635" max="5635" width="21.42578125" customWidth="1"/>
    <col min="5636" max="5636" width="21" customWidth="1"/>
    <col min="5889" max="5889" width="30.5703125" customWidth="1"/>
    <col min="5890" max="5890" width="20.28515625" customWidth="1"/>
    <col min="5891" max="5891" width="21.42578125" customWidth="1"/>
    <col min="5892" max="5892" width="21" customWidth="1"/>
    <col min="6145" max="6145" width="30.5703125" customWidth="1"/>
    <col min="6146" max="6146" width="20.28515625" customWidth="1"/>
    <col min="6147" max="6147" width="21.42578125" customWidth="1"/>
    <col min="6148" max="6148" width="21" customWidth="1"/>
    <col min="6401" max="6401" width="30.5703125" customWidth="1"/>
    <col min="6402" max="6402" width="20.28515625" customWidth="1"/>
    <col min="6403" max="6403" width="21.42578125" customWidth="1"/>
    <col min="6404" max="6404" width="21" customWidth="1"/>
    <col min="6657" max="6657" width="30.5703125" customWidth="1"/>
    <col min="6658" max="6658" width="20.28515625" customWidth="1"/>
    <col min="6659" max="6659" width="21.42578125" customWidth="1"/>
    <col min="6660" max="6660" width="21" customWidth="1"/>
    <col min="6913" max="6913" width="30.5703125" customWidth="1"/>
    <col min="6914" max="6914" width="20.28515625" customWidth="1"/>
    <col min="6915" max="6915" width="21.42578125" customWidth="1"/>
    <col min="6916" max="6916" width="21" customWidth="1"/>
    <col min="7169" max="7169" width="30.5703125" customWidth="1"/>
    <col min="7170" max="7170" width="20.28515625" customWidth="1"/>
    <col min="7171" max="7171" width="21.42578125" customWidth="1"/>
    <col min="7172" max="7172" width="21" customWidth="1"/>
    <col min="7425" max="7425" width="30.5703125" customWidth="1"/>
    <col min="7426" max="7426" width="20.28515625" customWidth="1"/>
    <col min="7427" max="7427" width="21.42578125" customWidth="1"/>
    <col min="7428" max="7428" width="21" customWidth="1"/>
    <col min="7681" max="7681" width="30.5703125" customWidth="1"/>
    <col min="7682" max="7682" width="20.28515625" customWidth="1"/>
    <col min="7683" max="7683" width="21.42578125" customWidth="1"/>
    <col min="7684" max="7684" width="21" customWidth="1"/>
    <col min="7937" max="7937" width="30.5703125" customWidth="1"/>
    <col min="7938" max="7938" width="20.28515625" customWidth="1"/>
    <col min="7939" max="7939" width="21.42578125" customWidth="1"/>
    <col min="7940" max="7940" width="21" customWidth="1"/>
    <col min="8193" max="8193" width="30.5703125" customWidth="1"/>
    <col min="8194" max="8194" width="20.28515625" customWidth="1"/>
    <col min="8195" max="8195" width="21.42578125" customWidth="1"/>
    <col min="8196" max="8196" width="21" customWidth="1"/>
    <col min="8449" max="8449" width="30.5703125" customWidth="1"/>
    <col min="8450" max="8450" width="20.28515625" customWidth="1"/>
    <col min="8451" max="8451" width="21.42578125" customWidth="1"/>
    <col min="8452" max="8452" width="21" customWidth="1"/>
    <col min="8705" max="8705" width="30.5703125" customWidth="1"/>
    <col min="8706" max="8706" width="20.28515625" customWidth="1"/>
    <col min="8707" max="8707" width="21.42578125" customWidth="1"/>
    <col min="8708" max="8708" width="21" customWidth="1"/>
    <col min="8961" max="8961" width="30.5703125" customWidth="1"/>
    <col min="8962" max="8962" width="20.28515625" customWidth="1"/>
    <col min="8963" max="8963" width="21.42578125" customWidth="1"/>
    <col min="8964" max="8964" width="21" customWidth="1"/>
    <col min="9217" max="9217" width="30.5703125" customWidth="1"/>
    <col min="9218" max="9218" width="20.28515625" customWidth="1"/>
    <col min="9219" max="9219" width="21.42578125" customWidth="1"/>
    <col min="9220" max="9220" width="21" customWidth="1"/>
    <col min="9473" max="9473" width="30.5703125" customWidth="1"/>
    <col min="9474" max="9474" width="20.28515625" customWidth="1"/>
    <col min="9475" max="9475" width="21.42578125" customWidth="1"/>
    <col min="9476" max="9476" width="21" customWidth="1"/>
    <col min="9729" max="9729" width="30.5703125" customWidth="1"/>
    <col min="9730" max="9730" width="20.28515625" customWidth="1"/>
    <col min="9731" max="9731" width="21.42578125" customWidth="1"/>
    <col min="9732" max="9732" width="21" customWidth="1"/>
    <col min="9985" max="9985" width="30.5703125" customWidth="1"/>
    <col min="9986" max="9986" width="20.28515625" customWidth="1"/>
    <col min="9987" max="9987" width="21.42578125" customWidth="1"/>
    <col min="9988" max="9988" width="21" customWidth="1"/>
    <col min="10241" max="10241" width="30.5703125" customWidth="1"/>
    <col min="10242" max="10242" width="20.28515625" customWidth="1"/>
    <col min="10243" max="10243" width="21.42578125" customWidth="1"/>
    <col min="10244" max="10244" width="21" customWidth="1"/>
    <col min="10497" max="10497" width="30.5703125" customWidth="1"/>
    <col min="10498" max="10498" width="20.28515625" customWidth="1"/>
    <col min="10499" max="10499" width="21.42578125" customWidth="1"/>
    <col min="10500" max="10500" width="21" customWidth="1"/>
    <col min="10753" max="10753" width="30.5703125" customWidth="1"/>
    <col min="10754" max="10754" width="20.28515625" customWidth="1"/>
    <col min="10755" max="10755" width="21.42578125" customWidth="1"/>
    <col min="10756" max="10756" width="21" customWidth="1"/>
    <col min="11009" max="11009" width="30.5703125" customWidth="1"/>
    <col min="11010" max="11010" width="20.28515625" customWidth="1"/>
    <col min="11011" max="11011" width="21.42578125" customWidth="1"/>
    <col min="11012" max="11012" width="21" customWidth="1"/>
    <col min="11265" max="11265" width="30.5703125" customWidth="1"/>
    <col min="11266" max="11266" width="20.28515625" customWidth="1"/>
    <col min="11267" max="11267" width="21.42578125" customWidth="1"/>
    <col min="11268" max="11268" width="21" customWidth="1"/>
    <col min="11521" max="11521" width="30.5703125" customWidth="1"/>
    <col min="11522" max="11522" width="20.28515625" customWidth="1"/>
    <col min="11523" max="11523" width="21.42578125" customWidth="1"/>
    <col min="11524" max="11524" width="21" customWidth="1"/>
    <col min="11777" max="11777" width="30.5703125" customWidth="1"/>
    <col min="11778" max="11778" width="20.28515625" customWidth="1"/>
    <col min="11779" max="11779" width="21.42578125" customWidth="1"/>
    <col min="11780" max="11780" width="21" customWidth="1"/>
    <col min="12033" max="12033" width="30.5703125" customWidth="1"/>
    <col min="12034" max="12034" width="20.28515625" customWidth="1"/>
    <col min="12035" max="12035" width="21.42578125" customWidth="1"/>
    <col min="12036" max="12036" width="21" customWidth="1"/>
    <col min="12289" max="12289" width="30.5703125" customWidth="1"/>
    <col min="12290" max="12290" width="20.28515625" customWidth="1"/>
    <col min="12291" max="12291" width="21.42578125" customWidth="1"/>
    <col min="12292" max="12292" width="21" customWidth="1"/>
    <col min="12545" max="12545" width="30.5703125" customWidth="1"/>
    <col min="12546" max="12546" width="20.28515625" customWidth="1"/>
    <col min="12547" max="12547" width="21.42578125" customWidth="1"/>
    <col min="12548" max="12548" width="21" customWidth="1"/>
    <col min="12801" max="12801" width="30.5703125" customWidth="1"/>
    <col min="12802" max="12802" width="20.28515625" customWidth="1"/>
    <col min="12803" max="12803" width="21.42578125" customWidth="1"/>
    <col min="12804" max="12804" width="21" customWidth="1"/>
    <col min="13057" max="13057" width="30.5703125" customWidth="1"/>
    <col min="13058" max="13058" width="20.28515625" customWidth="1"/>
    <col min="13059" max="13059" width="21.42578125" customWidth="1"/>
    <col min="13060" max="13060" width="21" customWidth="1"/>
    <col min="13313" max="13313" width="30.5703125" customWidth="1"/>
    <col min="13314" max="13314" width="20.28515625" customWidth="1"/>
    <col min="13315" max="13315" width="21.42578125" customWidth="1"/>
    <col min="13316" max="13316" width="21" customWidth="1"/>
    <col min="13569" max="13569" width="30.5703125" customWidth="1"/>
    <col min="13570" max="13570" width="20.28515625" customWidth="1"/>
    <col min="13571" max="13571" width="21.42578125" customWidth="1"/>
    <col min="13572" max="13572" width="21" customWidth="1"/>
    <col min="13825" max="13825" width="30.5703125" customWidth="1"/>
    <col min="13826" max="13826" width="20.28515625" customWidth="1"/>
    <col min="13827" max="13827" width="21.42578125" customWidth="1"/>
    <col min="13828" max="13828" width="21" customWidth="1"/>
    <col min="14081" max="14081" width="30.5703125" customWidth="1"/>
    <col min="14082" max="14082" width="20.28515625" customWidth="1"/>
    <col min="14083" max="14083" width="21.42578125" customWidth="1"/>
    <col min="14084" max="14084" width="21" customWidth="1"/>
    <col min="14337" max="14337" width="30.5703125" customWidth="1"/>
    <col min="14338" max="14338" width="20.28515625" customWidth="1"/>
    <col min="14339" max="14339" width="21.42578125" customWidth="1"/>
    <col min="14340" max="14340" width="21" customWidth="1"/>
    <col min="14593" max="14593" width="30.5703125" customWidth="1"/>
    <col min="14594" max="14594" width="20.28515625" customWidth="1"/>
    <col min="14595" max="14595" width="21.42578125" customWidth="1"/>
    <col min="14596" max="14596" width="21" customWidth="1"/>
    <col min="14849" max="14849" width="30.5703125" customWidth="1"/>
    <col min="14850" max="14850" width="20.28515625" customWidth="1"/>
    <col min="14851" max="14851" width="21.42578125" customWidth="1"/>
    <col min="14852" max="14852" width="21" customWidth="1"/>
    <col min="15105" max="15105" width="30.5703125" customWidth="1"/>
    <col min="15106" max="15106" width="20.28515625" customWidth="1"/>
    <col min="15107" max="15107" width="21.42578125" customWidth="1"/>
    <col min="15108" max="15108" width="21" customWidth="1"/>
    <col min="15361" max="15361" width="30.5703125" customWidth="1"/>
    <col min="15362" max="15362" width="20.28515625" customWidth="1"/>
    <col min="15363" max="15363" width="21.42578125" customWidth="1"/>
    <col min="15364" max="15364" width="21" customWidth="1"/>
    <col min="15617" max="15617" width="30.5703125" customWidth="1"/>
    <col min="15618" max="15618" width="20.28515625" customWidth="1"/>
    <col min="15619" max="15619" width="21.42578125" customWidth="1"/>
    <col min="15620" max="15620" width="21" customWidth="1"/>
    <col min="15873" max="15873" width="30.5703125" customWidth="1"/>
    <col min="15874" max="15874" width="20.28515625" customWidth="1"/>
    <col min="15875" max="15875" width="21.42578125" customWidth="1"/>
    <col min="15876" max="15876" width="21" customWidth="1"/>
    <col min="16129" max="16129" width="30.5703125" customWidth="1"/>
    <col min="16130" max="16130" width="20.28515625" customWidth="1"/>
    <col min="16131" max="16131" width="21.42578125" customWidth="1"/>
    <col min="16132" max="16132" width="21" customWidth="1"/>
  </cols>
  <sheetData>
    <row r="1" spans="1:4" ht="15.75" x14ac:dyDescent="0.25">
      <c r="A1" s="1"/>
      <c r="B1" s="1"/>
      <c r="C1" s="1"/>
      <c r="D1" s="361" t="s">
        <v>1158</v>
      </c>
    </row>
    <row r="2" spans="1:4" ht="15.75" x14ac:dyDescent="0.25">
      <c r="A2" s="1"/>
      <c r="B2" s="1"/>
      <c r="C2" s="1"/>
      <c r="D2" s="361" t="s">
        <v>30</v>
      </c>
    </row>
    <row r="3" spans="1:4" ht="15.75" x14ac:dyDescent="0.25">
      <c r="A3" s="1"/>
      <c r="B3" s="1"/>
      <c r="C3" s="1"/>
      <c r="D3" s="361" t="s">
        <v>257</v>
      </c>
    </row>
    <row r="4" spans="1:4" ht="15.75" x14ac:dyDescent="0.25">
      <c r="A4" s="1"/>
      <c r="B4" s="1"/>
      <c r="C4" s="1"/>
      <c r="D4" s="2" t="s">
        <v>1356</v>
      </c>
    </row>
    <row r="5" spans="1:4" ht="15.75" x14ac:dyDescent="0.25">
      <c r="A5" s="1"/>
      <c r="B5" s="1"/>
      <c r="C5" s="1"/>
      <c r="D5" s="29"/>
    </row>
    <row r="6" spans="1:4" ht="18" x14ac:dyDescent="0.25">
      <c r="A6" s="571" t="s">
        <v>1159</v>
      </c>
      <c r="B6" s="571"/>
      <c r="C6" s="571"/>
      <c r="D6" s="571"/>
    </row>
    <row r="7" spans="1:4" ht="18" x14ac:dyDescent="0.25">
      <c r="A7" s="571" t="s">
        <v>1138</v>
      </c>
      <c r="B7" s="571"/>
      <c r="C7" s="571"/>
      <c r="D7" s="571"/>
    </row>
    <row r="8" spans="1:4" ht="15.75" x14ac:dyDescent="0.25">
      <c r="A8" s="1"/>
      <c r="B8" s="1"/>
      <c r="C8" s="1"/>
      <c r="D8" s="29"/>
    </row>
    <row r="9" spans="1:4" ht="15.75" x14ac:dyDescent="0.25">
      <c r="A9" s="480" t="s">
        <v>1160</v>
      </c>
      <c r="B9" s="548" t="s">
        <v>246</v>
      </c>
      <c r="C9" s="548"/>
      <c r="D9" s="548"/>
    </row>
    <row r="10" spans="1:4" ht="15.75" x14ac:dyDescent="0.25">
      <c r="A10" s="481"/>
      <c r="B10" s="359">
        <v>2018</v>
      </c>
      <c r="C10" s="359">
        <v>2019</v>
      </c>
      <c r="D10" s="360">
        <v>2020</v>
      </c>
    </row>
    <row r="11" spans="1:4" ht="15.75" x14ac:dyDescent="0.25">
      <c r="A11" s="27" t="s">
        <v>1161</v>
      </c>
      <c r="B11" s="112">
        <v>4130801</v>
      </c>
      <c r="C11" s="112">
        <v>4130801</v>
      </c>
      <c r="D11" s="112">
        <v>4130801</v>
      </c>
    </row>
    <row r="12" spans="1:4" ht="15.75" x14ac:dyDescent="0.25">
      <c r="A12" s="27" t="s">
        <v>1162</v>
      </c>
      <c r="B12" s="112">
        <v>2719825</v>
      </c>
      <c r="C12" s="112">
        <v>2719825</v>
      </c>
      <c r="D12" s="112">
        <v>2719825</v>
      </c>
    </row>
    <row r="13" spans="1:4" ht="15.75" x14ac:dyDescent="0.25">
      <c r="A13" s="27" t="s">
        <v>1163</v>
      </c>
      <c r="B13" s="112">
        <v>0</v>
      </c>
      <c r="C13" s="112">
        <v>0</v>
      </c>
      <c r="D13" s="112">
        <v>0</v>
      </c>
    </row>
    <row r="14" spans="1:4" ht="15.75" x14ac:dyDescent="0.25">
      <c r="A14" s="27" t="s">
        <v>1164</v>
      </c>
      <c r="B14" s="112">
        <v>2466526</v>
      </c>
      <c r="C14" s="112">
        <v>2466526</v>
      </c>
      <c r="D14" s="112">
        <v>2466526</v>
      </c>
    </row>
    <row r="15" spans="1:4" ht="15.75" x14ac:dyDescent="0.25">
      <c r="A15" s="27" t="s">
        <v>905</v>
      </c>
      <c r="B15" s="112">
        <v>0</v>
      </c>
      <c r="C15" s="112">
        <v>0</v>
      </c>
      <c r="D15" s="112">
        <v>0</v>
      </c>
    </row>
    <row r="16" spans="1:4" ht="15.75" x14ac:dyDescent="0.25">
      <c r="A16" s="27" t="s">
        <v>1165</v>
      </c>
      <c r="B16" s="112">
        <v>2463658</v>
      </c>
      <c r="C16" s="112">
        <v>2463658</v>
      </c>
      <c r="D16" s="112">
        <v>2463658</v>
      </c>
    </row>
    <row r="17" spans="1:4" ht="15.75" x14ac:dyDescent="0.25">
      <c r="A17" s="27" t="s">
        <v>1166</v>
      </c>
      <c r="B17" s="112">
        <v>3445879</v>
      </c>
      <c r="C17" s="112">
        <v>3445879</v>
      </c>
      <c r="D17" s="112">
        <v>3445879</v>
      </c>
    </row>
    <row r="18" spans="1:4" ht="15.75" x14ac:dyDescent="0.25">
      <c r="A18" s="27" t="s">
        <v>1167</v>
      </c>
      <c r="B18" s="112">
        <v>4773311</v>
      </c>
      <c r="C18" s="112">
        <v>4773311</v>
      </c>
      <c r="D18" s="112">
        <v>4773311</v>
      </c>
    </row>
    <row r="19" spans="1:4" ht="15.75" x14ac:dyDescent="0.25">
      <c r="A19" s="27" t="s">
        <v>1168</v>
      </c>
      <c r="B19" s="112">
        <v>0</v>
      </c>
      <c r="C19" s="112">
        <v>0</v>
      </c>
      <c r="D19" s="112">
        <v>0</v>
      </c>
    </row>
    <row r="20" spans="1:4" ht="15.75" x14ac:dyDescent="0.25">
      <c r="A20" s="362" t="s">
        <v>1169</v>
      </c>
      <c r="B20" s="363">
        <f>SUM(B11:B19)</f>
        <v>20000000</v>
      </c>
      <c r="C20" s="363">
        <f>SUM(C11:C19)</f>
        <v>20000000</v>
      </c>
      <c r="D20" s="363">
        <f>SUM(D11:D19)</f>
        <v>20000000</v>
      </c>
    </row>
  </sheetData>
  <mergeCells count="4">
    <mergeCell ref="A6:D6"/>
    <mergeCell ref="A7:D7"/>
    <mergeCell ref="A9:A10"/>
    <mergeCell ref="B9:D9"/>
  </mergeCells>
  <pageMargins left="0.70866141732283472" right="0.70866141732283472" top="0.74803149606299213" bottom="0.74803149606299213" header="0.31496062992125984" footer="0.31496062992125984"/>
  <pageSetup paperSize="9" scale="93" fitToHeight="0"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workbookViewId="0">
      <selection activeCell="C4" sqref="C4:D4"/>
    </sheetView>
  </sheetViews>
  <sheetFormatPr defaultRowHeight="15.75" x14ac:dyDescent="0.25"/>
  <cols>
    <col min="1" max="1" width="33.140625" style="3" customWidth="1"/>
    <col min="2" max="4" width="17.7109375" style="3" customWidth="1"/>
    <col min="5" max="256" width="9.140625" style="3"/>
    <col min="257" max="257" width="33.140625" style="3" customWidth="1"/>
    <col min="258" max="260" width="17.7109375" style="3" customWidth="1"/>
    <col min="261" max="512" width="9.140625" style="3"/>
    <col min="513" max="513" width="33.140625" style="3" customWidth="1"/>
    <col min="514" max="516" width="17.7109375" style="3" customWidth="1"/>
    <col min="517" max="768" width="9.140625" style="3"/>
    <col min="769" max="769" width="33.140625" style="3" customWidth="1"/>
    <col min="770" max="772" width="17.7109375" style="3" customWidth="1"/>
    <col min="773" max="1024" width="9.140625" style="3"/>
    <col min="1025" max="1025" width="33.140625" style="3" customWidth="1"/>
    <col min="1026" max="1028" width="17.7109375" style="3" customWidth="1"/>
    <col min="1029" max="1280" width="9.140625" style="3"/>
    <col min="1281" max="1281" width="33.140625" style="3" customWidth="1"/>
    <col min="1282" max="1284" width="17.7109375" style="3" customWidth="1"/>
    <col min="1285" max="1536" width="9.140625" style="3"/>
    <col min="1537" max="1537" width="33.140625" style="3" customWidth="1"/>
    <col min="1538" max="1540" width="17.7109375" style="3" customWidth="1"/>
    <col min="1541" max="1792" width="9.140625" style="3"/>
    <col min="1793" max="1793" width="33.140625" style="3" customWidth="1"/>
    <col min="1794" max="1796" width="17.7109375" style="3" customWidth="1"/>
    <col min="1797" max="2048" width="9.140625" style="3"/>
    <col min="2049" max="2049" width="33.140625" style="3" customWidth="1"/>
    <col min="2050" max="2052" width="17.7109375" style="3" customWidth="1"/>
    <col min="2053" max="2304" width="9.140625" style="3"/>
    <col min="2305" max="2305" width="33.140625" style="3" customWidth="1"/>
    <col min="2306" max="2308" width="17.7109375" style="3" customWidth="1"/>
    <col min="2309" max="2560" width="9.140625" style="3"/>
    <col min="2561" max="2561" width="33.140625" style="3" customWidth="1"/>
    <col min="2562" max="2564" width="17.7109375" style="3" customWidth="1"/>
    <col min="2565" max="2816" width="9.140625" style="3"/>
    <col min="2817" max="2817" width="33.140625" style="3" customWidth="1"/>
    <col min="2818" max="2820" width="17.7109375" style="3" customWidth="1"/>
    <col min="2821" max="3072" width="9.140625" style="3"/>
    <col min="3073" max="3073" width="33.140625" style="3" customWidth="1"/>
    <col min="3074" max="3076" width="17.7109375" style="3" customWidth="1"/>
    <col min="3077" max="3328" width="9.140625" style="3"/>
    <col min="3329" max="3329" width="33.140625" style="3" customWidth="1"/>
    <col min="3330" max="3332" width="17.7109375" style="3" customWidth="1"/>
    <col min="3333" max="3584" width="9.140625" style="3"/>
    <col min="3585" max="3585" width="33.140625" style="3" customWidth="1"/>
    <col min="3586" max="3588" width="17.7109375" style="3" customWidth="1"/>
    <col min="3589" max="3840" width="9.140625" style="3"/>
    <col min="3841" max="3841" width="33.140625" style="3" customWidth="1"/>
    <col min="3842" max="3844" width="17.7109375" style="3" customWidth="1"/>
    <col min="3845" max="4096" width="9.140625" style="3"/>
    <col min="4097" max="4097" width="33.140625" style="3" customWidth="1"/>
    <col min="4098" max="4100" width="17.7109375" style="3" customWidth="1"/>
    <col min="4101" max="4352" width="9.140625" style="3"/>
    <col min="4353" max="4353" width="33.140625" style="3" customWidth="1"/>
    <col min="4354" max="4356" width="17.7109375" style="3" customWidth="1"/>
    <col min="4357" max="4608" width="9.140625" style="3"/>
    <col min="4609" max="4609" width="33.140625" style="3" customWidth="1"/>
    <col min="4610" max="4612" width="17.7109375" style="3" customWidth="1"/>
    <col min="4613" max="4864" width="9.140625" style="3"/>
    <col min="4865" max="4865" width="33.140625" style="3" customWidth="1"/>
    <col min="4866" max="4868" width="17.7109375" style="3" customWidth="1"/>
    <col min="4869" max="5120" width="9.140625" style="3"/>
    <col min="5121" max="5121" width="33.140625" style="3" customWidth="1"/>
    <col min="5122" max="5124" width="17.7109375" style="3" customWidth="1"/>
    <col min="5125" max="5376" width="9.140625" style="3"/>
    <col min="5377" max="5377" width="33.140625" style="3" customWidth="1"/>
    <col min="5378" max="5380" width="17.7109375" style="3" customWidth="1"/>
    <col min="5381" max="5632" width="9.140625" style="3"/>
    <col min="5633" max="5633" width="33.140625" style="3" customWidth="1"/>
    <col min="5634" max="5636" width="17.7109375" style="3" customWidth="1"/>
    <col min="5637" max="5888" width="9.140625" style="3"/>
    <col min="5889" max="5889" width="33.140625" style="3" customWidth="1"/>
    <col min="5890" max="5892" width="17.7109375" style="3" customWidth="1"/>
    <col min="5893" max="6144" width="9.140625" style="3"/>
    <col min="6145" max="6145" width="33.140625" style="3" customWidth="1"/>
    <col min="6146" max="6148" width="17.7109375" style="3" customWidth="1"/>
    <col min="6149" max="6400" width="9.140625" style="3"/>
    <col min="6401" max="6401" width="33.140625" style="3" customWidth="1"/>
    <col min="6402" max="6404" width="17.7109375" style="3" customWidth="1"/>
    <col min="6405" max="6656" width="9.140625" style="3"/>
    <col min="6657" max="6657" width="33.140625" style="3" customWidth="1"/>
    <col min="6658" max="6660" width="17.7109375" style="3" customWidth="1"/>
    <col min="6661" max="6912" width="9.140625" style="3"/>
    <col min="6913" max="6913" width="33.140625" style="3" customWidth="1"/>
    <col min="6914" max="6916" width="17.7109375" style="3" customWidth="1"/>
    <col min="6917" max="7168" width="9.140625" style="3"/>
    <col min="7169" max="7169" width="33.140625" style="3" customWidth="1"/>
    <col min="7170" max="7172" width="17.7109375" style="3" customWidth="1"/>
    <col min="7173" max="7424" width="9.140625" style="3"/>
    <col min="7425" max="7425" width="33.140625" style="3" customWidth="1"/>
    <col min="7426" max="7428" width="17.7109375" style="3" customWidth="1"/>
    <col min="7429" max="7680" width="9.140625" style="3"/>
    <col min="7681" max="7681" width="33.140625" style="3" customWidth="1"/>
    <col min="7682" max="7684" width="17.7109375" style="3" customWidth="1"/>
    <col min="7685" max="7936" width="9.140625" style="3"/>
    <col min="7937" max="7937" width="33.140625" style="3" customWidth="1"/>
    <col min="7938" max="7940" width="17.7109375" style="3" customWidth="1"/>
    <col min="7941" max="8192" width="9.140625" style="3"/>
    <col min="8193" max="8193" width="33.140625" style="3" customWidth="1"/>
    <col min="8194" max="8196" width="17.7109375" style="3" customWidth="1"/>
    <col min="8197" max="8448" width="9.140625" style="3"/>
    <col min="8449" max="8449" width="33.140625" style="3" customWidth="1"/>
    <col min="8450" max="8452" width="17.7109375" style="3" customWidth="1"/>
    <col min="8453" max="8704" width="9.140625" style="3"/>
    <col min="8705" max="8705" width="33.140625" style="3" customWidth="1"/>
    <col min="8706" max="8708" width="17.7109375" style="3" customWidth="1"/>
    <col min="8709" max="8960" width="9.140625" style="3"/>
    <col min="8961" max="8961" width="33.140625" style="3" customWidth="1"/>
    <col min="8962" max="8964" width="17.7109375" style="3" customWidth="1"/>
    <col min="8965" max="9216" width="9.140625" style="3"/>
    <col min="9217" max="9217" width="33.140625" style="3" customWidth="1"/>
    <col min="9218" max="9220" width="17.7109375" style="3" customWidth="1"/>
    <col min="9221" max="9472" width="9.140625" style="3"/>
    <col min="9473" max="9473" width="33.140625" style="3" customWidth="1"/>
    <col min="9474" max="9476" width="17.7109375" style="3" customWidth="1"/>
    <col min="9477" max="9728" width="9.140625" style="3"/>
    <col min="9729" max="9729" width="33.140625" style="3" customWidth="1"/>
    <col min="9730" max="9732" width="17.7109375" style="3" customWidth="1"/>
    <col min="9733" max="9984" width="9.140625" style="3"/>
    <col min="9985" max="9985" width="33.140625" style="3" customWidth="1"/>
    <col min="9986" max="9988" width="17.7109375" style="3" customWidth="1"/>
    <col min="9989" max="10240" width="9.140625" style="3"/>
    <col min="10241" max="10241" width="33.140625" style="3" customWidth="1"/>
    <col min="10242" max="10244" width="17.7109375" style="3" customWidth="1"/>
    <col min="10245" max="10496" width="9.140625" style="3"/>
    <col min="10497" max="10497" width="33.140625" style="3" customWidth="1"/>
    <col min="10498" max="10500" width="17.7109375" style="3" customWidth="1"/>
    <col min="10501" max="10752" width="9.140625" style="3"/>
    <col min="10753" max="10753" width="33.140625" style="3" customWidth="1"/>
    <col min="10754" max="10756" width="17.7109375" style="3" customWidth="1"/>
    <col min="10757" max="11008" width="9.140625" style="3"/>
    <col min="11009" max="11009" width="33.140625" style="3" customWidth="1"/>
    <col min="11010" max="11012" width="17.7109375" style="3" customWidth="1"/>
    <col min="11013" max="11264" width="9.140625" style="3"/>
    <col min="11265" max="11265" width="33.140625" style="3" customWidth="1"/>
    <col min="11266" max="11268" width="17.7109375" style="3" customWidth="1"/>
    <col min="11269" max="11520" width="9.140625" style="3"/>
    <col min="11521" max="11521" width="33.140625" style="3" customWidth="1"/>
    <col min="11522" max="11524" width="17.7109375" style="3" customWidth="1"/>
    <col min="11525" max="11776" width="9.140625" style="3"/>
    <col min="11777" max="11777" width="33.140625" style="3" customWidth="1"/>
    <col min="11778" max="11780" width="17.7109375" style="3" customWidth="1"/>
    <col min="11781" max="12032" width="9.140625" style="3"/>
    <col min="12033" max="12033" width="33.140625" style="3" customWidth="1"/>
    <col min="12034" max="12036" width="17.7109375" style="3" customWidth="1"/>
    <col min="12037" max="12288" width="9.140625" style="3"/>
    <col min="12289" max="12289" width="33.140625" style="3" customWidth="1"/>
    <col min="12290" max="12292" width="17.7109375" style="3" customWidth="1"/>
    <col min="12293" max="12544" width="9.140625" style="3"/>
    <col min="12545" max="12545" width="33.140625" style="3" customWidth="1"/>
    <col min="12546" max="12548" width="17.7109375" style="3" customWidth="1"/>
    <col min="12549" max="12800" width="9.140625" style="3"/>
    <col min="12801" max="12801" width="33.140625" style="3" customWidth="1"/>
    <col min="12802" max="12804" width="17.7109375" style="3" customWidth="1"/>
    <col min="12805" max="13056" width="9.140625" style="3"/>
    <col min="13057" max="13057" width="33.140625" style="3" customWidth="1"/>
    <col min="13058" max="13060" width="17.7109375" style="3" customWidth="1"/>
    <col min="13061" max="13312" width="9.140625" style="3"/>
    <col min="13313" max="13313" width="33.140625" style="3" customWidth="1"/>
    <col min="13314" max="13316" width="17.7109375" style="3" customWidth="1"/>
    <col min="13317" max="13568" width="9.140625" style="3"/>
    <col min="13569" max="13569" width="33.140625" style="3" customWidth="1"/>
    <col min="13570" max="13572" width="17.7109375" style="3" customWidth="1"/>
    <col min="13573" max="13824" width="9.140625" style="3"/>
    <col min="13825" max="13825" width="33.140625" style="3" customWidth="1"/>
    <col min="13826" max="13828" width="17.7109375" style="3" customWidth="1"/>
    <col min="13829" max="14080" width="9.140625" style="3"/>
    <col min="14081" max="14081" width="33.140625" style="3" customWidth="1"/>
    <col min="14082" max="14084" width="17.7109375" style="3" customWidth="1"/>
    <col min="14085" max="14336" width="9.140625" style="3"/>
    <col min="14337" max="14337" width="33.140625" style="3" customWidth="1"/>
    <col min="14338" max="14340" width="17.7109375" style="3" customWidth="1"/>
    <col min="14341" max="14592" width="9.140625" style="3"/>
    <col min="14593" max="14593" width="33.140625" style="3" customWidth="1"/>
    <col min="14594" max="14596" width="17.7109375" style="3" customWidth="1"/>
    <col min="14597" max="14848" width="9.140625" style="3"/>
    <col min="14849" max="14849" width="33.140625" style="3" customWidth="1"/>
    <col min="14850" max="14852" width="17.7109375" style="3" customWidth="1"/>
    <col min="14853" max="15104" width="9.140625" style="3"/>
    <col min="15105" max="15105" width="33.140625" style="3" customWidth="1"/>
    <col min="15106" max="15108" width="17.7109375" style="3" customWidth="1"/>
    <col min="15109" max="15360" width="9.140625" style="3"/>
    <col min="15361" max="15361" width="33.140625" style="3" customWidth="1"/>
    <col min="15362" max="15364" width="17.7109375" style="3" customWidth="1"/>
    <col min="15365" max="15616" width="9.140625" style="3"/>
    <col min="15617" max="15617" width="33.140625" style="3" customWidth="1"/>
    <col min="15618" max="15620" width="17.7109375" style="3" customWidth="1"/>
    <col min="15621" max="15872" width="9.140625" style="3"/>
    <col min="15873" max="15873" width="33.140625" style="3" customWidth="1"/>
    <col min="15874" max="15876" width="17.7109375" style="3" customWidth="1"/>
    <col min="15877" max="16128" width="9.140625" style="3"/>
    <col min="16129" max="16129" width="33.140625" style="3" customWidth="1"/>
    <col min="16130" max="16132" width="17.7109375" style="3" customWidth="1"/>
    <col min="16133" max="16384" width="9.140625" style="3"/>
  </cols>
  <sheetData>
    <row r="1" spans="1:4" x14ac:dyDescent="0.25">
      <c r="C1" s="478" t="s">
        <v>1309</v>
      </c>
      <c r="D1" s="478"/>
    </row>
    <row r="2" spans="1:4" x14ac:dyDescent="0.25">
      <c r="C2" s="478" t="s">
        <v>30</v>
      </c>
      <c r="D2" s="478"/>
    </row>
    <row r="3" spans="1:4" x14ac:dyDescent="0.25">
      <c r="C3" s="478" t="s">
        <v>203</v>
      </c>
      <c r="D3" s="478"/>
    </row>
    <row r="4" spans="1:4" x14ac:dyDescent="0.25">
      <c r="C4" s="478" t="s">
        <v>1356</v>
      </c>
      <c r="D4" s="478"/>
    </row>
    <row r="6" spans="1:4" ht="30.75" customHeight="1" x14ac:dyDescent="0.25">
      <c r="A6" s="479" t="s">
        <v>1325</v>
      </c>
      <c r="B6" s="479"/>
      <c r="C6" s="479"/>
      <c r="D6" s="479"/>
    </row>
    <row r="8" spans="1:4" hidden="1" x14ac:dyDescent="0.25">
      <c r="A8" s="473" t="s">
        <v>1310</v>
      </c>
      <c r="B8" s="473"/>
      <c r="C8" s="473"/>
      <c r="D8" s="473"/>
    </row>
    <row r="10" spans="1:4" ht="54.75" customHeight="1" x14ac:dyDescent="0.25">
      <c r="A10" s="572" t="s">
        <v>1311</v>
      </c>
      <c r="B10" s="572" t="s">
        <v>1312</v>
      </c>
      <c r="C10" s="572"/>
      <c r="D10" s="572"/>
    </row>
    <row r="11" spans="1:4" x14ac:dyDescent="0.25">
      <c r="A11" s="572"/>
      <c r="B11" s="80" t="s">
        <v>1313</v>
      </c>
      <c r="C11" s="80" t="s">
        <v>1314</v>
      </c>
      <c r="D11" s="80" t="s">
        <v>1326</v>
      </c>
    </row>
    <row r="12" spans="1:4" ht="47.25" x14ac:dyDescent="0.25">
      <c r="A12" s="85" t="s">
        <v>1315</v>
      </c>
      <c r="B12" s="86">
        <v>0</v>
      </c>
      <c r="C12" s="86">
        <v>0</v>
      </c>
      <c r="D12" s="86">
        <v>0</v>
      </c>
    </row>
    <row r="13" spans="1:4" ht="31.5" x14ac:dyDescent="0.25">
      <c r="A13" s="85" t="s">
        <v>1316</v>
      </c>
      <c r="B13" s="86">
        <v>0</v>
      </c>
      <c r="C13" s="86">
        <v>0</v>
      </c>
      <c r="D13" s="86">
        <v>0</v>
      </c>
    </row>
    <row r="14" spans="1:4" x14ac:dyDescent="0.25">
      <c r="A14" s="270" t="s">
        <v>261</v>
      </c>
      <c r="B14" s="86">
        <f>SUM(B12:B13)</f>
        <v>0</v>
      </c>
      <c r="C14" s="86">
        <f>SUM(C12:C13)</f>
        <v>0</v>
      </c>
      <c r="D14" s="86">
        <f>SUM(D12:D13)</f>
        <v>0</v>
      </c>
    </row>
  </sheetData>
  <mergeCells count="8">
    <mergeCell ref="A10:A11"/>
    <mergeCell ref="B10:D10"/>
    <mergeCell ref="C1:D1"/>
    <mergeCell ref="C2:D2"/>
    <mergeCell ref="C3:D3"/>
    <mergeCell ref="C4:D4"/>
    <mergeCell ref="A6:D6"/>
    <mergeCell ref="A8:D8"/>
  </mergeCells>
  <pageMargins left="0.70866141732283472" right="0.70866141732283472" top="0.74803149606299213" bottom="0.74803149606299213" header="0.31496062992125984" footer="0.31496062992125984"/>
  <pageSetup paperSize="9" fitToHeight="0"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election activeCell="G4" sqref="G4"/>
    </sheetView>
  </sheetViews>
  <sheetFormatPr defaultRowHeight="15" x14ac:dyDescent="0.25"/>
  <cols>
    <col min="1" max="1" width="43.42578125" customWidth="1"/>
    <col min="2" max="4" width="17.7109375" customWidth="1"/>
    <col min="5" max="5" width="17.140625" customWidth="1"/>
    <col min="6" max="6" width="28" customWidth="1"/>
    <col min="7" max="7" width="20" customWidth="1"/>
    <col min="257" max="257" width="43.42578125" customWidth="1"/>
    <col min="258" max="260" width="17.7109375" customWidth="1"/>
    <col min="261" max="261" width="17.140625" customWidth="1"/>
    <col min="262" max="262" width="28" customWidth="1"/>
    <col min="263" max="263" width="20" customWidth="1"/>
    <col min="513" max="513" width="43.42578125" customWidth="1"/>
    <col min="514" max="516" width="17.7109375" customWidth="1"/>
    <col min="517" max="517" width="17.140625" customWidth="1"/>
    <col min="518" max="518" width="28" customWidth="1"/>
    <col min="519" max="519" width="20" customWidth="1"/>
    <col min="769" max="769" width="43.42578125" customWidth="1"/>
    <col min="770" max="772" width="17.7109375" customWidth="1"/>
    <col min="773" max="773" width="17.140625" customWidth="1"/>
    <col min="774" max="774" width="28" customWidth="1"/>
    <col min="775" max="775" width="20" customWidth="1"/>
    <col min="1025" max="1025" width="43.42578125" customWidth="1"/>
    <col min="1026" max="1028" width="17.7109375" customWidth="1"/>
    <col min="1029" max="1029" width="17.140625" customWidth="1"/>
    <col min="1030" max="1030" width="28" customWidth="1"/>
    <col min="1031" max="1031" width="20" customWidth="1"/>
    <col min="1281" max="1281" width="43.42578125" customWidth="1"/>
    <col min="1282" max="1284" width="17.7109375" customWidth="1"/>
    <col min="1285" max="1285" width="17.140625" customWidth="1"/>
    <col min="1286" max="1286" width="28" customWidth="1"/>
    <col min="1287" max="1287" width="20" customWidth="1"/>
    <col min="1537" max="1537" width="43.42578125" customWidth="1"/>
    <col min="1538" max="1540" width="17.7109375" customWidth="1"/>
    <col min="1541" max="1541" width="17.140625" customWidth="1"/>
    <col min="1542" max="1542" width="28" customWidth="1"/>
    <col min="1543" max="1543" width="20" customWidth="1"/>
    <col min="1793" max="1793" width="43.42578125" customWidth="1"/>
    <col min="1794" max="1796" width="17.7109375" customWidth="1"/>
    <col min="1797" max="1797" width="17.140625" customWidth="1"/>
    <col min="1798" max="1798" width="28" customWidth="1"/>
    <col min="1799" max="1799" width="20" customWidth="1"/>
    <col min="2049" max="2049" width="43.42578125" customWidth="1"/>
    <col min="2050" max="2052" width="17.7109375" customWidth="1"/>
    <col min="2053" max="2053" width="17.140625" customWidth="1"/>
    <col min="2054" max="2054" width="28" customWidth="1"/>
    <col min="2055" max="2055" width="20" customWidth="1"/>
    <col min="2305" max="2305" width="43.42578125" customWidth="1"/>
    <col min="2306" max="2308" width="17.7109375" customWidth="1"/>
    <col min="2309" max="2309" width="17.140625" customWidth="1"/>
    <col min="2310" max="2310" width="28" customWidth="1"/>
    <col min="2311" max="2311" width="20" customWidth="1"/>
    <col min="2561" max="2561" width="43.42578125" customWidth="1"/>
    <col min="2562" max="2564" width="17.7109375" customWidth="1"/>
    <col min="2565" max="2565" width="17.140625" customWidth="1"/>
    <col min="2566" max="2566" width="28" customWidth="1"/>
    <col min="2567" max="2567" width="20" customWidth="1"/>
    <col min="2817" max="2817" width="43.42578125" customWidth="1"/>
    <col min="2818" max="2820" width="17.7109375" customWidth="1"/>
    <col min="2821" max="2821" width="17.140625" customWidth="1"/>
    <col min="2822" max="2822" width="28" customWidth="1"/>
    <col min="2823" max="2823" width="20" customWidth="1"/>
    <col min="3073" max="3073" width="43.42578125" customWidth="1"/>
    <col min="3074" max="3076" width="17.7109375" customWidth="1"/>
    <col min="3077" max="3077" width="17.140625" customWidth="1"/>
    <col min="3078" max="3078" width="28" customWidth="1"/>
    <col min="3079" max="3079" width="20" customWidth="1"/>
    <col min="3329" max="3329" width="43.42578125" customWidth="1"/>
    <col min="3330" max="3332" width="17.7109375" customWidth="1"/>
    <col min="3333" max="3333" width="17.140625" customWidth="1"/>
    <col min="3334" max="3334" width="28" customWidth="1"/>
    <col min="3335" max="3335" width="20" customWidth="1"/>
    <col min="3585" max="3585" width="43.42578125" customWidth="1"/>
    <col min="3586" max="3588" width="17.7109375" customWidth="1"/>
    <col min="3589" max="3589" width="17.140625" customWidth="1"/>
    <col min="3590" max="3590" width="28" customWidth="1"/>
    <col min="3591" max="3591" width="20" customWidth="1"/>
    <col min="3841" max="3841" width="43.42578125" customWidth="1"/>
    <col min="3842" max="3844" width="17.7109375" customWidth="1"/>
    <col min="3845" max="3845" width="17.140625" customWidth="1"/>
    <col min="3846" max="3846" width="28" customWidth="1"/>
    <col min="3847" max="3847" width="20" customWidth="1"/>
    <col min="4097" max="4097" width="43.42578125" customWidth="1"/>
    <col min="4098" max="4100" width="17.7109375" customWidth="1"/>
    <col min="4101" max="4101" width="17.140625" customWidth="1"/>
    <col min="4102" max="4102" width="28" customWidth="1"/>
    <col min="4103" max="4103" width="20" customWidth="1"/>
    <col min="4353" max="4353" width="43.42578125" customWidth="1"/>
    <col min="4354" max="4356" width="17.7109375" customWidth="1"/>
    <col min="4357" max="4357" width="17.140625" customWidth="1"/>
    <col min="4358" max="4358" width="28" customWidth="1"/>
    <col min="4359" max="4359" width="20" customWidth="1"/>
    <col min="4609" max="4609" width="43.42578125" customWidth="1"/>
    <col min="4610" max="4612" width="17.7109375" customWidth="1"/>
    <col min="4613" max="4613" width="17.140625" customWidth="1"/>
    <col min="4614" max="4614" width="28" customWidth="1"/>
    <col min="4615" max="4615" width="20" customWidth="1"/>
    <col min="4865" max="4865" width="43.42578125" customWidth="1"/>
    <col min="4866" max="4868" width="17.7109375" customWidth="1"/>
    <col min="4869" max="4869" width="17.140625" customWidth="1"/>
    <col min="4870" max="4870" width="28" customWidth="1"/>
    <col min="4871" max="4871" width="20" customWidth="1"/>
    <col min="5121" max="5121" width="43.42578125" customWidth="1"/>
    <col min="5122" max="5124" width="17.7109375" customWidth="1"/>
    <col min="5125" max="5125" width="17.140625" customWidth="1"/>
    <col min="5126" max="5126" width="28" customWidth="1"/>
    <col min="5127" max="5127" width="20" customWidth="1"/>
    <col min="5377" max="5377" width="43.42578125" customWidth="1"/>
    <col min="5378" max="5380" width="17.7109375" customWidth="1"/>
    <col min="5381" max="5381" width="17.140625" customWidth="1"/>
    <col min="5382" max="5382" width="28" customWidth="1"/>
    <col min="5383" max="5383" width="20" customWidth="1"/>
    <col min="5633" max="5633" width="43.42578125" customWidth="1"/>
    <col min="5634" max="5636" width="17.7109375" customWidth="1"/>
    <col min="5637" max="5637" width="17.140625" customWidth="1"/>
    <col min="5638" max="5638" width="28" customWidth="1"/>
    <col min="5639" max="5639" width="20" customWidth="1"/>
    <col min="5889" max="5889" width="43.42578125" customWidth="1"/>
    <col min="5890" max="5892" width="17.7109375" customWidth="1"/>
    <col min="5893" max="5893" width="17.140625" customWidth="1"/>
    <col min="5894" max="5894" width="28" customWidth="1"/>
    <col min="5895" max="5895" width="20" customWidth="1"/>
    <col min="6145" max="6145" width="43.42578125" customWidth="1"/>
    <col min="6146" max="6148" width="17.7109375" customWidth="1"/>
    <col min="6149" max="6149" width="17.140625" customWidth="1"/>
    <col min="6150" max="6150" width="28" customWidth="1"/>
    <col min="6151" max="6151" width="20" customWidth="1"/>
    <col min="6401" max="6401" width="43.42578125" customWidth="1"/>
    <col min="6402" max="6404" width="17.7109375" customWidth="1"/>
    <col min="6405" max="6405" width="17.140625" customWidth="1"/>
    <col min="6406" max="6406" width="28" customWidth="1"/>
    <col min="6407" max="6407" width="20" customWidth="1"/>
    <col min="6657" max="6657" width="43.42578125" customWidth="1"/>
    <col min="6658" max="6660" width="17.7109375" customWidth="1"/>
    <col min="6661" max="6661" width="17.140625" customWidth="1"/>
    <col min="6662" max="6662" width="28" customWidth="1"/>
    <col min="6663" max="6663" width="20" customWidth="1"/>
    <col min="6913" max="6913" width="43.42578125" customWidth="1"/>
    <col min="6914" max="6916" width="17.7109375" customWidth="1"/>
    <col min="6917" max="6917" width="17.140625" customWidth="1"/>
    <col min="6918" max="6918" width="28" customWidth="1"/>
    <col min="6919" max="6919" width="20" customWidth="1"/>
    <col min="7169" max="7169" width="43.42578125" customWidth="1"/>
    <col min="7170" max="7172" width="17.7109375" customWidth="1"/>
    <col min="7173" max="7173" width="17.140625" customWidth="1"/>
    <col min="7174" max="7174" width="28" customWidth="1"/>
    <col min="7175" max="7175" width="20" customWidth="1"/>
    <col min="7425" max="7425" width="43.42578125" customWidth="1"/>
    <col min="7426" max="7428" width="17.7109375" customWidth="1"/>
    <col min="7429" max="7429" width="17.140625" customWidth="1"/>
    <col min="7430" max="7430" width="28" customWidth="1"/>
    <col min="7431" max="7431" width="20" customWidth="1"/>
    <col min="7681" max="7681" width="43.42578125" customWidth="1"/>
    <col min="7682" max="7684" width="17.7109375" customWidth="1"/>
    <col min="7685" max="7685" width="17.140625" customWidth="1"/>
    <col min="7686" max="7686" width="28" customWidth="1"/>
    <col min="7687" max="7687" width="20" customWidth="1"/>
    <col min="7937" max="7937" width="43.42578125" customWidth="1"/>
    <col min="7938" max="7940" width="17.7109375" customWidth="1"/>
    <col min="7941" max="7941" width="17.140625" customWidth="1"/>
    <col min="7942" max="7942" width="28" customWidth="1"/>
    <col min="7943" max="7943" width="20" customWidth="1"/>
    <col min="8193" max="8193" width="43.42578125" customWidth="1"/>
    <col min="8194" max="8196" width="17.7109375" customWidth="1"/>
    <col min="8197" max="8197" width="17.140625" customWidth="1"/>
    <col min="8198" max="8198" width="28" customWidth="1"/>
    <col min="8199" max="8199" width="20" customWidth="1"/>
    <col min="8449" max="8449" width="43.42578125" customWidth="1"/>
    <col min="8450" max="8452" width="17.7109375" customWidth="1"/>
    <col min="8453" max="8453" width="17.140625" customWidth="1"/>
    <col min="8454" max="8454" width="28" customWidth="1"/>
    <col min="8455" max="8455" width="20" customWidth="1"/>
    <col min="8705" max="8705" width="43.42578125" customWidth="1"/>
    <col min="8706" max="8708" width="17.7109375" customWidth="1"/>
    <col min="8709" max="8709" width="17.140625" customWidth="1"/>
    <col min="8710" max="8710" width="28" customWidth="1"/>
    <col min="8711" max="8711" width="20" customWidth="1"/>
    <col min="8961" max="8961" width="43.42578125" customWidth="1"/>
    <col min="8962" max="8964" width="17.7109375" customWidth="1"/>
    <col min="8965" max="8965" width="17.140625" customWidth="1"/>
    <col min="8966" max="8966" width="28" customWidth="1"/>
    <col min="8967" max="8967" width="20" customWidth="1"/>
    <col min="9217" max="9217" width="43.42578125" customWidth="1"/>
    <col min="9218" max="9220" width="17.7109375" customWidth="1"/>
    <col min="9221" max="9221" width="17.140625" customWidth="1"/>
    <col min="9222" max="9222" width="28" customWidth="1"/>
    <col min="9223" max="9223" width="20" customWidth="1"/>
    <col min="9473" max="9473" width="43.42578125" customWidth="1"/>
    <col min="9474" max="9476" width="17.7109375" customWidth="1"/>
    <col min="9477" max="9477" width="17.140625" customWidth="1"/>
    <col min="9478" max="9478" width="28" customWidth="1"/>
    <col min="9479" max="9479" width="20" customWidth="1"/>
    <col min="9729" max="9729" width="43.42578125" customWidth="1"/>
    <col min="9730" max="9732" width="17.7109375" customWidth="1"/>
    <col min="9733" max="9733" width="17.140625" customWidth="1"/>
    <col min="9734" max="9734" width="28" customWidth="1"/>
    <col min="9735" max="9735" width="20" customWidth="1"/>
    <col min="9985" max="9985" width="43.42578125" customWidth="1"/>
    <col min="9986" max="9988" width="17.7109375" customWidth="1"/>
    <col min="9989" max="9989" width="17.140625" customWidth="1"/>
    <col min="9990" max="9990" width="28" customWidth="1"/>
    <col min="9991" max="9991" width="20" customWidth="1"/>
    <col min="10241" max="10241" width="43.42578125" customWidth="1"/>
    <col min="10242" max="10244" width="17.7109375" customWidth="1"/>
    <col min="10245" max="10245" width="17.140625" customWidth="1"/>
    <col min="10246" max="10246" width="28" customWidth="1"/>
    <col min="10247" max="10247" width="20" customWidth="1"/>
    <col min="10497" max="10497" width="43.42578125" customWidth="1"/>
    <col min="10498" max="10500" width="17.7109375" customWidth="1"/>
    <col min="10501" max="10501" width="17.140625" customWidth="1"/>
    <col min="10502" max="10502" width="28" customWidth="1"/>
    <col min="10503" max="10503" width="20" customWidth="1"/>
    <col min="10753" max="10753" width="43.42578125" customWidth="1"/>
    <col min="10754" max="10756" width="17.7109375" customWidth="1"/>
    <col min="10757" max="10757" width="17.140625" customWidth="1"/>
    <col min="10758" max="10758" width="28" customWidth="1"/>
    <col min="10759" max="10759" width="20" customWidth="1"/>
    <col min="11009" max="11009" width="43.42578125" customWidth="1"/>
    <col min="11010" max="11012" width="17.7109375" customWidth="1"/>
    <col min="11013" max="11013" width="17.140625" customWidth="1"/>
    <col min="11014" max="11014" width="28" customWidth="1"/>
    <col min="11015" max="11015" width="20" customWidth="1"/>
    <col min="11265" max="11265" width="43.42578125" customWidth="1"/>
    <col min="11266" max="11268" width="17.7109375" customWidth="1"/>
    <col min="11269" max="11269" width="17.140625" customWidth="1"/>
    <col min="11270" max="11270" width="28" customWidth="1"/>
    <col min="11271" max="11271" width="20" customWidth="1"/>
    <col min="11521" max="11521" width="43.42578125" customWidth="1"/>
    <col min="11522" max="11524" width="17.7109375" customWidth="1"/>
    <col min="11525" max="11525" width="17.140625" customWidth="1"/>
    <col min="11526" max="11526" width="28" customWidth="1"/>
    <col min="11527" max="11527" width="20" customWidth="1"/>
    <col min="11777" max="11777" width="43.42578125" customWidth="1"/>
    <col min="11778" max="11780" width="17.7109375" customWidth="1"/>
    <col min="11781" max="11781" width="17.140625" customWidth="1"/>
    <col min="11782" max="11782" width="28" customWidth="1"/>
    <col min="11783" max="11783" width="20" customWidth="1"/>
    <col min="12033" max="12033" width="43.42578125" customWidth="1"/>
    <col min="12034" max="12036" width="17.7109375" customWidth="1"/>
    <col min="12037" max="12037" width="17.140625" customWidth="1"/>
    <col min="12038" max="12038" width="28" customWidth="1"/>
    <col min="12039" max="12039" width="20" customWidth="1"/>
    <col min="12289" max="12289" width="43.42578125" customWidth="1"/>
    <col min="12290" max="12292" width="17.7109375" customWidth="1"/>
    <col min="12293" max="12293" width="17.140625" customWidth="1"/>
    <col min="12294" max="12294" width="28" customWidth="1"/>
    <col min="12295" max="12295" width="20" customWidth="1"/>
    <col min="12545" max="12545" width="43.42578125" customWidth="1"/>
    <col min="12546" max="12548" width="17.7109375" customWidth="1"/>
    <col min="12549" max="12549" width="17.140625" customWidth="1"/>
    <col min="12550" max="12550" width="28" customWidth="1"/>
    <col min="12551" max="12551" width="20" customWidth="1"/>
    <col min="12801" max="12801" width="43.42578125" customWidth="1"/>
    <col min="12802" max="12804" width="17.7109375" customWidth="1"/>
    <col min="12805" max="12805" width="17.140625" customWidth="1"/>
    <col min="12806" max="12806" width="28" customWidth="1"/>
    <col min="12807" max="12807" width="20" customWidth="1"/>
    <col min="13057" max="13057" width="43.42578125" customWidth="1"/>
    <col min="13058" max="13060" width="17.7109375" customWidth="1"/>
    <col min="13061" max="13061" width="17.140625" customWidth="1"/>
    <col min="13062" max="13062" width="28" customWidth="1"/>
    <col min="13063" max="13063" width="20" customWidth="1"/>
    <col min="13313" max="13313" width="43.42578125" customWidth="1"/>
    <col min="13314" max="13316" width="17.7109375" customWidth="1"/>
    <col min="13317" max="13317" width="17.140625" customWidth="1"/>
    <col min="13318" max="13318" width="28" customWidth="1"/>
    <col min="13319" max="13319" width="20" customWidth="1"/>
    <col min="13569" max="13569" width="43.42578125" customWidth="1"/>
    <col min="13570" max="13572" width="17.7109375" customWidth="1"/>
    <col min="13573" max="13573" width="17.140625" customWidth="1"/>
    <col min="13574" max="13574" width="28" customWidth="1"/>
    <col min="13575" max="13575" width="20" customWidth="1"/>
    <col min="13825" max="13825" width="43.42578125" customWidth="1"/>
    <col min="13826" max="13828" width="17.7109375" customWidth="1"/>
    <col min="13829" max="13829" width="17.140625" customWidth="1"/>
    <col min="13830" max="13830" width="28" customWidth="1"/>
    <col min="13831" max="13831" width="20" customWidth="1"/>
    <col min="14081" max="14081" width="43.42578125" customWidth="1"/>
    <col min="14082" max="14084" width="17.7109375" customWidth="1"/>
    <col min="14085" max="14085" width="17.140625" customWidth="1"/>
    <col min="14086" max="14086" width="28" customWidth="1"/>
    <col min="14087" max="14087" width="20" customWidth="1"/>
    <col min="14337" max="14337" width="43.42578125" customWidth="1"/>
    <col min="14338" max="14340" width="17.7109375" customWidth="1"/>
    <col min="14341" max="14341" width="17.140625" customWidth="1"/>
    <col min="14342" max="14342" width="28" customWidth="1"/>
    <col min="14343" max="14343" width="20" customWidth="1"/>
    <col min="14593" max="14593" width="43.42578125" customWidth="1"/>
    <col min="14594" max="14596" width="17.7109375" customWidth="1"/>
    <col min="14597" max="14597" width="17.140625" customWidth="1"/>
    <col min="14598" max="14598" width="28" customWidth="1"/>
    <col min="14599" max="14599" width="20" customWidth="1"/>
    <col min="14849" max="14849" width="43.42578125" customWidth="1"/>
    <col min="14850" max="14852" width="17.7109375" customWidth="1"/>
    <col min="14853" max="14853" width="17.140625" customWidth="1"/>
    <col min="14854" max="14854" width="28" customWidth="1"/>
    <col min="14855" max="14855" width="20" customWidth="1"/>
    <col min="15105" max="15105" width="43.42578125" customWidth="1"/>
    <col min="15106" max="15108" width="17.7109375" customWidth="1"/>
    <col min="15109" max="15109" width="17.140625" customWidth="1"/>
    <col min="15110" max="15110" width="28" customWidth="1"/>
    <col min="15111" max="15111" width="20" customWidth="1"/>
    <col min="15361" max="15361" width="43.42578125" customWidth="1"/>
    <col min="15362" max="15364" width="17.7109375" customWidth="1"/>
    <col min="15365" max="15365" width="17.140625" customWidth="1"/>
    <col min="15366" max="15366" width="28" customWidth="1"/>
    <col min="15367" max="15367" width="20" customWidth="1"/>
    <col min="15617" max="15617" width="43.42578125" customWidth="1"/>
    <col min="15618" max="15620" width="17.7109375" customWidth="1"/>
    <col min="15621" max="15621" width="17.140625" customWidth="1"/>
    <col min="15622" max="15622" width="28" customWidth="1"/>
    <col min="15623" max="15623" width="20" customWidth="1"/>
    <col min="15873" max="15873" width="43.42578125" customWidth="1"/>
    <col min="15874" max="15876" width="17.7109375" customWidth="1"/>
    <col min="15877" max="15877" width="17.140625" customWidth="1"/>
    <col min="15878" max="15878" width="28" customWidth="1"/>
    <col min="15879" max="15879" width="20" customWidth="1"/>
    <col min="16129" max="16129" width="43.42578125" customWidth="1"/>
    <col min="16130" max="16132" width="17.7109375" customWidth="1"/>
    <col min="16133" max="16133" width="17.140625" customWidth="1"/>
    <col min="16134" max="16134" width="28" customWidth="1"/>
    <col min="16135" max="16135" width="20" customWidth="1"/>
  </cols>
  <sheetData>
    <row r="1" spans="1:7" ht="15.75" x14ac:dyDescent="0.25">
      <c r="G1" s="411" t="s">
        <v>1317</v>
      </c>
    </row>
    <row r="2" spans="1:7" ht="15.75" x14ac:dyDescent="0.25">
      <c r="G2" s="411" t="s">
        <v>30</v>
      </c>
    </row>
    <row r="3" spans="1:7" ht="15.75" x14ac:dyDescent="0.25">
      <c r="G3" s="411" t="s">
        <v>257</v>
      </c>
    </row>
    <row r="4" spans="1:7" ht="15.75" x14ac:dyDescent="0.25">
      <c r="G4" s="2" t="s">
        <v>1356</v>
      </c>
    </row>
    <row r="6" spans="1:7" ht="15.75" x14ac:dyDescent="0.25">
      <c r="A6" s="479" t="s">
        <v>1323</v>
      </c>
      <c r="B6" s="479"/>
      <c r="C6" s="479"/>
      <c r="D6" s="479"/>
      <c r="E6" s="479"/>
      <c r="F6" s="479"/>
      <c r="G6" s="479"/>
    </row>
    <row r="7" spans="1:7" ht="15.75" x14ac:dyDescent="0.25">
      <c r="A7" s="1"/>
      <c r="B7" s="1"/>
      <c r="C7" s="1"/>
      <c r="D7" s="1"/>
      <c r="E7" s="1"/>
      <c r="F7" s="1"/>
      <c r="G7" s="1"/>
    </row>
    <row r="8" spans="1:7" ht="34.5" customHeight="1" x14ac:dyDescent="0.25">
      <c r="A8" s="573" t="s">
        <v>1139</v>
      </c>
      <c r="B8" s="574" t="s">
        <v>1318</v>
      </c>
      <c r="C8" s="575"/>
      <c r="D8" s="576"/>
      <c r="E8" s="577" t="s">
        <v>1140</v>
      </c>
      <c r="F8" s="578"/>
      <c r="G8" s="579"/>
    </row>
    <row r="9" spans="1:7" ht="31.5" x14ac:dyDescent="0.25">
      <c r="A9" s="573"/>
      <c r="B9" s="412">
        <v>2018</v>
      </c>
      <c r="C9" s="412">
        <v>2019</v>
      </c>
      <c r="D9" s="412">
        <v>2020</v>
      </c>
      <c r="E9" s="412" t="s">
        <v>1141</v>
      </c>
      <c r="F9" s="412" t="s">
        <v>1142</v>
      </c>
      <c r="G9" s="412" t="s">
        <v>1143</v>
      </c>
    </row>
    <row r="10" spans="1:7" ht="94.5" hidden="1" x14ac:dyDescent="0.25">
      <c r="A10" s="351" t="s">
        <v>1144</v>
      </c>
      <c r="B10" s="351"/>
      <c r="C10" s="351"/>
      <c r="D10" s="352">
        <v>0</v>
      </c>
      <c r="E10" s="351" t="s">
        <v>1145</v>
      </c>
      <c r="F10" s="351" t="s">
        <v>1146</v>
      </c>
      <c r="G10" s="351" t="s">
        <v>1147</v>
      </c>
    </row>
    <row r="11" spans="1:7" ht="94.5" x14ac:dyDescent="0.25">
      <c r="A11" s="351" t="s">
        <v>1319</v>
      </c>
      <c r="B11" s="25">
        <v>0</v>
      </c>
      <c r="C11" s="25">
        <v>0</v>
      </c>
      <c r="D11" s="353">
        <v>0</v>
      </c>
      <c r="E11" s="27" t="s">
        <v>1148</v>
      </c>
      <c r="F11" s="351" t="s">
        <v>1320</v>
      </c>
      <c r="G11" s="351" t="s">
        <v>1147</v>
      </c>
    </row>
    <row r="12" spans="1:7" ht="94.5" x14ac:dyDescent="0.25">
      <c r="A12" s="351" t="s">
        <v>1321</v>
      </c>
      <c r="B12" s="25">
        <v>0</v>
      </c>
      <c r="C12" s="25">
        <v>0</v>
      </c>
      <c r="D12" s="353">
        <v>0</v>
      </c>
      <c r="E12" s="27" t="s">
        <v>1148</v>
      </c>
      <c r="F12" s="351" t="s">
        <v>1322</v>
      </c>
      <c r="G12" s="351" t="s">
        <v>1147</v>
      </c>
    </row>
    <row r="13" spans="1:7" ht="15.75" x14ac:dyDescent="0.25">
      <c r="A13" s="271" t="s">
        <v>1149</v>
      </c>
      <c r="B13" s="353">
        <f>SUM(B11:B12)</f>
        <v>0</v>
      </c>
      <c r="C13" s="353">
        <f>SUM(C11:C12)</f>
        <v>0</v>
      </c>
      <c r="D13" s="353">
        <f>SUM(D11:D12)</f>
        <v>0</v>
      </c>
      <c r="E13" s="413" t="s">
        <v>184</v>
      </c>
      <c r="F13" s="413" t="s">
        <v>184</v>
      </c>
      <c r="G13" s="413" t="s">
        <v>184</v>
      </c>
    </row>
    <row r="19" spans="4:4" x14ac:dyDescent="0.25">
      <c r="D19" t="s">
        <v>202</v>
      </c>
    </row>
  </sheetData>
  <mergeCells count="4">
    <mergeCell ref="A6:G6"/>
    <mergeCell ref="A8:A9"/>
    <mergeCell ref="B8:D8"/>
    <mergeCell ref="E8:G8"/>
  </mergeCells>
  <pageMargins left="0.70866141732283472" right="0.70866141732283472" top="0.74803149606299213" bottom="0.74803149606299213" header="0.31496062992125984" footer="0.31496062992125984"/>
  <pageSetup paperSize="9" scale="53" fitToHeight="0"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F5" sqref="F5"/>
    </sheetView>
  </sheetViews>
  <sheetFormatPr defaultRowHeight="15" x14ac:dyDescent="0.25"/>
  <cols>
    <col min="2" max="2" width="17" customWidth="1"/>
    <col min="3" max="4" width="9.140625" hidden="1" customWidth="1"/>
    <col min="5" max="5" width="71.28515625" customWidth="1"/>
    <col min="6" max="6" width="17.28515625" customWidth="1"/>
    <col min="7" max="7" width="16.7109375" customWidth="1"/>
    <col min="8" max="8" width="13.85546875" customWidth="1"/>
  </cols>
  <sheetData>
    <row r="1" spans="2:11" x14ac:dyDescent="0.25">
      <c r="F1" s="581" t="s">
        <v>1324</v>
      </c>
      <c r="G1" s="581"/>
      <c r="H1" s="581"/>
      <c r="I1" s="582"/>
      <c r="J1" s="582"/>
      <c r="K1" s="582"/>
    </row>
    <row r="2" spans="2:11" x14ac:dyDescent="0.25">
      <c r="F2" s="581" t="s">
        <v>30</v>
      </c>
      <c r="G2" s="581"/>
      <c r="H2" s="581"/>
      <c r="I2" s="397"/>
      <c r="J2" s="397"/>
      <c r="K2" s="397"/>
    </row>
    <row r="3" spans="2:11" x14ac:dyDescent="0.25">
      <c r="F3" s="581" t="s">
        <v>257</v>
      </c>
      <c r="G3" s="581"/>
      <c r="H3" s="581"/>
      <c r="I3" s="397"/>
      <c r="J3" s="397"/>
      <c r="K3" s="397"/>
    </row>
    <row r="4" spans="2:11" x14ac:dyDescent="0.25">
      <c r="F4" s="581" t="s">
        <v>1356</v>
      </c>
      <c r="G4" s="581"/>
      <c r="H4" s="581"/>
      <c r="I4" s="397"/>
      <c r="J4" s="397"/>
      <c r="K4" s="397"/>
    </row>
    <row r="6" spans="2:11" ht="91.5" customHeight="1" x14ac:dyDescent="0.3">
      <c r="B6" s="580" t="s">
        <v>1225</v>
      </c>
      <c r="C6" s="580"/>
      <c r="D6" s="580"/>
      <c r="E6" s="580"/>
      <c r="F6" s="580"/>
      <c r="G6" s="580"/>
      <c r="H6" s="580"/>
      <c r="I6" s="398"/>
      <c r="J6" s="398"/>
      <c r="K6" s="398"/>
    </row>
    <row r="7" spans="2:11" x14ac:dyDescent="0.25">
      <c r="G7" t="s">
        <v>1226</v>
      </c>
    </row>
    <row r="8" spans="2:11" ht="45" x14ac:dyDescent="0.25">
      <c r="B8" s="399" t="s">
        <v>121</v>
      </c>
      <c r="C8" s="400"/>
      <c r="D8" s="400"/>
      <c r="E8" s="401" t="s">
        <v>1346</v>
      </c>
      <c r="F8" s="401" t="s">
        <v>1227</v>
      </c>
      <c r="G8" s="401" t="s">
        <v>1228</v>
      </c>
      <c r="H8" s="401" t="s">
        <v>1229</v>
      </c>
      <c r="I8" s="400"/>
      <c r="J8" s="400"/>
      <c r="K8" s="400"/>
    </row>
    <row r="9" spans="2:11" ht="30" x14ac:dyDescent="0.25">
      <c r="B9" s="399"/>
      <c r="C9" s="400"/>
      <c r="D9" s="400"/>
      <c r="E9" s="402" t="s">
        <v>1230</v>
      </c>
      <c r="F9" s="401"/>
      <c r="G9" s="401"/>
      <c r="H9" s="401"/>
      <c r="I9" s="400"/>
      <c r="J9" s="400"/>
      <c r="K9" s="400"/>
    </row>
    <row r="10" spans="2:11" x14ac:dyDescent="0.25">
      <c r="B10" s="403" t="s">
        <v>1231</v>
      </c>
      <c r="C10" s="404"/>
      <c r="D10" s="404"/>
      <c r="E10" s="403" t="s">
        <v>1232</v>
      </c>
      <c r="F10" s="403" t="s">
        <v>1233</v>
      </c>
      <c r="G10" s="403"/>
      <c r="H10" s="403"/>
      <c r="I10" s="400"/>
      <c r="J10" s="400"/>
      <c r="K10" s="400"/>
    </row>
    <row r="11" spans="2:11" ht="30" x14ac:dyDescent="0.25">
      <c r="B11" s="403" t="s">
        <v>1234</v>
      </c>
      <c r="C11" s="404"/>
      <c r="D11" s="404"/>
      <c r="E11" s="403" t="s">
        <v>1235</v>
      </c>
      <c r="F11" s="403" t="s">
        <v>38</v>
      </c>
      <c r="G11" s="403"/>
      <c r="H11" s="403"/>
      <c r="I11" s="400"/>
      <c r="J11" s="400"/>
      <c r="K11" s="400"/>
    </row>
    <row r="12" spans="2:11" ht="30" x14ac:dyDescent="0.25">
      <c r="B12" s="403" t="s">
        <v>1236</v>
      </c>
      <c r="C12" s="404"/>
      <c r="D12" s="404"/>
      <c r="E12" s="403" t="s">
        <v>1237</v>
      </c>
      <c r="F12" s="403"/>
      <c r="G12" s="403" t="s">
        <v>38</v>
      </c>
      <c r="H12" s="403"/>
      <c r="I12" s="400"/>
      <c r="J12" s="400"/>
      <c r="K12" s="400"/>
    </row>
    <row r="13" spans="2:11" ht="30" x14ac:dyDescent="0.25">
      <c r="B13" s="403" t="s">
        <v>1238</v>
      </c>
      <c r="C13" s="404"/>
      <c r="D13" s="404"/>
      <c r="E13" s="403" t="s">
        <v>1239</v>
      </c>
      <c r="F13" s="403"/>
      <c r="G13" s="403"/>
      <c r="H13" s="403" t="s">
        <v>38</v>
      </c>
      <c r="I13" s="400"/>
      <c r="J13" s="400"/>
      <c r="K13" s="400"/>
    </row>
    <row r="14" spans="2:11" ht="30" x14ac:dyDescent="0.25">
      <c r="B14" s="403" t="s">
        <v>1240</v>
      </c>
      <c r="C14" s="404"/>
      <c r="D14" s="404"/>
      <c r="E14" s="403" t="s">
        <v>1241</v>
      </c>
      <c r="F14" s="403" t="s">
        <v>38</v>
      </c>
      <c r="G14" s="403"/>
      <c r="H14" s="403"/>
      <c r="I14" s="400"/>
      <c r="J14" s="400"/>
      <c r="K14" s="400"/>
    </row>
    <row r="15" spans="2:11" ht="30" x14ac:dyDescent="0.25">
      <c r="B15" s="403" t="s">
        <v>1242</v>
      </c>
      <c r="C15" s="404"/>
      <c r="D15" s="404"/>
      <c r="E15" s="403" t="s">
        <v>1243</v>
      </c>
      <c r="F15" s="403" t="s">
        <v>38</v>
      </c>
      <c r="G15" s="403"/>
      <c r="H15" s="403"/>
      <c r="I15" s="400"/>
      <c r="J15" s="400"/>
      <c r="K15" s="400"/>
    </row>
    <row r="16" spans="2:11" ht="60" x14ac:dyDescent="0.25">
      <c r="B16" s="403" t="s">
        <v>1244</v>
      </c>
      <c r="C16" s="404"/>
      <c r="D16" s="404"/>
      <c r="E16" s="403" t="s">
        <v>1245</v>
      </c>
      <c r="F16" s="403" t="s">
        <v>38</v>
      </c>
      <c r="G16" s="403"/>
      <c r="H16" s="403"/>
      <c r="I16" s="400"/>
      <c r="J16" s="400"/>
      <c r="K16" s="400"/>
    </row>
    <row r="17" spans="2:11" ht="30" x14ac:dyDescent="0.25">
      <c r="B17" s="405"/>
      <c r="C17" s="404"/>
      <c r="D17" s="404"/>
      <c r="E17" s="406" t="s">
        <v>1246</v>
      </c>
      <c r="F17" s="403"/>
      <c r="G17" s="403"/>
      <c r="H17" s="403"/>
      <c r="I17" s="400"/>
      <c r="J17" s="400"/>
      <c r="K17" s="400"/>
    </row>
    <row r="18" spans="2:11" ht="30" x14ac:dyDescent="0.25">
      <c r="B18" s="403" t="s">
        <v>1247</v>
      </c>
      <c r="C18" s="404"/>
      <c r="D18" s="404"/>
      <c r="E18" s="403" t="s">
        <v>1089</v>
      </c>
      <c r="F18" s="403" t="s">
        <v>38</v>
      </c>
      <c r="G18" s="403"/>
      <c r="H18" s="403"/>
      <c r="I18" s="400"/>
      <c r="J18" s="400"/>
      <c r="K18" s="400"/>
    </row>
    <row r="19" spans="2:11" ht="30" x14ac:dyDescent="0.25">
      <c r="B19" s="403" t="s">
        <v>1248</v>
      </c>
      <c r="C19" s="404"/>
      <c r="D19" s="404"/>
      <c r="E19" s="403" t="s">
        <v>1249</v>
      </c>
      <c r="F19" s="403"/>
      <c r="G19" s="403" t="s">
        <v>38</v>
      </c>
      <c r="H19" s="403"/>
      <c r="I19" s="400"/>
      <c r="J19" s="400"/>
      <c r="K19" s="400"/>
    </row>
    <row r="20" spans="2:11" ht="30" x14ac:dyDescent="0.25">
      <c r="B20" s="403" t="s">
        <v>1250</v>
      </c>
      <c r="C20" s="404"/>
      <c r="D20" s="404"/>
      <c r="E20" s="403" t="s">
        <v>1251</v>
      </c>
      <c r="F20" s="403"/>
      <c r="G20" s="403"/>
      <c r="H20" s="403" t="s">
        <v>38</v>
      </c>
      <c r="I20" s="400"/>
      <c r="J20" s="400"/>
      <c r="K20" s="400"/>
    </row>
    <row r="21" spans="2:11" ht="30" x14ac:dyDescent="0.25">
      <c r="B21" s="403" t="s">
        <v>1252</v>
      </c>
      <c r="C21" s="404"/>
      <c r="D21" s="404"/>
      <c r="E21" s="403" t="s">
        <v>974</v>
      </c>
      <c r="F21" s="403" t="s">
        <v>38</v>
      </c>
      <c r="G21" s="403"/>
      <c r="H21" s="403"/>
      <c r="I21" s="400"/>
      <c r="J21" s="400"/>
      <c r="K21" s="400"/>
    </row>
    <row r="22" spans="2:11" x14ac:dyDescent="0.25">
      <c r="B22" s="403" t="s">
        <v>1253</v>
      </c>
      <c r="C22" s="404"/>
      <c r="D22" s="404"/>
      <c r="E22" s="403" t="s">
        <v>1254</v>
      </c>
      <c r="F22" s="403"/>
      <c r="G22" s="403" t="s">
        <v>38</v>
      </c>
      <c r="H22" s="403"/>
      <c r="I22" s="400"/>
      <c r="J22" s="400"/>
      <c r="K22" s="400"/>
    </row>
    <row r="23" spans="2:11" x14ac:dyDescent="0.25">
      <c r="B23" s="403" t="s">
        <v>1255</v>
      </c>
      <c r="C23" s="404"/>
      <c r="D23" s="404"/>
      <c r="E23" s="403" t="s">
        <v>1256</v>
      </c>
      <c r="F23" s="403"/>
      <c r="G23" s="403"/>
      <c r="H23" s="403" t="s">
        <v>38</v>
      </c>
      <c r="I23" s="400"/>
      <c r="J23" s="400"/>
      <c r="K23" s="400"/>
    </row>
    <row r="24" spans="2:11" ht="30" x14ac:dyDescent="0.25">
      <c r="B24" s="403" t="s">
        <v>1257</v>
      </c>
      <c r="C24" s="404"/>
      <c r="D24" s="404"/>
      <c r="E24" s="403" t="s">
        <v>1258</v>
      </c>
      <c r="F24" s="403" t="s">
        <v>38</v>
      </c>
      <c r="G24" s="403"/>
      <c r="H24" s="403"/>
      <c r="I24" s="400"/>
      <c r="J24" s="400"/>
      <c r="K24" s="400"/>
    </row>
    <row r="25" spans="2:11" ht="30" x14ac:dyDescent="0.25">
      <c r="B25" s="403" t="s">
        <v>1259</v>
      </c>
      <c r="C25" s="404"/>
      <c r="D25" s="404"/>
      <c r="E25" s="403" t="s">
        <v>1260</v>
      </c>
      <c r="F25" s="403"/>
      <c r="G25" s="403" t="s">
        <v>38</v>
      </c>
      <c r="H25" s="403"/>
      <c r="I25" s="400"/>
      <c r="J25" s="400"/>
      <c r="K25" s="400"/>
    </row>
    <row r="26" spans="2:11" ht="30" x14ac:dyDescent="0.25">
      <c r="B26" s="403" t="s">
        <v>1261</v>
      </c>
      <c r="C26" s="404"/>
      <c r="D26" s="404"/>
      <c r="E26" s="403" t="s">
        <v>1262</v>
      </c>
      <c r="F26" s="403"/>
      <c r="G26" s="403"/>
      <c r="H26" s="403" t="s">
        <v>38</v>
      </c>
      <c r="I26" s="400"/>
      <c r="J26" s="400"/>
      <c r="K26" s="400"/>
    </row>
    <row r="27" spans="2:11" x14ac:dyDescent="0.25">
      <c r="B27" s="403"/>
      <c r="C27" s="404"/>
      <c r="D27" s="404"/>
      <c r="E27" s="406" t="s">
        <v>1263</v>
      </c>
      <c r="F27" s="403"/>
      <c r="G27" s="403"/>
      <c r="H27" s="403"/>
      <c r="I27" s="400"/>
      <c r="J27" s="400"/>
      <c r="K27" s="400"/>
    </row>
    <row r="28" spans="2:11" ht="45" x14ac:dyDescent="0.25">
      <c r="B28" s="403" t="s">
        <v>1264</v>
      </c>
      <c r="C28" s="404"/>
      <c r="D28" s="404"/>
      <c r="E28" s="403" t="s">
        <v>44</v>
      </c>
      <c r="F28" s="403" t="s">
        <v>38</v>
      </c>
      <c r="G28" s="403"/>
      <c r="H28" s="403"/>
      <c r="I28" s="400"/>
      <c r="J28" s="400"/>
      <c r="K28" s="400"/>
    </row>
    <row r="29" spans="2:11" ht="45" x14ac:dyDescent="0.25">
      <c r="B29" s="403" t="s">
        <v>1265</v>
      </c>
      <c r="C29" s="407"/>
      <c r="D29" s="407"/>
      <c r="E29" s="403" t="s">
        <v>1266</v>
      </c>
      <c r="F29" s="403"/>
      <c r="G29" s="403" t="s">
        <v>38</v>
      </c>
      <c r="H29" s="403"/>
      <c r="I29" s="400"/>
      <c r="J29" s="400"/>
      <c r="K29" s="400"/>
    </row>
    <row r="30" spans="2:11" ht="45" x14ac:dyDescent="0.25">
      <c r="B30" s="403" t="s">
        <v>1267</v>
      </c>
      <c r="C30" s="404"/>
      <c r="D30" s="404"/>
      <c r="E30" s="403" t="s">
        <v>1268</v>
      </c>
      <c r="F30" s="403"/>
      <c r="G30" s="403"/>
      <c r="H30" s="403" t="s">
        <v>38</v>
      </c>
      <c r="I30" s="400"/>
      <c r="J30" s="400"/>
      <c r="K30" s="400"/>
    </row>
    <row r="31" spans="2:11" x14ac:dyDescent="0.25">
      <c r="B31" s="403"/>
      <c r="C31" s="404"/>
      <c r="D31" s="404"/>
      <c r="E31" s="406" t="s">
        <v>1269</v>
      </c>
      <c r="F31" s="403"/>
      <c r="G31" s="403"/>
      <c r="H31" s="403"/>
      <c r="I31" s="400"/>
      <c r="J31" s="400"/>
      <c r="K31" s="400"/>
    </row>
    <row r="32" spans="2:11" ht="60" x14ac:dyDescent="0.25">
      <c r="B32" s="403" t="s">
        <v>1270</v>
      </c>
      <c r="C32" s="404"/>
      <c r="D32" s="404"/>
      <c r="E32" s="403" t="s">
        <v>1271</v>
      </c>
      <c r="F32" s="403" t="s">
        <v>38</v>
      </c>
      <c r="G32" s="403"/>
      <c r="H32" s="403"/>
      <c r="I32" s="400"/>
      <c r="J32" s="400"/>
      <c r="K32" s="400"/>
    </row>
    <row r="33" spans="2:11" ht="60" x14ac:dyDescent="0.25">
      <c r="B33" s="403" t="s">
        <v>1272</v>
      </c>
      <c r="C33" s="404"/>
      <c r="D33" s="404"/>
      <c r="E33" s="403" t="s">
        <v>1273</v>
      </c>
      <c r="F33" s="403"/>
      <c r="G33" s="403" t="s">
        <v>38</v>
      </c>
      <c r="H33" s="403"/>
      <c r="I33" s="400"/>
      <c r="J33" s="400"/>
      <c r="K33" s="400"/>
    </row>
    <row r="34" spans="2:11" ht="60" x14ac:dyDescent="0.25">
      <c r="B34" s="403" t="s">
        <v>1274</v>
      </c>
      <c r="C34" s="404"/>
      <c r="D34" s="404"/>
      <c r="E34" s="403" t="s">
        <v>1275</v>
      </c>
      <c r="F34" s="403"/>
      <c r="G34" s="403"/>
      <c r="H34" s="403" t="s">
        <v>38</v>
      </c>
      <c r="I34" s="400"/>
      <c r="J34" s="400"/>
      <c r="K34" s="400"/>
    </row>
    <row r="35" spans="2:11" ht="45" x14ac:dyDescent="0.25">
      <c r="B35" s="403" t="s">
        <v>1276</v>
      </c>
      <c r="C35" s="404"/>
      <c r="D35" s="404"/>
      <c r="E35" s="403" t="s">
        <v>1277</v>
      </c>
      <c r="F35" s="403" t="s">
        <v>38</v>
      </c>
      <c r="G35" s="403"/>
      <c r="H35" s="403"/>
      <c r="I35" s="400"/>
      <c r="J35" s="400"/>
      <c r="K35" s="400"/>
    </row>
    <row r="36" spans="2:11" ht="45" x14ac:dyDescent="0.25">
      <c r="B36" s="403" t="s">
        <v>1278</v>
      </c>
      <c r="C36" s="404"/>
      <c r="D36" s="404"/>
      <c r="E36" s="403" t="s">
        <v>1279</v>
      </c>
      <c r="F36" s="403"/>
      <c r="G36" s="403" t="s">
        <v>38</v>
      </c>
      <c r="H36" s="403"/>
      <c r="I36" s="400"/>
      <c r="J36" s="400"/>
      <c r="K36" s="400"/>
    </row>
    <row r="37" spans="2:11" ht="45" x14ac:dyDescent="0.25">
      <c r="B37" s="403" t="s">
        <v>1280</v>
      </c>
      <c r="C37" s="404"/>
      <c r="D37" s="404"/>
      <c r="E37" s="403" t="s">
        <v>1281</v>
      </c>
      <c r="F37" s="403"/>
      <c r="G37" s="403"/>
      <c r="H37" s="403" t="s">
        <v>38</v>
      </c>
      <c r="I37" s="400"/>
      <c r="J37" s="400"/>
      <c r="K37" s="400"/>
    </row>
    <row r="38" spans="2:11" x14ac:dyDescent="0.25">
      <c r="B38" s="403"/>
      <c r="C38" s="404"/>
      <c r="D38" s="404"/>
      <c r="E38" s="406" t="s">
        <v>1282</v>
      </c>
      <c r="F38" s="403"/>
      <c r="G38" s="403"/>
      <c r="H38" s="403"/>
      <c r="I38" s="400"/>
      <c r="J38" s="400"/>
      <c r="K38" s="400"/>
    </row>
    <row r="39" spans="2:11" ht="15.6" customHeight="1" x14ac:dyDescent="0.25">
      <c r="B39" s="403" t="s">
        <v>1283</v>
      </c>
      <c r="C39" s="404"/>
      <c r="D39" s="404"/>
      <c r="E39" s="403" t="s">
        <v>1083</v>
      </c>
      <c r="F39" s="403" t="s">
        <v>38</v>
      </c>
      <c r="G39" s="403"/>
      <c r="H39" s="403"/>
      <c r="I39" s="400"/>
      <c r="J39" s="400"/>
      <c r="K39" s="400"/>
    </row>
    <row r="40" spans="2:11" ht="30" x14ac:dyDescent="0.25">
      <c r="B40" s="403" t="s">
        <v>1284</v>
      </c>
      <c r="C40" s="404"/>
      <c r="D40" s="404"/>
      <c r="E40" s="403" t="s">
        <v>1285</v>
      </c>
      <c r="F40" s="403"/>
      <c r="G40" s="403" t="s">
        <v>38</v>
      </c>
      <c r="H40" s="403"/>
      <c r="I40" s="400"/>
      <c r="J40" s="400"/>
      <c r="K40" s="400"/>
    </row>
    <row r="41" spans="2:11" ht="30" x14ac:dyDescent="0.25">
      <c r="B41" s="403" t="s">
        <v>1286</v>
      </c>
      <c r="C41" s="404"/>
      <c r="D41" s="404"/>
      <c r="E41" s="403" t="s">
        <v>1287</v>
      </c>
      <c r="F41" s="403"/>
      <c r="G41" s="403"/>
      <c r="H41" s="403" t="s">
        <v>38</v>
      </c>
      <c r="I41" s="400"/>
      <c r="J41" s="400"/>
      <c r="K41" s="400"/>
    </row>
    <row r="42" spans="2:11" x14ac:dyDescent="0.25">
      <c r="B42" s="403" t="s">
        <v>1288</v>
      </c>
      <c r="C42" s="404"/>
      <c r="D42" s="404"/>
      <c r="E42" s="403" t="s">
        <v>17</v>
      </c>
      <c r="F42" s="403" t="s">
        <v>38</v>
      </c>
      <c r="G42" s="403"/>
      <c r="H42" s="403"/>
      <c r="I42" s="400"/>
      <c r="J42" s="400"/>
      <c r="K42" s="400"/>
    </row>
    <row r="43" spans="2:11" x14ac:dyDescent="0.25">
      <c r="B43" s="403" t="s">
        <v>1289</v>
      </c>
      <c r="C43" s="404"/>
      <c r="D43" s="404"/>
      <c r="E43" s="403" t="s">
        <v>1290</v>
      </c>
      <c r="F43" s="403"/>
      <c r="G43" s="403" t="s">
        <v>38</v>
      </c>
      <c r="H43" s="403"/>
      <c r="I43" s="400"/>
      <c r="J43" s="400"/>
      <c r="K43" s="400"/>
    </row>
    <row r="44" spans="2:11" x14ac:dyDescent="0.25">
      <c r="B44" s="408" t="s">
        <v>1291</v>
      </c>
      <c r="C44" s="404"/>
      <c r="D44" s="404"/>
      <c r="E44" s="408" t="s">
        <v>1292</v>
      </c>
      <c r="F44" s="408"/>
      <c r="G44" s="408"/>
      <c r="H44" s="408" t="s">
        <v>38</v>
      </c>
      <c r="I44" s="400"/>
      <c r="J44" s="400"/>
      <c r="K44" s="400"/>
    </row>
    <row r="45" spans="2:11" ht="46.15" customHeight="1" x14ac:dyDescent="0.25">
      <c r="B45" s="408" t="s">
        <v>1293</v>
      </c>
      <c r="C45" s="404"/>
      <c r="D45" s="404"/>
      <c r="E45" s="408" t="s">
        <v>1105</v>
      </c>
      <c r="F45" s="408" t="s">
        <v>38</v>
      </c>
      <c r="G45" s="408"/>
      <c r="H45" s="408"/>
      <c r="I45" s="400"/>
      <c r="J45" s="400"/>
      <c r="K45" s="400"/>
    </row>
    <row r="46" spans="2:11" ht="46.15" customHeight="1" x14ac:dyDescent="0.25">
      <c r="B46" s="408" t="s">
        <v>1294</v>
      </c>
      <c r="C46" s="404"/>
      <c r="D46" s="404"/>
      <c r="E46" s="408" t="s">
        <v>1107</v>
      </c>
      <c r="F46" s="408"/>
      <c r="G46" s="408" t="s">
        <v>38</v>
      </c>
      <c r="H46" s="408"/>
      <c r="I46" s="400"/>
      <c r="J46" s="400"/>
      <c r="K46" s="400"/>
    </row>
    <row r="47" spans="2:11" ht="48" customHeight="1" x14ac:dyDescent="0.25">
      <c r="B47" s="408" t="s">
        <v>1295</v>
      </c>
      <c r="C47" s="404"/>
      <c r="D47" s="404"/>
      <c r="E47" s="408" t="s">
        <v>1296</v>
      </c>
      <c r="F47" s="408"/>
      <c r="G47" s="408"/>
      <c r="H47" s="408" t="s">
        <v>38</v>
      </c>
      <c r="I47" s="400"/>
      <c r="J47" s="400"/>
      <c r="K47" s="400"/>
    </row>
    <row r="48" spans="2:11" ht="30" x14ac:dyDescent="0.25">
      <c r="B48" s="403" t="s">
        <v>1297</v>
      </c>
      <c r="C48" s="403"/>
      <c r="D48" s="403"/>
      <c r="E48" s="403" t="s">
        <v>1298</v>
      </c>
      <c r="F48" s="403" t="s">
        <v>38</v>
      </c>
      <c r="G48" s="403"/>
      <c r="H48" s="403"/>
      <c r="I48" s="400"/>
      <c r="J48" s="400"/>
      <c r="K48" s="400"/>
    </row>
    <row r="49" spans="2:11" ht="30" x14ac:dyDescent="0.25">
      <c r="B49" s="403" t="s">
        <v>1299</v>
      </c>
      <c r="C49" s="403"/>
      <c r="D49" s="403"/>
      <c r="E49" s="403" t="s">
        <v>1300</v>
      </c>
      <c r="F49" s="403"/>
      <c r="G49" s="403" t="s">
        <v>38</v>
      </c>
      <c r="H49" s="403"/>
      <c r="I49" s="400"/>
      <c r="J49" s="400"/>
      <c r="K49" s="400"/>
    </row>
    <row r="50" spans="2:11" ht="30" x14ac:dyDescent="0.25">
      <c r="B50" s="403" t="s">
        <v>1301</v>
      </c>
      <c r="C50" s="403"/>
      <c r="D50" s="403"/>
      <c r="E50" s="403" t="s">
        <v>1302</v>
      </c>
      <c r="F50" s="403"/>
      <c r="G50" s="403"/>
      <c r="H50" s="403" t="s">
        <v>38</v>
      </c>
      <c r="I50" s="400"/>
      <c r="J50" s="400"/>
      <c r="K50" s="400"/>
    </row>
    <row r="51" spans="2:11" x14ac:dyDescent="0.25">
      <c r="B51" s="400"/>
      <c r="C51" s="400"/>
      <c r="D51" s="400"/>
      <c r="E51" s="400"/>
      <c r="F51" s="400"/>
      <c r="G51" s="400"/>
      <c r="H51" s="400"/>
      <c r="I51" s="400"/>
      <c r="J51" s="400"/>
      <c r="K51" s="400"/>
    </row>
    <row r="52" spans="2:11" x14ac:dyDescent="0.25">
      <c r="B52" s="400"/>
      <c r="C52" s="400"/>
      <c r="D52" s="400"/>
      <c r="E52" s="400"/>
      <c r="F52" s="400"/>
      <c r="G52" s="400"/>
      <c r="H52" s="400"/>
      <c r="I52" s="400"/>
      <c r="J52" s="400"/>
      <c r="K52" s="400"/>
    </row>
    <row r="53" spans="2:11" x14ac:dyDescent="0.25">
      <c r="B53" s="400"/>
      <c r="C53" s="400"/>
      <c r="D53" s="400"/>
      <c r="E53" s="400"/>
      <c r="F53" s="400"/>
      <c r="G53" s="400"/>
      <c r="H53" s="400"/>
      <c r="I53" s="400"/>
      <c r="J53" s="400"/>
      <c r="K53" s="400"/>
    </row>
    <row r="54" spans="2:11" x14ac:dyDescent="0.25">
      <c r="B54" s="400"/>
      <c r="C54" s="400"/>
      <c r="D54" s="400"/>
      <c r="E54" s="400"/>
      <c r="F54" s="400"/>
      <c r="G54" s="400"/>
      <c r="H54" s="400"/>
      <c r="I54" s="400"/>
      <c r="J54" s="400"/>
      <c r="K54" s="400"/>
    </row>
    <row r="55" spans="2:11" x14ac:dyDescent="0.25">
      <c r="I55" s="400"/>
      <c r="J55" s="400"/>
      <c r="K55" s="400"/>
    </row>
    <row r="56" spans="2:11" x14ac:dyDescent="0.25">
      <c r="I56" s="400"/>
      <c r="J56" s="400"/>
      <c r="K56" s="400"/>
    </row>
    <row r="57" spans="2:11" x14ac:dyDescent="0.25">
      <c r="I57" s="400"/>
      <c r="J57" s="400"/>
      <c r="K57" s="400"/>
    </row>
  </sheetData>
  <mergeCells count="6">
    <mergeCell ref="B6:H6"/>
    <mergeCell ref="F1:H1"/>
    <mergeCell ref="I1:K1"/>
    <mergeCell ref="F2:H2"/>
    <mergeCell ref="F3:H3"/>
    <mergeCell ref="F4:H4"/>
  </mergeCells>
  <pageMargins left="0.70866141732283472" right="0.70866141732283472" top="0.74803149606299213" bottom="0.74803149606299213" header="0.31496062992125984" footer="0.31496062992125984"/>
  <pageSetup paperSize="9" scale="55"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workbookViewId="0">
      <selection activeCell="B5" sqref="B5"/>
    </sheetView>
  </sheetViews>
  <sheetFormatPr defaultRowHeight="15.75" x14ac:dyDescent="0.25"/>
  <cols>
    <col min="1" max="1" width="9.140625" style="1"/>
    <col min="2" max="2" width="25.85546875" style="3" customWidth="1"/>
    <col min="3" max="3" width="65.140625" style="3" customWidth="1"/>
    <col min="4" max="257" width="9.140625" style="3"/>
    <col min="258" max="258" width="25.85546875" style="3" customWidth="1"/>
    <col min="259" max="259" width="65.140625" style="3" customWidth="1"/>
    <col min="260" max="513" width="9.140625" style="3"/>
    <col min="514" max="514" width="25.85546875" style="3" customWidth="1"/>
    <col min="515" max="515" width="65.140625" style="3" customWidth="1"/>
    <col min="516" max="769" width="9.140625" style="3"/>
    <col min="770" max="770" width="25.85546875" style="3" customWidth="1"/>
    <col min="771" max="771" width="65.140625" style="3" customWidth="1"/>
    <col min="772" max="1025" width="9.140625" style="3"/>
    <col min="1026" max="1026" width="25.85546875" style="3" customWidth="1"/>
    <col min="1027" max="1027" width="65.140625" style="3" customWidth="1"/>
    <col min="1028" max="1281" width="9.140625" style="3"/>
    <col min="1282" max="1282" width="25.85546875" style="3" customWidth="1"/>
    <col min="1283" max="1283" width="65.140625" style="3" customWidth="1"/>
    <col min="1284" max="1537" width="9.140625" style="3"/>
    <col min="1538" max="1538" width="25.85546875" style="3" customWidth="1"/>
    <col min="1539" max="1539" width="65.140625" style="3" customWidth="1"/>
    <col min="1540" max="1793" width="9.140625" style="3"/>
    <col min="1794" max="1794" width="25.85546875" style="3" customWidth="1"/>
    <col min="1795" max="1795" width="65.140625" style="3" customWidth="1"/>
    <col min="1796" max="2049" width="9.140625" style="3"/>
    <col min="2050" max="2050" width="25.85546875" style="3" customWidth="1"/>
    <col min="2051" max="2051" width="65.140625" style="3" customWidth="1"/>
    <col min="2052" max="2305" width="9.140625" style="3"/>
    <col min="2306" max="2306" width="25.85546875" style="3" customWidth="1"/>
    <col min="2307" max="2307" width="65.140625" style="3" customWidth="1"/>
    <col min="2308" max="2561" width="9.140625" style="3"/>
    <col min="2562" max="2562" width="25.85546875" style="3" customWidth="1"/>
    <col min="2563" max="2563" width="65.140625" style="3" customWidth="1"/>
    <col min="2564" max="2817" width="9.140625" style="3"/>
    <col min="2818" max="2818" width="25.85546875" style="3" customWidth="1"/>
    <col min="2819" max="2819" width="65.140625" style="3" customWidth="1"/>
    <col min="2820" max="3073" width="9.140625" style="3"/>
    <col min="3074" max="3074" width="25.85546875" style="3" customWidth="1"/>
    <col min="3075" max="3075" width="65.140625" style="3" customWidth="1"/>
    <col min="3076" max="3329" width="9.140625" style="3"/>
    <col min="3330" max="3330" width="25.85546875" style="3" customWidth="1"/>
    <col min="3331" max="3331" width="65.140625" style="3" customWidth="1"/>
    <col min="3332" max="3585" width="9.140625" style="3"/>
    <col min="3586" max="3586" width="25.85546875" style="3" customWidth="1"/>
    <col min="3587" max="3587" width="65.140625" style="3" customWidth="1"/>
    <col min="3588" max="3841" width="9.140625" style="3"/>
    <col min="3842" max="3842" width="25.85546875" style="3" customWidth="1"/>
    <col min="3843" max="3843" width="65.140625" style="3" customWidth="1"/>
    <col min="3844" max="4097" width="9.140625" style="3"/>
    <col min="4098" max="4098" width="25.85546875" style="3" customWidth="1"/>
    <col min="4099" max="4099" width="65.140625" style="3" customWidth="1"/>
    <col min="4100" max="4353" width="9.140625" style="3"/>
    <col min="4354" max="4354" width="25.85546875" style="3" customWidth="1"/>
    <col min="4355" max="4355" width="65.140625" style="3" customWidth="1"/>
    <col min="4356" max="4609" width="9.140625" style="3"/>
    <col min="4610" max="4610" width="25.85546875" style="3" customWidth="1"/>
    <col min="4611" max="4611" width="65.140625" style="3" customWidth="1"/>
    <col min="4612" max="4865" width="9.140625" style="3"/>
    <col min="4866" max="4866" width="25.85546875" style="3" customWidth="1"/>
    <col min="4867" max="4867" width="65.140625" style="3" customWidth="1"/>
    <col min="4868" max="5121" width="9.140625" style="3"/>
    <col min="5122" max="5122" width="25.85546875" style="3" customWidth="1"/>
    <col min="5123" max="5123" width="65.140625" style="3" customWidth="1"/>
    <col min="5124" max="5377" width="9.140625" style="3"/>
    <col min="5378" max="5378" width="25.85546875" style="3" customWidth="1"/>
    <col min="5379" max="5379" width="65.140625" style="3" customWidth="1"/>
    <col min="5380" max="5633" width="9.140625" style="3"/>
    <col min="5634" max="5634" width="25.85546875" style="3" customWidth="1"/>
    <col min="5635" max="5635" width="65.140625" style="3" customWidth="1"/>
    <col min="5636" max="5889" width="9.140625" style="3"/>
    <col min="5890" max="5890" width="25.85546875" style="3" customWidth="1"/>
    <col min="5891" max="5891" width="65.140625" style="3" customWidth="1"/>
    <col min="5892" max="6145" width="9.140625" style="3"/>
    <col min="6146" max="6146" width="25.85546875" style="3" customWidth="1"/>
    <col min="6147" max="6147" width="65.140625" style="3" customWidth="1"/>
    <col min="6148" max="6401" width="9.140625" style="3"/>
    <col min="6402" max="6402" width="25.85546875" style="3" customWidth="1"/>
    <col min="6403" max="6403" width="65.140625" style="3" customWidth="1"/>
    <col min="6404" max="6657" width="9.140625" style="3"/>
    <col min="6658" max="6658" width="25.85546875" style="3" customWidth="1"/>
    <col min="6659" max="6659" width="65.140625" style="3" customWidth="1"/>
    <col min="6660" max="6913" width="9.140625" style="3"/>
    <col min="6914" max="6914" width="25.85546875" style="3" customWidth="1"/>
    <col min="6915" max="6915" width="65.140625" style="3" customWidth="1"/>
    <col min="6916" max="7169" width="9.140625" style="3"/>
    <col min="7170" max="7170" width="25.85546875" style="3" customWidth="1"/>
    <col min="7171" max="7171" width="65.140625" style="3" customWidth="1"/>
    <col min="7172" max="7425" width="9.140625" style="3"/>
    <col min="7426" max="7426" width="25.85546875" style="3" customWidth="1"/>
    <col min="7427" max="7427" width="65.140625" style="3" customWidth="1"/>
    <col min="7428" max="7681" width="9.140625" style="3"/>
    <col min="7682" max="7682" width="25.85546875" style="3" customWidth="1"/>
    <col min="7683" max="7683" width="65.140625" style="3" customWidth="1"/>
    <col min="7684" max="7937" width="9.140625" style="3"/>
    <col min="7938" max="7938" width="25.85546875" style="3" customWidth="1"/>
    <col min="7939" max="7939" width="65.140625" style="3" customWidth="1"/>
    <col min="7940" max="8193" width="9.140625" style="3"/>
    <col min="8194" max="8194" width="25.85546875" style="3" customWidth="1"/>
    <col min="8195" max="8195" width="65.140625" style="3" customWidth="1"/>
    <col min="8196" max="8449" width="9.140625" style="3"/>
    <col min="8450" max="8450" width="25.85546875" style="3" customWidth="1"/>
    <col min="8451" max="8451" width="65.140625" style="3" customWidth="1"/>
    <col min="8452" max="8705" width="9.140625" style="3"/>
    <col min="8706" max="8706" width="25.85546875" style="3" customWidth="1"/>
    <col min="8707" max="8707" width="65.140625" style="3" customWidth="1"/>
    <col min="8708" max="8961" width="9.140625" style="3"/>
    <col min="8962" max="8962" width="25.85546875" style="3" customWidth="1"/>
    <col min="8963" max="8963" width="65.140625" style="3" customWidth="1"/>
    <col min="8964" max="9217" width="9.140625" style="3"/>
    <col min="9218" max="9218" width="25.85546875" style="3" customWidth="1"/>
    <col min="9219" max="9219" width="65.140625" style="3" customWidth="1"/>
    <col min="9220" max="9473" width="9.140625" style="3"/>
    <col min="9474" max="9474" width="25.85546875" style="3" customWidth="1"/>
    <col min="9475" max="9475" width="65.140625" style="3" customWidth="1"/>
    <col min="9476" max="9729" width="9.140625" style="3"/>
    <col min="9730" max="9730" width="25.85546875" style="3" customWidth="1"/>
    <col min="9731" max="9731" width="65.140625" style="3" customWidth="1"/>
    <col min="9732" max="9985" width="9.140625" style="3"/>
    <col min="9986" max="9986" width="25.85546875" style="3" customWidth="1"/>
    <col min="9987" max="9987" width="65.140625" style="3" customWidth="1"/>
    <col min="9988" max="10241" width="9.140625" style="3"/>
    <col min="10242" max="10242" width="25.85546875" style="3" customWidth="1"/>
    <col min="10243" max="10243" width="65.140625" style="3" customWidth="1"/>
    <col min="10244" max="10497" width="9.140625" style="3"/>
    <col min="10498" max="10498" width="25.85546875" style="3" customWidth="1"/>
    <col min="10499" max="10499" width="65.140625" style="3" customWidth="1"/>
    <col min="10500" max="10753" width="9.140625" style="3"/>
    <col min="10754" max="10754" width="25.85546875" style="3" customWidth="1"/>
    <col min="10755" max="10755" width="65.140625" style="3" customWidth="1"/>
    <col min="10756" max="11009" width="9.140625" style="3"/>
    <col min="11010" max="11010" width="25.85546875" style="3" customWidth="1"/>
    <col min="11011" max="11011" width="65.140625" style="3" customWidth="1"/>
    <col min="11012" max="11265" width="9.140625" style="3"/>
    <col min="11266" max="11266" width="25.85546875" style="3" customWidth="1"/>
    <col min="11267" max="11267" width="65.140625" style="3" customWidth="1"/>
    <col min="11268" max="11521" width="9.140625" style="3"/>
    <col min="11522" max="11522" width="25.85546875" style="3" customWidth="1"/>
    <col min="11523" max="11523" width="65.140625" style="3" customWidth="1"/>
    <col min="11524" max="11777" width="9.140625" style="3"/>
    <col min="11778" max="11778" width="25.85546875" style="3" customWidth="1"/>
    <col min="11779" max="11779" width="65.140625" style="3" customWidth="1"/>
    <col min="11780" max="12033" width="9.140625" style="3"/>
    <col min="12034" max="12034" width="25.85546875" style="3" customWidth="1"/>
    <col min="12035" max="12035" width="65.140625" style="3" customWidth="1"/>
    <col min="12036" max="12289" width="9.140625" style="3"/>
    <col min="12290" max="12290" width="25.85546875" style="3" customWidth="1"/>
    <col min="12291" max="12291" width="65.140625" style="3" customWidth="1"/>
    <col min="12292" max="12545" width="9.140625" style="3"/>
    <col min="12546" max="12546" width="25.85546875" style="3" customWidth="1"/>
    <col min="12547" max="12547" width="65.140625" style="3" customWidth="1"/>
    <col min="12548" max="12801" width="9.140625" style="3"/>
    <col min="12802" max="12802" width="25.85546875" style="3" customWidth="1"/>
    <col min="12803" max="12803" width="65.140625" style="3" customWidth="1"/>
    <col min="12804" max="13057" width="9.140625" style="3"/>
    <col min="13058" max="13058" width="25.85546875" style="3" customWidth="1"/>
    <col min="13059" max="13059" width="65.140625" style="3" customWidth="1"/>
    <col min="13060" max="13313" width="9.140625" style="3"/>
    <col min="13314" max="13314" width="25.85546875" style="3" customWidth="1"/>
    <col min="13315" max="13315" width="65.140625" style="3" customWidth="1"/>
    <col min="13316" max="13569" width="9.140625" style="3"/>
    <col min="13570" max="13570" width="25.85546875" style="3" customWidth="1"/>
    <col min="13571" max="13571" width="65.140625" style="3" customWidth="1"/>
    <col min="13572" max="13825" width="9.140625" style="3"/>
    <col min="13826" max="13826" width="25.85546875" style="3" customWidth="1"/>
    <col min="13827" max="13827" width="65.140625" style="3" customWidth="1"/>
    <col min="13828" max="14081" width="9.140625" style="3"/>
    <col min="14082" max="14082" width="25.85546875" style="3" customWidth="1"/>
    <col min="14083" max="14083" width="65.140625" style="3" customWidth="1"/>
    <col min="14084" max="14337" width="9.140625" style="3"/>
    <col min="14338" max="14338" width="25.85546875" style="3" customWidth="1"/>
    <col min="14339" max="14339" width="65.140625" style="3" customWidth="1"/>
    <col min="14340" max="14593" width="9.140625" style="3"/>
    <col min="14594" max="14594" width="25.85546875" style="3" customWidth="1"/>
    <col min="14595" max="14595" width="65.140625" style="3" customWidth="1"/>
    <col min="14596" max="14849" width="9.140625" style="3"/>
    <col min="14850" max="14850" width="25.85546875" style="3" customWidth="1"/>
    <col min="14851" max="14851" width="65.140625" style="3" customWidth="1"/>
    <col min="14852" max="15105" width="9.140625" style="3"/>
    <col min="15106" max="15106" width="25.85546875" style="3" customWidth="1"/>
    <col min="15107" max="15107" width="65.140625" style="3" customWidth="1"/>
    <col min="15108" max="15361" width="9.140625" style="3"/>
    <col min="15362" max="15362" width="25.85546875" style="3" customWidth="1"/>
    <col min="15363" max="15363" width="65.140625" style="3" customWidth="1"/>
    <col min="15364" max="15617" width="9.140625" style="3"/>
    <col min="15618" max="15618" width="25.85546875" style="3" customWidth="1"/>
    <col min="15619" max="15619" width="65.140625" style="3" customWidth="1"/>
    <col min="15620" max="15873" width="9.140625" style="3"/>
    <col min="15874" max="15874" width="25.85546875" style="3" customWidth="1"/>
    <col min="15875" max="15875" width="65.140625" style="3" customWidth="1"/>
    <col min="15876" max="16129" width="9.140625" style="3"/>
    <col min="16130" max="16130" width="25.85546875" style="3" customWidth="1"/>
    <col min="16131" max="16131" width="65.140625" style="3" customWidth="1"/>
    <col min="16132" max="16384" width="9.140625" style="3"/>
  </cols>
  <sheetData>
    <row r="1" spans="1:3" x14ac:dyDescent="0.25">
      <c r="B1" s="478" t="s">
        <v>906</v>
      </c>
      <c r="C1" s="478"/>
    </row>
    <row r="2" spans="1:3" x14ac:dyDescent="0.25">
      <c r="B2" s="478" t="s">
        <v>30</v>
      </c>
      <c r="C2" s="478"/>
    </row>
    <row r="3" spans="1:3" x14ac:dyDescent="0.25">
      <c r="B3" s="478" t="s">
        <v>0</v>
      </c>
      <c r="C3" s="478"/>
    </row>
    <row r="4" spans="1:3" x14ac:dyDescent="0.25">
      <c r="B4" s="478" t="s">
        <v>1356</v>
      </c>
      <c r="C4" s="478"/>
    </row>
    <row r="5" spans="1:3" x14ac:dyDescent="0.25">
      <c r="B5" s="1"/>
      <c r="C5" s="1"/>
    </row>
    <row r="6" spans="1:3" ht="15.75" customHeight="1" x14ac:dyDescent="0.25">
      <c r="A6" s="479" t="s">
        <v>1110</v>
      </c>
      <c r="B6" s="479"/>
      <c r="C6" s="479"/>
    </row>
    <row r="7" spans="1:3" x14ac:dyDescent="0.25">
      <c r="B7" s="343"/>
    </row>
    <row r="8" spans="1:3" ht="63" x14ac:dyDescent="0.25">
      <c r="A8" s="344" t="s">
        <v>1111</v>
      </c>
      <c r="B8" s="28" t="s">
        <v>1112</v>
      </c>
      <c r="C8" s="28" t="s">
        <v>1113</v>
      </c>
    </row>
    <row r="9" spans="1:3" x14ac:dyDescent="0.25">
      <c r="A9" s="345" t="s">
        <v>16</v>
      </c>
      <c r="B9" s="346"/>
      <c r="C9" s="347" t="s">
        <v>31</v>
      </c>
    </row>
    <row r="10" spans="1:3" ht="31.5" x14ac:dyDescent="0.25">
      <c r="A10" s="326" t="s">
        <v>16</v>
      </c>
      <c r="B10" s="327" t="s">
        <v>1114</v>
      </c>
      <c r="C10" s="22" t="s">
        <v>1115</v>
      </c>
    </row>
    <row r="11" spans="1:3" ht="31.5" x14ac:dyDescent="0.25">
      <c r="A11" s="326" t="s">
        <v>16</v>
      </c>
      <c r="B11" s="327" t="s">
        <v>1116</v>
      </c>
      <c r="C11" s="22" t="s">
        <v>1117</v>
      </c>
    </row>
    <row r="12" spans="1:3" ht="47.25" x14ac:dyDescent="0.25">
      <c r="A12" s="326" t="s">
        <v>16</v>
      </c>
      <c r="B12" s="327" t="s">
        <v>1118</v>
      </c>
      <c r="C12" s="22" t="s">
        <v>1119</v>
      </c>
    </row>
    <row r="13" spans="1:3" ht="47.25" x14ac:dyDescent="0.25">
      <c r="A13" s="326" t="s">
        <v>16</v>
      </c>
      <c r="B13" s="327" t="s">
        <v>1120</v>
      </c>
      <c r="C13" s="22" t="s">
        <v>1121</v>
      </c>
    </row>
    <row r="14" spans="1:3" ht="47.25" x14ac:dyDescent="0.25">
      <c r="A14" s="137" t="s">
        <v>16</v>
      </c>
      <c r="B14" s="348" t="s">
        <v>1122</v>
      </c>
      <c r="C14" s="37" t="s">
        <v>1123</v>
      </c>
    </row>
    <row r="15" spans="1:3" ht="47.25" x14ac:dyDescent="0.25">
      <c r="A15" s="326" t="s">
        <v>16</v>
      </c>
      <c r="B15" s="89" t="s">
        <v>1124</v>
      </c>
      <c r="C15" s="22" t="s">
        <v>1125</v>
      </c>
    </row>
    <row r="16" spans="1:3" ht="31.5" x14ac:dyDescent="0.25">
      <c r="A16" s="326" t="s">
        <v>16</v>
      </c>
      <c r="B16" s="89" t="s">
        <v>1126</v>
      </c>
      <c r="C16" s="22" t="s">
        <v>1127</v>
      </c>
    </row>
  </sheetData>
  <mergeCells count="5">
    <mergeCell ref="B1:C1"/>
    <mergeCell ref="B2:C2"/>
    <mergeCell ref="B3:C3"/>
    <mergeCell ref="B4:C4"/>
    <mergeCell ref="A6:C6"/>
  </mergeCells>
  <pageMargins left="0.70866141732283472" right="0.70866141732283472" top="0.74803149606299213" bottom="0.74803149606299213" header="0.31496062992125984" footer="0.31496062992125984"/>
  <pageSetup paperSize="9" scale="87" fitToHeight="0"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workbookViewId="0">
      <selection activeCell="E5" sqref="E5"/>
    </sheetView>
  </sheetViews>
  <sheetFormatPr defaultRowHeight="15" x14ac:dyDescent="0.25"/>
  <cols>
    <col min="1" max="1" width="27.7109375" style="77" customWidth="1"/>
    <col min="2" max="2" width="50.42578125" style="77" customWidth="1"/>
    <col min="3" max="3" width="21.42578125" style="77" customWidth="1"/>
    <col min="4" max="4" width="19.85546875" customWidth="1"/>
    <col min="5" max="5" width="18.5703125" customWidth="1"/>
    <col min="257" max="257" width="27.7109375" customWidth="1"/>
    <col min="258" max="258" width="50.42578125" customWidth="1"/>
    <col min="259" max="259" width="21.42578125" customWidth="1"/>
    <col min="260" max="260" width="19.85546875" customWidth="1"/>
    <col min="261" max="261" width="18.5703125" customWidth="1"/>
    <col min="513" max="513" width="27.7109375" customWidth="1"/>
    <col min="514" max="514" width="50.42578125" customWidth="1"/>
    <col min="515" max="515" width="21.42578125" customWidth="1"/>
    <col min="516" max="516" width="19.85546875" customWidth="1"/>
    <col min="517" max="517" width="18.5703125" customWidth="1"/>
    <col min="769" max="769" width="27.7109375" customWidth="1"/>
    <col min="770" max="770" width="50.42578125" customWidth="1"/>
    <col min="771" max="771" width="21.42578125" customWidth="1"/>
    <col min="772" max="772" width="19.85546875" customWidth="1"/>
    <col min="773" max="773" width="18.5703125" customWidth="1"/>
    <col min="1025" max="1025" width="27.7109375" customWidth="1"/>
    <col min="1026" max="1026" width="50.42578125" customWidth="1"/>
    <col min="1027" max="1027" width="21.42578125" customWidth="1"/>
    <col min="1028" max="1028" width="19.85546875" customWidth="1"/>
    <col min="1029" max="1029" width="18.5703125" customWidth="1"/>
    <col min="1281" max="1281" width="27.7109375" customWidth="1"/>
    <col min="1282" max="1282" width="50.42578125" customWidth="1"/>
    <col min="1283" max="1283" width="21.42578125" customWidth="1"/>
    <col min="1284" max="1284" width="19.85546875" customWidth="1"/>
    <col min="1285" max="1285" width="18.5703125" customWidth="1"/>
    <col min="1537" max="1537" width="27.7109375" customWidth="1"/>
    <col min="1538" max="1538" width="50.42578125" customWidth="1"/>
    <col min="1539" max="1539" width="21.42578125" customWidth="1"/>
    <col min="1540" max="1540" width="19.85546875" customWidth="1"/>
    <col min="1541" max="1541" width="18.5703125" customWidth="1"/>
    <col min="1793" max="1793" width="27.7109375" customWidth="1"/>
    <col min="1794" max="1794" width="50.42578125" customWidth="1"/>
    <col min="1795" max="1795" width="21.42578125" customWidth="1"/>
    <col min="1796" max="1796" width="19.85546875" customWidth="1"/>
    <col min="1797" max="1797" width="18.5703125" customWidth="1"/>
    <col min="2049" max="2049" width="27.7109375" customWidth="1"/>
    <col min="2050" max="2050" width="50.42578125" customWidth="1"/>
    <col min="2051" max="2051" width="21.42578125" customWidth="1"/>
    <col min="2052" max="2052" width="19.85546875" customWidth="1"/>
    <col min="2053" max="2053" width="18.5703125" customWidth="1"/>
    <col min="2305" max="2305" width="27.7109375" customWidth="1"/>
    <col min="2306" max="2306" width="50.42578125" customWidth="1"/>
    <col min="2307" max="2307" width="21.42578125" customWidth="1"/>
    <col min="2308" max="2308" width="19.85546875" customWidth="1"/>
    <col min="2309" max="2309" width="18.5703125" customWidth="1"/>
    <col min="2561" max="2561" width="27.7109375" customWidth="1"/>
    <col min="2562" max="2562" width="50.42578125" customWidth="1"/>
    <col min="2563" max="2563" width="21.42578125" customWidth="1"/>
    <col min="2564" max="2564" width="19.85546875" customWidth="1"/>
    <col min="2565" max="2565" width="18.5703125" customWidth="1"/>
    <col min="2817" max="2817" width="27.7109375" customWidth="1"/>
    <col min="2818" max="2818" width="50.42578125" customWidth="1"/>
    <col min="2819" max="2819" width="21.42578125" customWidth="1"/>
    <col min="2820" max="2820" width="19.85546875" customWidth="1"/>
    <col min="2821" max="2821" width="18.5703125" customWidth="1"/>
    <col min="3073" max="3073" width="27.7109375" customWidth="1"/>
    <col min="3074" max="3074" width="50.42578125" customWidth="1"/>
    <col min="3075" max="3075" width="21.42578125" customWidth="1"/>
    <col min="3076" max="3076" width="19.85546875" customWidth="1"/>
    <col min="3077" max="3077" width="18.5703125" customWidth="1"/>
    <col min="3329" max="3329" width="27.7109375" customWidth="1"/>
    <col min="3330" max="3330" width="50.42578125" customWidth="1"/>
    <col min="3331" max="3331" width="21.42578125" customWidth="1"/>
    <col min="3332" max="3332" width="19.85546875" customWidth="1"/>
    <col min="3333" max="3333" width="18.5703125" customWidth="1"/>
    <col min="3585" max="3585" width="27.7109375" customWidth="1"/>
    <col min="3586" max="3586" width="50.42578125" customWidth="1"/>
    <col min="3587" max="3587" width="21.42578125" customWidth="1"/>
    <col min="3588" max="3588" width="19.85546875" customWidth="1"/>
    <col min="3589" max="3589" width="18.5703125" customWidth="1"/>
    <col min="3841" max="3841" width="27.7109375" customWidth="1"/>
    <col min="3842" max="3842" width="50.42578125" customWidth="1"/>
    <col min="3843" max="3843" width="21.42578125" customWidth="1"/>
    <col min="3844" max="3844" width="19.85546875" customWidth="1"/>
    <col min="3845" max="3845" width="18.5703125" customWidth="1"/>
    <col min="4097" max="4097" width="27.7109375" customWidth="1"/>
    <col min="4098" max="4098" width="50.42578125" customWidth="1"/>
    <col min="4099" max="4099" width="21.42578125" customWidth="1"/>
    <col min="4100" max="4100" width="19.85546875" customWidth="1"/>
    <col min="4101" max="4101" width="18.5703125" customWidth="1"/>
    <col min="4353" max="4353" width="27.7109375" customWidth="1"/>
    <col min="4354" max="4354" width="50.42578125" customWidth="1"/>
    <col min="4355" max="4355" width="21.42578125" customWidth="1"/>
    <col min="4356" max="4356" width="19.85546875" customWidth="1"/>
    <col min="4357" max="4357" width="18.5703125" customWidth="1"/>
    <col min="4609" max="4609" width="27.7109375" customWidth="1"/>
    <col min="4610" max="4610" width="50.42578125" customWidth="1"/>
    <col min="4611" max="4611" width="21.42578125" customWidth="1"/>
    <col min="4612" max="4612" width="19.85546875" customWidth="1"/>
    <col min="4613" max="4613" width="18.5703125" customWidth="1"/>
    <col min="4865" max="4865" width="27.7109375" customWidth="1"/>
    <col min="4866" max="4866" width="50.42578125" customWidth="1"/>
    <col min="4867" max="4867" width="21.42578125" customWidth="1"/>
    <col min="4868" max="4868" width="19.85546875" customWidth="1"/>
    <col min="4869" max="4869" width="18.5703125" customWidth="1"/>
    <col min="5121" max="5121" width="27.7109375" customWidth="1"/>
    <col min="5122" max="5122" width="50.42578125" customWidth="1"/>
    <col min="5123" max="5123" width="21.42578125" customWidth="1"/>
    <col min="5124" max="5124" width="19.85546875" customWidth="1"/>
    <col min="5125" max="5125" width="18.5703125" customWidth="1"/>
    <col min="5377" max="5377" width="27.7109375" customWidth="1"/>
    <col min="5378" max="5378" width="50.42578125" customWidth="1"/>
    <col min="5379" max="5379" width="21.42578125" customWidth="1"/>
    <col min="5380" max="5380" width="19.85546875" customWidth="1"/>
    <col min="5381" max="5381" width="18.5703125" customWidth="1"/>
    <col min="5633" max="5633" width="27.7109375" customWidth="1"/>
    <col min="5634" max="5634" width="50.42578125" customWidth="1"/>
    <col min="5635" max="5635" width="21.42578125" customWidth="1"/>
    <col min="5636" max="5636" width="19.85546875" customWidth="1"/>
    <col min="5637" max="5637" width="18.5703125" customWidth="1"/>
    <col min="5889" max="5889" width="27.7109375" customWidth="1"/>
    <col min="5890" max="5890" width="50.42578125" customWidth="1"/>
    <col min="5891" max="5891" width="21.42578125" customWidth="1"/>
    <col min="5892" max="5892" width="19.85546875" customWidth="1"/>
    <col min="5893" max="5893" width="18.5703125" customWidth="1"/>
    <col min="6145" max="6145" width="27.7109375" customWidth="1"/>
    <col min="6146" max="6146" width="50.42578125" customWidth="1"/>
    <col min="6147" max="6147" width="21.42578125" customWidth="1"/>
    <col min="6148" max="6148" width="19.85546875" customWidth="1"/>
    <col min="6149" max="6149" width="18.5703125" customWidth="1"/>
    <col min="6401" max="6401" width="27.7109375" customWidth="1"/>
    <col min="6402" max="6402" width="50.42578125" customWidth="1"/>
    <col min="6403" max="6403" width="21.42578125" customWidth="1"/>
    <col min="6404" max="6404" width="19.85546875" customWidth="1"/>
    <col min="6405" max="6405" width="18.5703125" customWidth="1"/>
    <col min="6657" max="6657" width="27.7109375" customWidth="1"/>
    <col min="6658" max="6658" width="50.42578125" customWidth="1"/>
    <col min="6659" max="6659" width="21.42578125" customWidth="1"/>
    <col min="6660" max="6660" width="19.85546875" customWidth="1"/>
    <col min="6661" max="6661" width="18.5703125" customWidth="1"/>
    <col min="6913" max="6913" width="27.7109375" customWidth="1"/>
    <col min="6914" max="6914" width="50.42578125" customWidth="1"/>
    <col min="6915" max="6915" width="21.42578125" customWidth="1"/>
    <col min="6916" max="6916" width="19.85546875" customWidth="1"/>
    <col min="6917" max="6917" width="18.5703125" customWidth="1"/>
    <col min="7169" max="7169" width="27.7109375" customWidth="1"/>
    <col min="7170" max="7170" width="50.42578125" customWidth="1"/>
    <col min="7171" max="7171" width="21.42578125" customWidth="1"/>
    <col min="7172" max="7172" width="19.85546875" customWidth="1"/>
    <col min="7173" max="7173" width="18.5703125" customWidth="1"/>
    <col min="7425" max="7425" width="27.7109375" customWidth="1"/>
    <col min="7426" max="7426" width="50.42578125" customWidth="1"/>
    <col min="7427" max="7427" width="21.42578125" customWidth="1"/>
    <col min="7428" max="7428" width="19.85546875" customWidth="1"/>
    <col min="7429" max="7429" width="18.5703125" customWidth="1"/>
    <col min="7681" max="7681" width="27.7109375" customWidth="1"/>
    <col min="7682" max="7682" width="50.42578125" customWidth="1"/>
    <col min="7683" max="7683" width="21.42578125" customWidth="1"/>
    <col min="7684" max="7684" width="19.85546875" customWidth="1"/>
    <col min="7685" max="7685" width="18.5703125" customWidth="1"/>
    <col min="7937" max="7937" width="27.7109375" customWidth="1"/>
    <col min="7938" max="7938" width="50.42578125" customWidth="1"/>
    <col min="7939" max="7939" width="21.42578125" customWidth="1"/>
    <col min="7940" max="7940" width="19.85546875" customWidth="1"/>
    <col min="7941" max="7941" width="18.5703125" customWidth="1"/>
    <col min="8193" max="8193" width="27.7109375" customWidth="1"/>
    <col min="8194" max="8194" width="50.42578125" customWidth="1"/>
    <col min="8195" max="8195" width="21.42578125" customWidth="1"/>
    <col min="8196" max="8196" width="19.85546875" customWidth="1"/>
    <col min="8197" max="8197" width="18.5703125" customWidth="1"/>
    <col min="8449" max="8449" width="27.7109375" customWidth="1"/>
    <col min="8450" max="8450" width="50.42578125" customWidth="1"/>
    <col min="8451" max="8451" width="21.42578125" customWidth="1"/>
    <col min="8452" max="8452" width="19.85546875" customWidth="1"/>
    <col min="8453" max="8453" width="18.5703125" customWidth="1"/>
    <col min="8705" max="8705" width="27.7109375" customWidth="1"/>
    <col min="8706" max="8706" width="50.42578125" customWidth="1"/>
    <col min="8707" max="8707" width="21.42578125" customWidth="1"/>
    <col min="8708" max="8708" width="19.85546875" customWidth="1"/>
    <col min="8709" max="8709" width="18.5703125" customWidth="1"/>
    <col min="8961" max="8961" width="27.7109375" customWidth="1"/>
    <col min="8962" max="8962" width="50.42578125" customWidth="1"/>
    <col min="8963" max="8963" width="21.42578125" customWidth="1"/>
    <col min="8964" max="8964" width="19.85546875" customWidth="1"/>
    <col min="8965" max="8965" width="18.5703125" customWidth="1"/>
    <col min="9217" max="9217" width="27.7109375" customWidth="1"/>
    <col min="9218" max="9218" width="50.42578125" customWidth="1"/>
    <col min="9219" max="9219" width="21.42578125" customWidth="1"/>
    <col min="9220" max="9220" width="19.85546875" customWidth="1"/>
    <col min="9221" max="9221" width="18.5703125" customWidth="1"/>
    <col min="9473" max="9473" width="27.7109375" customWidth="1"/>
    <col min="9474" max="9474" width="50.42578125" customWidth="1"/>
    <col min="9475" max="9475" width="21.42578125" customWidth="1"/>
    <col min="9476" max="9476" width="19.85546875" customWidth="1"/>
    <col min="9477" max="9477" width="18.5703125" customWidth="1"/>
    <col min="9729" max="9729" width="27.7109375" customWidth="1"/>
    <col min="9730" max="9730" width="50.42578125" customWidth="1"/>
    <col min="9731" max="9731" width="21.42578125" customWidth="1"/>
    <col min="9732" max="9732" width="19.85546875" customWidth="1"/>
    <col min="9733" max="9733" width="18.5703125" customWidth="1"/>
    <col min="9985" max="9985" width="27.7109375" customWidth="1"/>
    <col min="9986" max="9986" width="50.42578125" customWidth="1"/>
    <col min="9987" max="9987" width="21.42578125" customWidth="1"/>
    <col min="9988" max="9988" width="19.85546875" customWidth="1"/>
    <col min="9989" max="9989" width="18.5703125" customWidth="1"/>
    <col min="10241" max="10241" width="27.7109375" customWidth="1"/>
    <col min="10242" max="10242" width="50.42578125" customWidth="1"/>
    <col min="10243" max="10243" width="21.42578125" customWidth="1"/>
    <col min="10244" max="10244" width="19.85546875" customWidth="1"/>
    <col min="10245" max="10245" width="18.5703125" customWidth="1"/>
    <col min="10497" max="10497" width="27.7109375" customWidth="1"/>
    <col min="10498" max="10498" width="50.42578125" customWidth="1"/>
    <col min="10499" max="10499" width="21.42578125" customWidth="1"/>
    <col min="10500" max="10500" width="19.85546875" customWidth="1"/>
    <col min="10501" max="10501" width="18.5703125" customWidth="1"/>
    <col min="10753" max="10753" width="27.7109375" customWidth="1"/>
    <col min="10754" max="10754" width="50.42578125" customWidth="1"/>
    <col min="10755" max="10755" width="21.42578125" customWidth="1"/>
    <col min="10756" max="10756" width="19.85546875" customWidth="1"/>
    <col min="10757" max="10757" width="18.5703125" customWidth="1"/>
    <col min="11009" max="11009" width="27.7109375" customWidth="1"/>
    <col min="11010" max="11010" width="50.42578125" customWidth="1"/>
    <col min="11011" max="11011" width="21.42578125" customWidth="1"/>
    <col min="11012" max="11012" width="19.85546875" customWidth="1"/>
    <col min="11013" max="11013" width="18.5703125" customWidth="1"/>
    <col min="11265" max="11265" width="27.7109375" customWidth="1"/>
    <col min="11266" max="11266" width="50.42578125" customWidth="1"/>
    <col min="11267" max="11267" width="21.42578125" customWidth="1"/>
    <col min="11268" max="11268" width="19.85546875" customWidth="1"/>
    <col min="11269" max="11269" width="18.5703125" customWidth="1"/>
    <col min="11521" max="11521" width="27.7109375" customWidth="1"/>
    <col min="11522" max="11522" width="50.42578125" customWidth="1"/>
    <col min="11523" max="11523" width="21.42578125" customWidth="1"/>
    <col min="11524" max="11524" width="19.85546875" customWidth="1"/>
    <col min="11525" max="11525" width="18.5703125" customWidth="1"/>
    <col min="11777" max="11777" width="27.7109375" customWidth="1"/>
    <col min="11778" max="11778" width="50.42578125" customWidth="1"/>
    <col min="11779" max="11779" width="21.42578125" customWidth="1"/>
    <col min="11780" max="11780" width="19.85546875" customWidth="1"/>
    <col min="11781" max="11781" width="18.5703125" customWidth="1"/>
    <col min="12033" max="12033" width="27.7109375" customWidth="1"/>
    <col min="12034" max="12034" width="50.42578125" customWidth="1"/>
    <col min="12035" max="12035" width="21.42578125" customWidth="1"/>
    <col min="12036" max="12036" width="19.85546875" customWidth="1"/>
    <col min="12037" max="12037" width="18.5703125" customWidth="1"/>
    <col min="12289" max="12289" width="27.7109375" customWidth="1"/>
    <col min="12290" max="12290" width="50.42578125" customWidth="1"/>
    <col min="12291" max="12291" width="21.42578125" customWidth="1"/>
    <col min="12292" max="12292" width="19.85546875" customWidth="1"/>
    <col min="12293" max="12293" width="18.5703125" customWidth="1"/>
    <col min="12545" max="12545" width="27.7109375" customWidth="1"/>
    <col min="12546" max="12546" width="50.42578125" customWidth="1"/>
    <col min="12547" max="12547" width="21.42578125" customWidth="1"/>
    <col min="12548" max="12548" width="19.85546875" customWidth="1"/>
    <col min="12549" max="12549" width="18.5703125" customWidth="1"/>
    <col min="12801" max="12801" width="27.7109375" customWidth="1"/>
    <col min="12802" max="12802" width="50.42578125" customWidth="1"/>
    <col min="12803" max="12803" width="21.42578125" customWidth="1"/>
    <col min="12804" max="12804" width="19.85546875" customWidth="1"/>
    <col min="12805" max="12805" width="18.5703125" customWidth="1"/>
    <col min="13057" max="13057" width="27.7109375" customWidth="1"/>
    <col min="13058" max="13058" width="50.42578125" customWidth="1"/>
    <col min="13059" max="13059" width="21.42578125" customWidth="1"/>
    <col min="13060" max="13060" width="19.85546875" customWidth="1"/>
    <col min="13061" max="13061" width="18.5703125" customWidth="1"/>
    <col min="13313" max="13313" width="27.7109375" customWidth="1"/>
    <col min="13314" max="13314" width="50.42578125" customWidth="1"/>
    <col min="13315" max="13315" width="21.42578125" customWidth="1"/>
    <col min="13316" max="13316" width="19.85546875" customWidth="1"/>
    <col min="13317" max="13317" width="18.5703125" customWidth="1"/>
    <col min="13569" max="13569" width="27.7109375" customWidth="1"/>
    <col min="13570" max="13570" width="50.42578125" customWidth="1"/>
    <col min="13571" max="13571" width="21.42578125" customWidth="1"/>
    <col min="13572" max="13572" width="19.85546875" customWidth="1"/>
    <col min="13573" max="13573" width="18.5703125" customWidth="1"/>
    <col min="13825" max="13825" width="27.7109375" customWidth="1"/>
    <col min="13826" max="13826" width="50.42578125" customWidth="1"/>
    <col min="13827" max="13827" width="21.42578125" customWidth="1"/>
    <col min="13828" max="13828" width="19.85546875" customWidth="1"/>
    <col min="13829" max="13829" width="18.5703125" customWidth="1"/>
    <col min="14081" max="14081" width="27.7109375" customWidth="1"/>
    <col min="14082" max="14082" width="50.42578125" customWidth="1"/>
    <col min="14083" max="14083" width="21.42578125" customWidth="1"/>
    <col min="14084" max="14084" width="19.85546875" customWidth="1"/>
    <col min="14085" max="14085" width="18.5703125" customWidth="1"/>
    <col min="14337" max="14337" width="27.7109375" customWidth="1"/>
    <col min="14338" max="14338" width="50.42578125" customWidth="1"/>
    <col min="14339" max="14339" width="21.42578125" customWidth="1"/>
    <col min="14340" max="14340" width="19.85546875" customWidth="1"/>
    <col min="14341" max="14341" width="18.5703125" customWidth="1"/>
    <col min="14593" max="14593" width="27.7109375" customWidth="1"/>
    <col min="14594" max="14594" width="50.42578125" customWidth="1"/>
    <col min="14595" max="14595" width="21.42578125" customWidth="1"/>
    <col min="14596" max="14596" width="19.85546875" customWidth="1"/>
    <col min="14597" max="14597" width="18.5703125" customWidth="1"/>
    <col min="14849" max="14849" width="27.7109375" customWidth="1"/>
    <col min="14850" max="14850" width="50.42578125" customWidth="1"/>
    <col min="14851" max="14851" width="21.42578125" customWidth="1"/>
    <col min="14852" max="14852" width="19.85546875" customWidth="1"/>
    <col min="14853" max="14853" width="18.5703125" customWidth="1"/>
    <col min="15105" max="15105" width="27.7109375" customWidth="1"/>
    <col min="15106" max="15106" width="50.42578125" customWidth="1"/>
    <col min="15107" max="15107" width="21.42578125" customWidth="1"/>
    <col min="15108" max="15108" width="19.85546875" customWidth="1"/>
    <col min="15109" max="15109" width="18.5703125" customWidth="1"/>
    <col min="15361" max="15361" width="27.7109375" customWidth="1"/>
    <col min="15362" max="15362" width="50.42578125" customWidth="1"/>
    <col min="15363" max="15363" width="21.42578125" customWidth="1"/>
    <col min="15364" max="15364" width="19.85546875" customWidth="1"/>
    <col min="15365" max="15365" width="18.5703125" customWidth="1"/>
    <col min="15617" max="15617" width="27.7109375" customWidth="1"/>
    <col min="15618" max="15618" width="50.42578125" customWidth="1"/>
    <col min="15619" max="15619" width="21.42578125" customWidth="1"/>
    <col min="15620" max="15620" width="19.85546875" customWidth="1"/>
    <col min="15621" max="15621" width="18.5703125" customWidth="1"/>
    <col min="15873" max="15873" width="27.7109375" customWidth="1"/>
    <col min="15874" max="15874" width="50.42578125" customWidth="1"/>
    <col min="15875" max="15875" width="21.42578125" customWidth="1"/>
    <col min="15876" max="15876" width="19.85546875" customWidth="1"/>
    <col min="15877" max="15877" width="18.5703125" customWidth="1"/>
    <col min="16129" max="16129" width="27.7109375" customWidth="1"/>
    <col min="16130" max="16130" width="50.42578125" customWidth="1"/>
    <col min="16131" max="16131" width="21.42578125" customWidth="1"/>
    <col min="16132" max="16132" width="19.85546875" customWidth="1"/>
    <col min="16133" max="16133" width="18.5703125" customWidth="1"/>
  </cols>
  <sheetData>
    <row r="1" spans="1:5" ht="15.75" x14ac:dyDescent="0.25">
      <c r="A1" s="1"/>
      <c r="C1" s="78"/>
      <c r="D1" s="78"/>
      <c r="E1" s="264" t="s">
        <v>104</v>
      </c>
    </row>
    <row r="2" spans="1:5" ht="15.75" x14ac:dyDescent="0.25">
      <c r="A2" s="1"/>
      <c r="C2" s="78"/>
      <c r="D2" s="78"/>
      <c r="E2" s="264" t="s">
        <v>30</v>
      </c>
    </row>
    <row r="3" spans="1:5" ht="15.75" x14ac:dyDescent="0.25">
      <c r="A3" s="1"/>
      <c r="C3" s="78"/>
      <c r="D3" s="78"/>
      <c r="E3" s="264" t="s">
        <v>203</v>
      </c>
    </row>
    <row r="4" spans="1:5" ht="15.75" x14ac:dyDescent="0.25">
      <c r="A4" s="1"/>
      <c r="C4" s="78"/>
      <c r="D4" s="2"/>
      <c r="E4" s="2" t="s">
        <v>1356</v>
      </c>
    </row>
    <row r="5" spans="1:5" ht="15.75" x14ac:dyDescent="0.25">
      <c r="A5" s="1"/>
      <c r="B5" s="26"/>
      <c r="C5" s="29"/>
      <c r="E5" s="265"/>
    </row>
    <row r="6" spans="1:5" ht="15.75" x14ac:dyDescent="0.25">
      <c r="A6" s="1"/>
      <c r="B6" s="26"/>
      <c r="C6" s="29"/>
    </row>
    <row r="7" spans="1:5" ht="15.75" customHeight="1" x14ac:dyDescent="0.25">
      <c r="A7" s="479" t="s">
        <v>1348</v>
      </c>
      <c r="B7" s="479"/>
      <c r="C7" s="479"/>
      <c r="D7" s="479"/>
      <c r="E7" s="479"/>
    </row>
    <row r="8" spans="1:5" ht="15.75" x14ac:dyDescent="0.25">
      <c r="A8" s="79"/>
      <c r="B8" s="79"/>
      <c r="C8" s="79"/>
    </row>
    <row r="9" spans="1:5" ht="15.75" x14ac:dyDescent="0.25">
      <c r="A9" s="480" t="s">
        <v>121</v>
      </c>
      <c r="B9" s="482" t="s">
        <v>1</v>
      </c>
      <c r="C9" s="484" t="s">
        <v>204</v>
      </c>
      <c r="D9" s="485"/>
      <c r="E9" s="486"/>
    </row>
    <row r="10" spans="1:5" ht="15.75" x14ac:dyDescent="0.25">
      <c r="A10" s="481"/>
      <c r="B10" s="483"/>
      <c r="C10" s="64">
        <v>2018</v>
      </c>
      <c r="D10" s="80">
        <v>2019</v>
      </c>
      <c r="E10" s="80">
        <v>2020</v>
      </c>
    </row>
    <row r="11" spans="1:5" ht="31.5" x14ac:dyDescent="0.25">
      <c r="A11" s="81" t="s">
        <v>205</v>
      </c>
      <c r="B11" s="82" t="s">
        <v>173</v>
      </c>
      <c r="C11" s="83">
        <v>0</v>
      </c>
      <c r="D11" s="83">
        <f>D12+D13</f>
        <v>0</v>
      </c>
      <c r="E11" s="83">
        <f>E12+E13</f>
        <v>0</v>
      </c>
    </row>
    <row r="12" spans="1:5" ht="47.25" x14ac:dyDescent="0.25">
      <c r="A12" s="84" t="s">
        <v>206</v>
      </c>
      <c r="B12" s="85" t="s">
        <v>207</v>
      </c>
      <c r="C12" s="83">
        <v>0</v>
      </c>
      <c r="D12" s="86">
        <v>0</v>
      </c>
      <c r="E12" s="86">
        <v>0</v>
      </c>
    </row>
    <row r="13" spans="1:5" ht="47.25" x14ac:dyDescent="0.25">
      <c r="A13" s="84" t="s">
        <v>208</v>
      </c>
      <c r="B13" s="85" t="s">
        <v>209</v>
      </c>
      <c r="C13" s="42">
        <v>0</v>
      </c>
      <c r="D13" s="86">
        <v>0</v>
      </c>
      <c r="E13" s="86">
        <v>0</v>
      </c>
    </row>
    <row r="14" spans="1:5" ht="47.25" x14ac:dyDescent="0.25">
      <c r="A14" s="84" t="s">
        <v>210</v>
      </c>
      <c r="B14" s="85" t="s">
        <v>211</v>
      </c>
      <c r="C14" s="42">
        <v>0</v>
      </c>
      <c r="D14" s="42">
        <v>0</v>
      </c>
      <c r="E14" s="42">
        <v>0</v>
      </c>
    </row>
    <row r="15" spans="1:5" ht="63" x14ac:dyDescent="0.25">
      <c r="A15" s="84" t="s">
        <v>212</v>
      </c>
      <c r="B15" s="85" t="s">
        <v>213</v>
      </c>
      <c r="C15" s="42">
        <v>0</v>
      </c>
      <c r="D15" s="86">
        <v>0</v>
      </c>
      <c r="E15" s="86">
        <v>0</v>
      </c>
    </row>
    <row r="16" spans="1:5" ht="63" x14ac:dyDescent="0.25">
      <c r="A16" s="84" t="s">
        <v>214</v>
      </c>
      <c r="B16" s="85" t="s">
        <v>215</v>
      </c>
      <c r="C16" s="42">
        <v>0</v>
      </c>
      <c r="D16" s="86">
        <v>0</v>
      </c>
      <c r="E16" s="86">
        <v>0</v>
      </c>
    </row>
    <row r="17" spans="1:5" ht="32.25" x14ac:dyDescent="0.3">
      <c r="A17" s="27" t="s">
        <v>216</v>
      </c>
      <c r="B17" s="22" t="s">
        <v>172</v>
      </c>
      <c r="C17" s="42">
        <v>0</v>
      </c>
      <c r="D17" s="87">
        <v>0</v>
      </c>
      <c r="E17" s="87">
        <v>0</v>
      </c>
    </row>
    <row r="18" spans="1:5" ht="31.5" x14ac:dyDescent="0.25">
      <c r="A18" s="84" t="s">
        <v>217</v>
      </c>
      <c r="B18" s="85" t="s">
        <v>218</v>
      </c>
      <c r="C18" s="42">
        <f>C19+C20</f>
        <v>3965769.97</v>
      </c>
      <c r="D18" s="42">
        <f>D19+D20</f>
        <v>0</v>
      </c>
      <c r="E18" s="42">
        <f>E19+E20</f>
        <v>0</v>
      </c>
    </row>
    <row r="19" spans="1:5" ht="63" x14ac:dyDescent="0.25">
      <c r="A19" s="88" t="s">
        <v>219</v>
      </c>
      <c r="B19" s="85" t="s">
        <v>220</v>
      </c>
      <c r="C19" s="42">
        <v>0</v>
      </c>
      <c r="D19" s="86">
        <v>0</v>
      </c>
      <c r="E19" s="86">
        <v>0</v>
      </c>
    </row>
    <row r="20" spans="1:5" ht="63" x14ac:dyDescent="0.25">
      <c r="A20" s="286" t="s">
        <v>221</v>
      </c>
      <c r="B20" s="22" t="s">
        <v>222</v>
      </c>
      <c r="C20" s="42">
        <v>3965769.97</v>
      </c>
      <c r="D20" s="86">
        <v>0</v>
      </c>
      <c r="E20" s="86">
        <v>0</v>
      </c>
    </row>
    <row r="21" spans="1:5" ht="29.25" customHeight="1" x14ac:dyDescent="0.25">
      <c r="A21" s="89" t="s">
        <v>184</v>
      </c>
      <c r="B21" s="90" t="s">
        <v>223</v>
      </c>
      <c r="C21" s="42">
        <f>C17+C18</f>
        <v>3965769.97</v>
      </c>
      <c r="D21" s="42">
        <f>D17+D18</f>
        <v>0</v>
      </c>
      <c r="E21" s="42">
        <f>E17+E18</f>
        <v>0</v>
      </c>
    </row>
    <row r="22" spans="1:5" ht="0.75" customHeight="1" x14ac:dyDescent="0.25">
      <c r="A22" s="487" t="s">
        <v>224</v>
      </c>
      <c r="B22" s="487"/>
      <c r="C22" s="487"/>
    </row>
    <row r="23" spans="1:5" ht="16.5" x14ac:dyDescent="0.3">
      <c r="B23" s="91"/>
      <c r="C23" s="92"/>
      <c r="D23" s="92"/>
      <c r="E23" s="92"/>
    </row>
    <row r="24" spans="1:5" s="94" customFormat="1" ht="16.5" x14ac:dyDescent="0.3">
      <c r="A24" s="77"/>
      <c r="B24" s="93"/>
      <c r="C24" s="92"/>
      <c r="D24" s="92"/>
      <c r="E24" s="92"/>
    </row>
    <row r="27" spans="1:5" x14ac:dyDescent="0.25">
      <c r="B27" s="17"/>
      <c r="C27" s="95"/>
      <c r="D27" s="95"/>
      <c r="E27" s="95"/>
    </row>
    <row r="28" spans="1:5" x14ac:dyDescent="0.25">
      <c r="B28" s="17"/>
      <c r="C28" s="95"/>
    </row>
  </sheetData>
  <mergeCells count="5">
    <mergeCell ref="A7:E7"/>
    <mergeCell ref="A9:A10"/>
    <mergeCell ref="B9:B10"/>
    <mergeCell ref="C9:E9"/>
    <mergeCell ref="A22:C22"/>
  </mergeCells>
  <pageMargins left="0.59055118110236227" right="0.19685039370078741" top="0.74803149606299213" bottom="0.74803149606299213" header="0.31496062992125984" footer="0.31496062992125984"/>
  <pageSetup paperSize="9" scale="6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opLeftCell="A14" zoomScaleNormal="100" workbookViewId="0">
      <selection activeCell="A17" sqref="A17:XFD17"/>
    </sheetView>
  </sheetViews>
  <sheetFormatPr defaultRowHeight="15" x14ac:dyDescent="0.25"/>
  <cols>
    <col min="1" max="1" width="12.140625" customWidth="1"/>
    <col min="2" max="2" width="18.28515625" customWidth="1"/>
    <col min="3" max="3" width="10" customWidth="1"/>
    <col min="4" max="4" width="46.5703125" customWidth="1"/>
    <col min="5" max="5" width="20.5703125" customWidth="1"/>
    <col min="6" max="6" width="19.5703125" customWidth="1"/>
    <col min="7" max="7" width="20" customWidth="1"/>
    <col min="9" max="11" width="13.5703125" bestFit="1" customWidth="1"/>
  </cols>
  <sheetData>
    <row r="1" spans="1:11" ht="12.75" customHeight="1" x14ac:dyDescent="0.25">
      <c r="A1" s="200"/>
      <c r="B1" s="201"/>
      <c r="C1" s="201"/>
      <c r="D1" s="198"/>
      <c r="E1" s="198"/>
      <c r="F1" s="78"/>
      <c r="G1" s="198" t="s">
        <v>906</v>
      </c>
      <c r="H1" s="78"/>
      <c r="I1" s="78"/>
      <c r="J1" s="78"/>
    </row>
    <row r="2" spans="1:11" ht="12.75" customHeight="1" x14ac:dyDescent="0.25">
      <c r="A2" s="202"/>
      <c r="B2" s="203"/>
      <c r="C2" s="203"/>
      <c r="D2" s="198"/>
      <c r="E2" s="198"/>
      <c r="F2" s="78"/>
      <c r="G2" s="198" t="s">
        <v>30</v>
      </c>
      <c r="H2" s="78"/>
      <c r="I2" s="78"/>
      <c r="J2" s="78"/>
    </row>
    <row r="3" spans="1:11" ht="15.75" x14ac:dyDescent="0.25">
      <c r="A3" s="202"/>
      <c r="B3" s="203"/>
      <c r="C3" s="203"/>
      <c r="D3" s="198"/>
      <c r="E3" s="198"/>
      <c r="F3" s="78"/>
      <c r="G3" s="198" t="s">
        <v>32</v>
      </c>
      <c r="H3" s="78"/>
      <c r="I3" s="78"/>
      <c r="J3" s="78"/>
    </row>
    <row r="4" spans="1:11" ht="16.5" customHeight="1" x14ac:dyDescent="0.25">
      <c r="A4" s="202"/>
      <c r="B4" s="203"/>
      <c r="C4" s="203"/>
      <c r="D4" s="198"/>
      <c r="E4" s="198"/>
      <c r="F4" s="78"/>
      <c r="G4" s="2" t="s">
        <v>916</v>
      </c>
      <c r="H4" s="78"/>
      <c r="I4" s="78"/>
      <c r="J4" s="78"/>
    </row>
    <row r="5" spans="1:11" x14ac:dyDescent="0.25">
      <c r="A5" s="204"/>
      <c r="B5" s="204"/>
      <c r="C5" s="204"/>
      <c r="D5" s="204"/>
      <c r="E5" s="205"/>
      <c r="F5" s="205"/>
      <c r="G5" s="204"/>
      <c r="H5" s="204"/>
    </row>
    <row r="6" spans="1:11" ht="0.75" customHeight="1" x14ac:dyDescent="0.25">
      <c r="A6" s="204"/>
      <c r="B6" s="204"/>
      <c r="C6" s="204"/>
      <c r="D6" s="204"/>
      <c r="E6" s="204"/>
      <c r="F6" s="204"/>
      <c r="G6" s="204"/>
      <c r="H6" s="204"/>
    </row>
    <row r="7" spans="1:11" ht="15.75" x14ac:dyDescent="0.25">
      <c r="A7" s="488" t="s">
        <v>736</v>
      </c>
      <c r="B7" s="488"/>
      <c r="C7" s="488"/>
      <c r="D7" s="488"/>
      <c r="E7" s="488"/>
      <c r="F7" s="204"/>
      <c r="G7" s="204"/>
      <c r="H7" s="204"/>
    </row>
    <row r="8" spans="1:11" ht="13.15" customHeight="1" x14ac:dyDescent="0.25">
      <c r="A8" s="204"/>
      <c r="B8" s="204"/>
      <c r="C8" s="204"/>
      <c r="D8" s="204"/>
      <c r="E8" s="204"/>
      <c r="F8" s="204"/>
      <c r="G8" s="204"/>
      <c r="H8" s="204"/>
    </row>
    <row r="9" spans="1:11" ht="0.75" customHeight="1" x14ac:dyDescent="0.25">
      <c r="A9" s="206"/>
      <c r="B9" s="207"/>
      <c r="C9" s="207"/>
      <c r="D9" s="207"/>
      <c r="E9" s="207"/>
      <c r="F9" s="204"/>
      <c r="G9" s="204"/>
      <c r="H9" s="204"/>
    </row>
    <row r="10" spans="1:11" ht="15" hidden="1" customHeight="1" x14ac:dyDescent="0.25">
      <c r="A10" s="204"/>
      <c r="B10" s="204"/>
      <c r="C10" s="204"/>
      <c r="D10" s="204"/>
      <c r="E10" s="204"/>
      <c r="F10" s="204"/>
      <c r="G10" s="204"/>
      <c r="H10" s="204"/>
    </row>
    <row r="11" spans="1:11" ht="16.5" customHeight="1" x14ac:dyDescent="0.25">
      <c r="A11" s="204" t="s">
        <v>737</v>
      </c>
      <c r="B11" s="204"/>
      <c r="C11" s="204"/>
      <c r="D11" s="204"/>
      <c r="E11" s="204"/>
      <c r="F11" s="204"/>
      <c r="G11" s="204"/>
      <c r="H11" s="204"/>
    </row>
    <row r="12" spans="1:11" ht="61.9" customHeight="1" x14ac:dyDescent="0.25">
      <c r="A12" s="208" t="s">
        <v>53</v>
      </c>
      <c r="B12" s="489" t="s">
        <v>738</v>
      </c>
      <c r="C12" s="490"/>
      <c r="D12" s="208" t="s">
        <v>739</v>
      </c>
      <c r="E12" s="209" t="s">
        <v>539</v>
      </c>
      <c r="F12" s="209" t="s">
        <v>540</v>
      </c>
      <c r="G12" s="208" t="s">
        <v>541</v>
      </c>
    </row>
    <row r="13" spans="1:11" ht="58.5" customHeight="1" x14ac:dyDescent="0.25">
      <c r="A13" s="210" t="s">
        <v>15</v>
      </c>
      <c r="B13" s="491" t="s">
        <v>911</v>
      </c>
      <c r="C13" s="492"/>
      <c r="D13" s="211" t="s">
        <v>912</v>
      </c>
      <c r="E13" s="212">
        <v>807344</v>
      </c>
      <c r="F13" s="213">
        <v>0</v>
      </c>
      <c r="G13" s="213">
        <v>0</v>
      </c>
    </row>
    <row r="14" spans="1:11" ht="76.5" customHeight="1" x14ac:dyDescent="0.25">
      <c r="A14" s="210" t="s">
        <v>15</v>
      </c>
      <c r="B14" s="491" t="s">
        <v>869</v>
      </c>
      <c r="C14" s="492"/>
      <c r="D14" s="214" t="s">
        <v>787</v>
      </c>
      <c r="E14" s="212">
        <f>1721300-20+1721280</f>
        <v>3442560</v>
      </c>
      <c r="F14" s="213">
        <v>1721300</v>
      </c>
      <c r="G14" s="213">
        <v>1721300</v>
      </c>
    </row>
    <row r="15" spans="1:11" ht="42.75" customHeight="1" x14ac:dyDescent="0.25">
      <c r="A15" s="284" t="s">
        <v>15</v>
      </c>
      <c r="B15" s="491" t="s">
        <v>848</v>
      </c>
      <c r="C15" s="492"/>
      <c r="D15" s="214" t="s">
        <v>185</v>
      </c>
      <c r="E15" s="212">
        <f>584400+21900+87107200+573400+573400+29.82-2.95-24.78-18.95-2.9</f>
        <v>88860280.23999998</v>
      </c>
      <c r="F15" s="213">
        <f>584400+21900+87107200+573400+573400</f>
        <v>88860300</v>
      </c>
      <c r="G15" s="213">
        <f>584400+21900+87107200+573400+573400</f>
        <v>88860300</v>
      </c>
      <c r="I15" s="130"/>
      <c r="J15" s="130"/>
      <c r="K15" s="130"/>
    </row>
    <row r="16" spans="1:11" ht="72" customHeight="1" x14ac:dyDescent="0.25">
      <c r="A16" s="284" t="s">
        <v>15</v>
      </c>
      <c r="B16" s="491" t="s">
        <v>853</v>
      </c>
      <c r="C16" s="492"/>
      <c r="D16" s="214" t="s">
        <v>854</v>
      </c>
      <c r="E16" s="212">
        <f>-348534822.95+344062759</f>
        <v>-4472063.9499999881</v>
      </c>
      <c r="F16" s="213">
        <v>0</v>
      </c>
      <c r="G16" s="213">
        <v>0</v>
      </c>
      <c r="I16" s="130"/>
      <c r="J16" s="130"/>
      <c r="K16" s="130"/>
    </row>
    <row r="17" spans="1:11" ht="53.25" customHeight="1" x14ac:dyDescent="0.25">
      <c r="A17" s="210" t="s">
        <v>16</v>
      </c>
      <c r="B17" s="491" t="s">
        <v>740</v>
      </c>
      <c r="C17" s="492"/>
      <c r="D17" s="214" t="s">
        <v>80</v>
      </c>
      <c r="E17" s="212">
        <v>136300</v>
      </c>
      <c r="F17" s="213">
        <v>50000</v>
      </c>
      <c r="G17" s="213">
        <v>0</v>
      </c>
      <c r="I17" s="130"/>
      <c r="J17" s="130"/>
      <c r="K17" s="130"/>
    </row>
    <row r="18" spans="1:11" ht="83.25" customHeight="1" x14ac:dyDescent="0.25">
      <c r="A18" s="210" t="s">
        <v>16</v>
      </c>
      <c r="B18" s="491" t="s">
        <v>841</v>
      </c>
      <c r="C18" s="492"/>
      <c r="D18" s="285" t="s">
        <v>800</v>
      </c>
      <c r="E18" s="212">
        <f>550000+2340000+50000</f>
        <v>2940000</v>
      </c>
      <c r="F18" s="213">
        <v>550000</v>
      </c>
      <c r="G18" s="213">
        <v>550000</v>
      </c>
      <c r="I18" s="130"/>
      <c r="J18" s="130"/>
      <c r="K18" s="130"/>
    </row>
    <row r="19" spans="1:11" ht="40.5" customHeight="1" x14ac:dyDescent="0.25">
      <c r="A19" s="258" t="s">
        <v>16</v>
      </c>
      <c r="B19" s="493" t="s">
        <v>870</v>
      </c>
      <c r="C19" s="494"/>
      <c r="D19" s="260" t="s">
        <v>276</v>
      </c>
      <c r="E19" s="259">
        <f>153674400-809172-4034178</f>
        <v>148831050</v>
      </c>
      <c r="F19" s="213">
        <v>150973700</v>
      </c>
      <c r="G19" s="213">
        <v>142883600</v>
      </c>
    </row>
    <row r="20" spans="1:11" ht="45.75" customHeight="1" x14ac:dyDescent="0.25">
      <c r="A20" s="258" t="s">
        <v>16</v>
      </c>
      <c r="B20" s="493" t="s">
        <v>871</v>
      </c>
      <c r="C20" s="494"/>
      <c r="D20" s="260" t="s">
        <v>741</v>
      </c>
      <c r="E20" s="259">
        <f>1920500+16433+1096016</f>
        <v>3032949</v>
      </c>
      <c r="F20" s="213">
        <v>2365900</v>
      </c>
      <c r="G20" s="213">
        <v>2846200</v>
      </c>
    </row>
    <row r="21" spans="1:11" ht="114.75" customHeight="1" x14ac:dyDescent="0.25">
      <c r="A21" s="210" t="s">
        <v>18</v>
      </c>
      <c r="B21" s="497" t="s">
        <v>851</v>
      </c>
      <c r="C21" s="498"/>
      <c r="D21" s="214" t="s">
        <v>788</v>
      </c>
      <c r="E21" s="212">
        <f>10826900+38.46</f>
        <v>10826938.460000001</v>
      </c>
      <c r="F21" s="213">
        <v>10826900</v>
      </c>
      <c r="G21" s="213">
        <v>10826900</v>
      </c>
    </row>
    <row r="22" spans="1:11" ht="79.5" customHeight="1" x14ac:dyDescent="0.25">
      <c r="A22" s="210" t="s">
        <v>18</v>
      </c>
      <c r="B22" s="497" t="s">
        <v>848</v>
      </c>
      <c r="C22" s="498"/>
      <c r="D22" s="214" t="s">
        <v>789</v>
      </c>
      <c r="E22" s="212">
        <f>1241900-44</f>
        <v>1241856</v>
      </c>
      <c r="F22" s="213">
        <v>1241900</v>
      </c>
      <c r="G22" s="213">
        <v>1241900</v>
      </c>
    </row>
    <row r="23" spans="1:11" ht="38.25" customHeight="1" x14ac:dyDescent="0.25">
      <c r="A23" s="210" t="s">
        <v>18</v>
      </c>
      <c r="B23" s="497" t="s">
        <v>848</v>
      </c>
      <c r="C23" s="498"/>
      <c r="D23" s="214" t="s">
        <v>185</v>
      </c>
      <c r="E23" s="212">
        <f>1750200+55100-8.85-2.48</f>
        <v>1805288.67</v>
      </c>
      <c r="F23" s="213">
        <f>1750200+55100</f>
        <v>1805300</v>
      </c>
      <c r="G23" s="213">
        <f>1750200+55100</f>
        <v>1805300</v>
      </c>
    </row>
    <row r="24" spans="1:11" ht="69.75" customHeight="1" x14ac:dyDescent="0.3">
      <c r="A24" s="210" t="s">
        <v>18</v>
      </c>
      <c r="B24" s="499" t="s">
        <v>852</v>
      </c>
      <c r="C24" s="500"/>
      <c r="D24" s="285" t="s">
        <v>186</v>
      </c>
      <c r="E24" s="212">
        <f>14076600+2461156.82</f>
        <v>16537756.82</v>
      </c>
      <c r="F24" s="213">
        <v>14076600</v>
      </c>
      <c r="G24" s="213">
        <v>14076600</v>
      </c>
    </row>
    <row r="25" spans="1:11" ht="69.75" customHeight="1" x14ac:dyDescent="0.3">
      <c r="A25" s="210" t="s">
        <v>18</v>
      </c>
      <c r="B25" s="499" t="s">
        <v>848</v>
      </c>
      <c r="C25" s="500"/>
      <c r="D25" s="285" t="s">
        <v>790</v>
      </c>
      <c r="E25" s="212">
        <f>195822100-13459.9</f>
        <v>195808640.09999999</v>
      </c>
      <c r="F25" s="213">
        <v>195822100</v>
      </c>
      <c r="G25" s="213">
        <v>195822100</v>
      </c>
    </row>
    <row r="26" spans="1:11" ht="38.25" customHeight="1" x14ac:dyDescent="0.25">
      <c r="A26" s="210" t="s">
        <v>18</v>
      </c>
      <c r="B26" s="497" t="s">
        <v>850</v>
      </c>
      <c r="C26" s="498"/>
      <c r="D26" s="214" t="s">
        <v>791</v>
      </c>
      <c r="E26" s="212">
        <f>889800+547200</f>
        <v>1437000</v>
      </c>
      <c r="F26" s="213">
        <v>1035200</v>
      </c>
      <c r="G26" s="213">
        <v>1278800</v>
      </c>
    </row>
    <row r="27" spans="1:11" ht="140.25" customHeight="1" x14ac:dyDescent="0.25">
      <c r="A27" s="210" t="s">
        <v>19</v>
      </c>
      <c r="B27" s="491" t="s">
        <v>20</v>
      </c>
      <c r="C27" s="492"/>
      <c r="D27" s="211" t="s">
        <v>742</v>
      </c>
      <c r="E27" s="212">
        <v>729000</v>
      </c>
      <c r="F27" s="213">
        <v>729000</v>
      </c>
      <c r="G27" s="213">
        <v>729000</v>
      </c>
    </row>
    <row r="28" spans="1:11" ht="123.95" customHeight="1" x14ac:dyDescent="0.25">
      <c r="A28" s="210" t="s">
        <v>19</v>
      </c>
      <c r="B28" s="491" t="s">
        <v>21</v>
      </c>
      <c r="C28" s="492"/>
      <c r="D28" s="211" t="s">
        <v>743</v>
      </c>
      <c r="E28" s="212">
        <v>1166400</v>
      </c>
      <c r="F28" s="213">
        <v>1166400</v>
      </c>
      <c r="G28" s="213">
        <v>1166400</v>
      </c>
    </row>
    <row r="29" spans="1:11" ht="116.25" customHeight="1" x14ac:dyDescent="0.25">
      <c r="A29" s="210" t="s">
        <v>19</v>
      </c>
      <c r="B29" s="491" t="s">
        <v>744</v>
      </c>
      <c r="C29" s="492"/>
      <c r="D29" s="211" t="s">
        <v>745</v>
      </c>
      <c r="E29" s="212">
        <v>12684600</v>
      </c>
      <c r="F29" s="213">
        <v>12684600</v>
      </c>
      <c r="G29" s="213">
        <v>12684600</v>
      </c>
    </row>
    <row r="30" spans="1:11" ht="74.45" customHeight="1" x14ac:dyDescent="0.25">
      <c r="A30" s="210" t="s">
        <v>19</v>
      </c>
      <c r="B30" s="491" t="s">
        <v>746</v>
      </c>
      <c r="C30" s="492"/>
      <c r="D30" s="211" t="s">
        <v>22</v>
      </c>
      <c r="E30" s="212">
        <v>204000</v>
      </c>
      <c r="F30" s="213">
        <v>210000</v>
      </c>
      <c r="G30" s="213">
        <v>210000</v>
      </c>
    </row>
    <row r="31" spans="1:11" ht="111.6" customHeight="1" x14ac:dyDescent="0.25">
      <c r="A31" s="210" t="s">
        <v>19</v>
      </c>
      <c r="B31" s="491" t="s">
        <v>23</v>
      </c>
      <c r="C31" s="492"/>
      <c r="D31" s="214" t="s">
        <v>24</v>
      </c>
      <c r="E31" s="212">
        <v>5800000</v>
      </c>
      <c r="F31" s="213">
        <v>5800000</v>
      </c>
      <c r="G31" s="213">
        <v>5800000</v>
      </c>
    </row>
    <row r="32" spans="1:11" ht="49.5" customHeight="1" x14ac:dyDescent="0.25">
      <c r="A32" s="210" t="s">
        <v>19</v>
      </c>
      <c r="B32" s="491" t="s">
        <v>25</v>
      </c>
      <c r="C32" s="492"/>
      <c r="D32" s="214" t="s">
        <v>747</v>
      </c>
      <c r="E32" s="212">
        <v>100000</v>
      </c>
      <c r="F32" s="213">
        <v>100000</v>
      </c>
      <c r="G32" s="213">
        <v>100000</v>
      </c>
    </row>
    <row r="33" spans="1:7" ht="83.25" customHeight="1" x14ac:dyDescent="0.25">
      <c r="A33" s="210" t="s">
        <v>19</v>
      </c>
      <c r="B33" s="491" t="s">
        <v>26</v>
      </c>
      <c r="C33" s="492"/>
      <c r="D33" s="214" t="s">
        <v>748</v>
      </c>
      <c r="E33" s="212">
        <v>30000</v>
      </c>
      <c r="F33" s="213">
        <v>30000</v>
      </c>
      <c r="G33" s="213">
        <v>30000</v>
      </c>
    </row>
    <row r="34" spans="1:7" ht="74.45" customHeight="1" x14ac:dyDescent="0.25">
      <c r="A34" s="210" t="s">
        <v>19</v>
      </c>
      <c r="B34" s="491" t="s">
        <v>27</v>
      </c>
      <c r="C34" s="492"/>
      <c r="D34" s="214" t="s">
        <v>749</v>
      </c>
      <c r="E34" s="212">
        <v>70000</v>
      </c>
      <c r="F34" s="213">
        <v>70000</v>
      </c>
      <c r="G34" s="213">
        <v>70000</v>
      </c>
    </row>
    <row r="35" spans="1:7" ht="63.75" customHeight="1" x14ac:dyDescent="0.25">
      <c r="A35" s="210" t="s">
        <v>19</v>
      </c>
      <c r="B35" s="491" t="s">
        <v>750</v>
      </c>
      <c r="C35" s="492"/>
      <c r="D35" s="214" t="s">
        <v>751</v>
      </c>
      <c r="E35" s="212">
        <v>200000</v>
      </c>
      <c r="F35" s="213">
        <v>200000</v>
      </c>
      <c r="G35" s="213">
        <v>200000</v>
      </c>
    </row>
    <row r="36" spans="1:7" ht="65.25" customHeight="1" x14ac:dyDescent="0.25">
      <c r="A36" s="210" t="s">
        <v>14</v>
      </c>
      <c r="B36" s="491" t="s">
        <v>7</v>
      </c>
      <c r="C36" s="492"/>
      <c r="D36" s="211" t="s">
        <v>752</v>
      </c>
      <c r="E36" s="212">
        <v>16880</v>
      </c>
      <c r="F36" s="213">
        <v>17690</v>
      </c>
      <c r="G36" s="213">
        <v>18451</v>
      </c>
    </row>
    <row r="37" spans="1:7" ht="50.25" customHeight="1" x14ac:dyDescent="0.25">
      <c r="A37" s="210" t="s">
        <v>5</v>
      </c>
      <c r="B37" s="491" t="s">
        <v>753</v>
      </c>
      <c r="C37" s="492"/>
      <c r="D37" s="214" t="s">
        <v>754</v>
      </c>
      <c r="E37" s="212">
        <v>777600</v>
      </c>
      <c r="F37" s="213">
        <v>839808</v>
      </c>
      <c r="G37" s="213">
        <v>906993</v>
      </c>
    </row>
    <row r="38" spans="1:7" ht="46.5" hidden="1" customHeight="1" x14ac:dyDescent="0.25">
      <c r="A38" s="210" t="s">
        <v>5</v>
      </c>
      <c r="B38" s="491" t="s">
        <v>755</v>
      </c>
      <c r="C38" s="492"/>
      <c r="D38" s="214" t="s">
        <v>756</v>
      </c>
      <c r="E38" s="212">
        <v>0</v>
      </c>
      <c r="F38" s="213">
        <v>0</v>
      </c>
      <c r="G38" s="213">
        <v>0</v>
      </c>
    </row>
    <row r="39" spans="1:7" ht="36" customHeight="1" x14ac:dyDescent="0.25">
      <c r="A39" s="210" t="s">
        <v>5</v>
      </c>
      <c r="B39" s="491" t="s">
        <v>757</v>
      </c>
      <c r="C39" s="492"/>
      <c r="D39" s="214" t="s">
        <v>758</v>
      </c>
      <c r="E39" s="212">
        <v>270000</v>
      </c>
      <c r="F39" s="213">
        <v>291600</v>
      </c>
      <c r="G39" s="213">
        <v>314928</v>
      </c>
    </row>
    <row r="40" spans="1:7" ht="39.75" customHeight="1" x14ac:dyDescent="0.25">
      <c r="A40" s="210" t="s">
        <v>5</v>
      </c>
      <c r="B40" s="491" t="s">
        <v>759</v>
      </c>
      <c r="C40" s="492"/>
      <c r="D40" s="214" t="s">
        <v>760</v>
      </c>
      <c r="E40" s="212">
        <v>1512000</v>
      </c>
      <c r="F40" s="213">
        <v>1632960</v>
      </c>
      <c r="G40" s="213">
        <v>1763597</v>
      </c>
    </row>
    <row r="41" spans="1:7" ht="61.9" customHeight="1" x14ac:dyDescent="0.25">
      <c r="A41" s="210" t="s">
        <v>761</v>
      </c>
      <c r="B41" s="491" t="s">
        <v>7</v>
      </c>
      <c r="C41" s="492"/>
      <c r="D41" s="211" t="s">
        <v>8</v>
      </c>
      <c r="E41" s="212">
        <v>88620</v>
      </c>
      <c r="F41" s="213">
        <v>92873</v>
      </c>
      <c r="G41" s="213">
        <v>96867</v>
      </c>
    </row>
    <row r="42" spans="1:7" ht="99.2" customHeight="1" x14ac:dyDescent="0.25">
      <c r="A42" s="258" t="s">
        <v>38</v>
      </c>
      <c r="B42" s="493" t="s">
        <v>10</v>
      </c>
      <c r="C42" s="494"/>
      <c r="D42" s="307" t="s">
        <v>60</v>
      </c>
      <c r="E42" s="259">
        <f>11373614.96+0.01</f>
        <v>11373614.970000001</v>
      </c>
      <c r="F42" s="308">
        <f>11373614.96+0.01</f>
        <v>11373614.970000001</v>
      </c>
      <c r="G42" s="308">
        <f>11373614.96</f>
        <v>11373614.960000001</v>
      </c>
    </row>
    <row r="43" spans="1:7" ht="128.25" customHeight="1" x14ac:dyDescent="0.25">
      <c r="A43" s="210" t="s">
        <v>38</v>
      </c>
      <c r="B43" s="491" t="s">
        <v>11</v>
      </c>
      <c r="C43" s="492"/>
      <c r="D43" s="215" t="s">
        <v>762</v>
      </c>
      <c r="E43" s="212">
        <v>259627.6</v>
      </c>
      <c r="F43" s="213">
        <v>259627.6</v>
      </c>
      <c r="G43" s="213">
        <v>259627.61</v>
      </c>
    </row>
    <row r="44" spans="1:7" ht="105.75" customHeight="1" x14ac:dyDescent="0.25">
      <c r="A44" s="258" t="s">
        <v>38</v>
      </c>
      <c r="B44" s="493" t="s">
        <v>12</v>
      </c>
      <c r="C44" s="494"/>
      <c r="D44" s="257" t="s">
        <v>763</v>
      </c>
      <c r="E44" s="259">
        <f>14229518.72</f>
        <v>14229518.720000001</v>
      </c>
      <c r="F44" s="308">
        <f>14229518.72</f>
        <v>14229518.720000001</v>
      </c>
      <c r="G44" s="308">
        <f>14229518.72</f>
        <v>14229518.720000001</v>
      </c>
    </row>
    <row r="45" spans="1:7" ht="98.25" customHeight="1" x14ac:dyDescent="0.25">
      <c r="A45" s="210" t="s">
        <v>38</v>
      </c>
      <c r="B45" s="491" t="s">
        <v>13</v>
      </c>
      <c r="C45" s="492"/>
      <c r="D45" s="215" t="s">
        <v>764</v>
      </c>
      <c r="E45" s="212">
        <v>100000</v>
      </c>
      <c r="F45" s="213">
        <v>100000</v>
      </c>
      <c r="G45" s="213">
        <v>100000</v>
      </c>
    </row>
    <row r="46" spans="1:7" ht="99" customHeight="1" x14ac:dyDescent="0.25">
      <c r="A46" s="210" t="s">
        <v>765</v>
      </c>
      <c r="B46" s="491" t="s">
        <v>766</v>
      </c>
      <c r="C46" s="492"/>
      <c r="D46" s="211" t="s">
        <v>767</v>
      </c>
      <c r="E46" s="212">
        <v>66465</v>
      </c>
      <c r="F46" s="213">
        <v>69655</v>
      </c>
      <c r="G46" s="213">
        <v>72650</v>
      </c>
    </row>
    <row r="47" spans="1:7" ht="117" customHeight="1" x14ac:dyDescent="0.25">
      <c r="A47" s="210" t="s">
        <v>34</v>
      </c>
      <c r="B47" s="491" t="s">
        <v>768</v>
      </c>
      <c r="C47" s="492"/>
      <c r="D47" s="211" t="s">
        <v>36</v>
      </c>
      <c r="E47" s="212">
        <v>102202974.97</v>
      </c>
      <c r="F47" s="213">
        <v>103440732.12</v>
      </c>
      <c r="G47" s="213">
        <v>104573428.73999999</v>
      </c>
    </row>
    <row r="48" spans="1:7" ht="159.75" customHeight="1" x14ac:dyDescent="0.25">
      <c r="A48" s="210" t="s">
        <v>34</v>
      </c>
      <c r="B48" s="491" t="s">
        <v>769</v>
      </c>
      <c r="C48" s="492"/>
      <c r="D48" s="211" t="s">
        <v>770</v>
      </c>
      <c r="E48" s="212">
        <v>350151.22</v>
      </c>
      <c r="F48" s="213">
        <v>313456.76</v>
      </c>
      <c r="G48" s="213">
        <v>316889</v>
      </c>
    </row>
    <row r="49" spans="1:7" ht="71.25" customHeight="1" x14ac:dyDescent="0.25">
      <c r="A49" s="210" t="s">
        <v>34</v>
      </c>
      <c r="B49" s="491" t="s">
        <v>771</v>
      </c>
      <c r="C49" s="492"/>
      <c r="D49" s="214" t="s">
        <v>772</v>
      </c>
      <c r="E49" s="212">
        <v>432539.81</v>
      </c>
      <c r="F49" s="213">
        <v>731399.12</v>
      </c>
      <c r="G49" s="213">
        <v>739408.26</v>
      </c>
    </row>
    <row r="50" spans="1:7" ht="42.75" customHeight="1" x14ac:dyDescent="0.25">
      <c r="A50" s="210" t="s">
        <v>34</v>
      </c>
      <c r="B50" s="491" t="s">
        <v>773</v>
      </c>
      <c r="C50" s="492"/>
      <c r="D50" s="214" t="s">
        <v>2</v>
      </c>
      <c r="E50" s="212">
        <v>20838000</v>
      </c>
      <c r="F50" s="213">
        <v>21358490</v>
      </c>
      <c r="G50" s="213">
        <v>21742418.100000001</v>
      </c>
    </row>
    <row r="51" spans="1:7" ht="33.75" customHeight="1" x14ac:dyDescent="0.25">
      <c r="A51" s="210" t="s">
        <v>34</v>
      </c>
      <c r="B51" s="491" t="s">
        <v>774</v>
      </c>
      <c r="C51" s="492"/>
      <c r="D51" s="214" t="s">
        <v>775</v>
      </c>
      <c r="E51" s="212">
        <v>20000</v>
      </c>
      <c r="F51" s="213">
        <v>20960</v>
      </c>
      <c r="G51" s="213">
        <v>21862</v>
      </c>
    </row>
    <row r="52" spans="1:7" ht="50.25" customHeight="1" x14ac:dyDescent="0.25">
      <c r="A52" s="210" t="s">
        <v>34</v>
      </c>
      <c r="B52" s="491" t="s">
        <v>776</v>
      </c>
      <c r="C52" s="492"/>
      <c r="D52" s="214" t="s">
        <v>777</v>
      </c>
      <c r="E52" s="212">
        <v>662012</v>
      </c>
      <c r="F52" s="216">
        <v>698422</v>
      </c>
      <c r="G52" s="213">
        <v>710994</v>
      </c>
    </row>
    <row r="53" spans="1:7" ht="63" x14ac:dyDescent="0.25">
      <c r="A53" s="210" t="s">
        <v>34</v>
      </c>
      <c r="B53" s="491" t="s">
        <v>778</v>
      </c>
      <c r="C53" s="492"/>
      <c r="D53" s="214" t="s">
        <v>779</v>
      </c>
      <c r="E53" s="212">
        <v>14000</v>
      </c>
      <c r="F53" s="216">
        <v>14000</v>
      </c>
      <c r="G53" s="213">
        <v>14000</v>
      </c>
    </row>
    <row r="54" spans="1:7" ht="120" customHeight="1" x14ac:dyDescent="0.25">
      <c r="A54" s="210" t="s">
        <v>34</v>
      </c>
      <c r="B54" s="491" t="s">
        <v>780</v>
      </c>
      <c r="C54" s="492"/>
      <c r="D54" s="214" t="s">
        <v>781</v>
      </c>
      <c r="E54" s="212">
        <v>3000000</v>
      </c>
      <c r="F54" s="213">
        <v>3075000</v>
      </c>
      <c r="G54" s="213">
        <v>3130000</v>
      </c>
    </row>
    <row r="55" spans="1:7" ht="110.25" x14ac:dyDescent="0.25">
      <c r="A55" s="210" t="s">
        <v>34</v>
      </c>
      <c r="B55" s="491" t="s">
        <v>782</v>
      </c>
      <c r="C55" s="492"/>
      <c r="D55" s="214" t="s">
        <v>4</v>
      </c>
      <c r="E55" s="212">
        <v>22155</v>
      </c>
      <c r="F55" s="213">
        <v>23218</v>
      </c>
      <c r="G55" s="213">
        <v>24217</v>
      </c>
    </row>
    <row r="56" spans="1:7" ht="78.75" x14ac:dyDescent="0.25">
      <c r="A56" s="210" t="s">
        <v>47</v>
      </c>
      <c r="B56" s="491" t="s">
        <v>783</v>
      </c>
      <c r="C56" s="492"/>
      <c r="D56" s="211" t="s">
        <v>784</v>
      </c>
      <c r="E56" s="212">
        <v>108665</v>
      </c>
      <c r="F56" s="213">
        <v>113881</v>
      </c>
      <c r="G56" s="213">
        <v>118777</v>
      </c>
    </row>
    <row r="57" spans="1:7" ht="63" x14ac:dyDescent="0.25">
      <c r="A57" s="210" t="s">
        <v>47</v>
      </c>
      <c r="B57" s="491" t="s">
        <v>785</v>
      </c>
      <c r="C57" s="492"/>
      <c r="D57" s="211" t="s">
        <v>8</v>
      </c>
      <c r="E57" s="212">
        <v>564636</v>
      </c>
      <c r="F57" s="213">
        <v>578751</v>
      </c>
      <c r="G57" s="213">
        <v>581235.81000000006</v>
      </c>
    </row>
    <row r="58" spans="1:7" ht="94.5" x14ac:dyDescent="0.25">
      <c r="A58" s="210" t="s">
        <v>47</v>
      </c>
      <c r="B58" s="491" t="s">
        <v>786</v>
      </c>
      <c r="C58" s="492"/>
      <c r="D58" s="211" t="s">
        <v>767</v>
      </c>
      <c r="E58" s="212">
        <v>302674</v>
      </c>
      <c r="F58" s="213">
        <v>310240</v>
      </c>
      <c r="G58" s="213">
        <v>315824</v>
      </c>
    </row>
    <row r="59" spans="1:7" ht="0.75" customHeight="1" x14ac:dyDescent="0.25">
      <c r="A59" s="210" t="s">
        <v>48</v>
      </c>
      <c r="B59" s="491" t="s">
        <v>786</v>
      </c>
      <c r="C59" s="492"/>
      <c r="D59" s="211" t="s">
        <v>767</v>
      </c>
      <c r="E59" s="212">
        <v>0</v>
      </c>
      <c r="F59" s="213"/>
      <c r="G59" s="213"/>
    </row>
    <row r="60" spans="1:7" ht="52.5" customHeight="1" x14ac:dyDescent="0.25">
      <c r="A60" s="210" t="s">
        <v>46</v>
      </c>
      <c r="B60" s="491" t="s">
        <v>9</v>
      </c>
      <c r="C60" s="492"/>
      <c r="D60" s="214" t="s">
        <v>45</v>
      </c>
      <c r="E60" s="212">
        <v>177479</v>
      </c>
      <c r="F60" s="213">
        <v>174955</v>
      </c>
      <c r="G60" s="213">
        <v>178104.19</v>
      </c>
    </row>
    <row r="61" spans="1:7" ht="20.25" customHeight="1" x14ac:dyDescent="0.25">
      <c r="A61" s="217" t="s">
        <v>103</v>
      </c>
      <c r="B61" s="495"/>
      <c r="C61" s="496"/>
      <c r="D61" s="218"/>
      <c r="E61" s="219">
        <f>E13+E14+E17+E27+E28+E29+E31+E32+E33+E34+E35+E36+E37+E38+E39+E40+E41+E42+E43+E44+E45+E46+E47+E48+E49+E50+E52+E54+E55+E56+E57+E58+E59+E60+E30+E51+E53+E20+E15+E19+E21+E22+E23+E24+E25+E26+E18+E16</f>
        <v>649609512.62999988</v>
      </c>
      <c r="F61" s="219">
        <f>F13+F14+F17+F27+F28+F29+F31+F32+F33+F34+F35+F36+F37+F38+F39+F40+F41+F42+F43+F44+F45+F46+F47+F48+F49+F50+F52+F54+F55+F56+F57+F58+F59+F60+F30+F51+F53+F20+F15+F19+F21+F22+F23+F24+F25+F26+F18</f>
        <v>650080052.28999996</v>
      </c>
      <c r="G61" s="223">
        <f>G13+G14+G17+G27+G28+G29+G31+G32+G33+G34+G35+G36+G37+G38+G39+G40+G41+G42+G43+G44+G45+G46+G47+G48+G49+G50+G52+G54+G55+G56+G57+G58+G59+G60+G30+G51+G53+G20+G15+G19+G21+G22+G23+G24+G25+G26+G18</f>
        <v>644506405.38999999</v>
      </c>
    </row>
    <row r="62" spans="1:7" ht="17.25" customHeight="1" x14ac:dyDescent="0.25"/>
    <row r="63" spans="1:7" ht="13.5" customHeight="1" x14ac:dyDescent="0.25"/>
    <row r="64" spans="1:7" ht="17.25" customHeight="1" x14ac:dyDescent="0.25">
      <c r="A64" s="220"/>
      <c r="B64" s="130"/>
      <c r="C64" s="222" t="s">
        <v>15</v>
      </c>
      <c r="D64" s="130"/>
      <c r="E64" s="130">
        <f>E14+E15+E16+E13</f>
        <v>88638120.289999992</v>
      </c>
      <c r="F64" s="130">
        <f>F14+F15</f>
        <v>90581600</v>
      </c>
      <c r="G64" s="130">
        <f>G14+G15</f>
        <v>90581600</v>
      </c>
    </row>
    <row r="65" spans="1:7" x14ac:dyDescent="0.25">
      <c r="A65" s="220"/>
      <c r="C65" s="222" t="s">
        <v>16</v>
      </c>
      <c r="D65" s="130"/>
      <c r="E65" s="130">
        <f>E17+E18+E19+E20</f>
        <v>154940299</v>
      </c>
      <c r="F65" s="130">
        <f>F17+F18+F19+F20</f>
        <v>153939600</v>
      </c>
      <c r="G65" s="130">
        <f>G17+G18+G19+G20</f>
        <v>146279800</v>
      </c>
    </row>
    <row r="66" spans="1:7" x14ac:dyDescent="0.25">
      <c r="A66" s="220"/>
      <c r="C66" s="222" t="s">
        <v>18</v>
      </c>
      <c r="D66" s="130"/>
      <c r="E66" s="130">
        <f>E21+E22+E23+E24+E25+E26</f>
        <v>227657480.05000001</v>
      </c>
      <c r="F66" s="130">
        <f>F21+F22+F23+F24+F25+F26</f>
        <v>224808000</v>
      </c>
      <c r="G66" s="130">
        <f>G21+G22+G23+G24+G25+G26</f>
        <v>225051600</v>
      </c>
    </row>
    <row r="67" spans="1:7" x14ac:dyDescent="0.25">
      <c r="A67" s="220"/>
      <c r="C67" s="222" t="s">
        <v>19</v>
      </c>
      <c r="D67" s="130"/>
      <c r="E67" s="130">
        <f>E27+E28+E29+E30+E31+E32+E33+E34+E35</f>
        <v>20984000</v>
      </c>
      <c r="F67" s="130">
        <f>F27+F28+F29+F30+F31+F32+F33+F34+F35</f>
        <v>20990000</v>
      </c>
      <c r="G67" s="130">
        <f>G27+G28+G29+G30+G31+G32+G33+G34+G35</f>
        <v>20990000</v>
      </c>
    </row>
    <row r="68" spans="1:7" x14ac:dyDescent="0.25">
      <c r="A68" s="220"/>
      <c r="C68" s="222" t="s">
        <v>801</v>
      </c>
      <c r="D68" s="130"/>
      <c r="E68" s="130">
        <f>E36+E37+E39+E40+E41+E42+E43+E44+E45+E46+E47+E48+E49+E50+E51+E52+E53+E54+E55+E56+E57+E58+E60</f>
        <v>157389613.28999999</v>
      </c>
      <c r="F68" s="130">
        <f>F36+F37+F39+F40+F41+F42+F43+F44+F45+F46+F47+F48+F49+F50+F51+F52+F53+F54+F55+F56+F57+F58+F60</f>
        <v>159760852.29000002</v>
      </c>
      <c r="G68" s="130">
        <f>G36+G37+G39+G40+G41+G42+G43+G44+G45+G46+G47+G48+G49+G50+G51+G52+G53+G54+G55+G56+G57+G58+G60</f>
        <v>161603405.38999999</v>
      </c>
    </row>
    <row r="69" spans="1:7" x14ac:dyDescent="0.25">
      <c r="A69" s="220"/>
      <c r="D69" s="130"/>
      <c r="E69" s="130">
        <f>E64+E65+E66+E67+E68</f>
        <v>649609512.63</v>
      </c>
      <c r="F69" s="130">
        <f>F64+F65+F66+F67+F68</f>
        <v>650080052.28999996</v>
      </c>
      <c r="G69" s="130">
        <f>G64+G65+G66+G67+G68</f>
        <v>644506405.38999999</v>
      </c>
    </row>
    <row r="70" spans="1:7" x14ac:dyDescent="0.25">
      <c r="C70" s="222" t="s">
        <v>803</v>
      </c>
      <c r="D70" s="130"/>
      <c r="E70" s="130">
        <f>E14+E15+E18+E19+E20+E21+E22+E23+E24+E25+E26+E13</f>
        <v>475571663.28999996</v>
      </c>
      <c r="F70" s="130">
        <f>F14+F15+F18+F19+F20+F21+F22+F23+F24+F25+F26</f>
        <v>469279200</v>
      </c>
      <c r="G70" s="130">
        <f>G14+G15+G18+G19+G20+G21+G22+G23+G24+G25+G26</f>
        <v>461913000</v>
      </c>
    </row>
    <row r="71" spans="1:7" x14ac:dyDescent="0.25">
      <c r="C71" s="222" t="s">
        <v>802</v>
      </c>
      <c r="D71" s="130"/>
      <c r="E71" s="130">
        <f>E17+E27+E28+E29+E30+E31+E32+E33+E34+E35+E36+E37+E39+E40+E41+E42+E43+E44+E45+E46+E47+E48+E49+E50+E51+E52+E53+E54+E55+E56+E57+E58+E60</f>
        <v>178509913.28999999</v>
      </c>
      <c r="F71" s="130">
        <f>F17+F27+F28+F29+F30+F31+F32+F33+F34+F35+F36+F37+F39+F40+F41+F42+F43+F44+F45+F46+F47+F48+F49+F50+F51+F52+F53+F54+F55+F56+F57+F58+F60</f>
        <v>180800852.28999999</v>
      </c>
      <c r="G71" s="130">
        <f>G17+G27+G28+G29+G30+G31+G32+G33+G34+G35+G36+G37+G39+G40+G41+G42+G43+G44+G45+G46+G47+G48+G49+G50+G51+G52+G53+G54+G55+G56+G57+G58+G60</f>
        <v>182593405.38999999</v>
      </c>
    </row>
    <row r="72" spans="1:7" x14ac:dyDescent="0.25">
      <c r="C72" s="222" t="s">
        <v>855</v>
      </c>
      <c r="E72" s="130">
        <f>E14+E15+E16+E18+E19+E20+E21+E22+E23+E24+E25+E26+E13</f>
        <v>471099599.34000003</v>
      </c>
    </row>
    <row r="73" spans="1:7" x14ac:dyDescent="0.25">
      <c r="D73" s="130"/>
    </row>
    <row r="74" spans="1:7" x14ac:dyDescent="0.25">
      <c r="E74" s="130"/>
    </row>
    <row r="75" spans="1:7" x14ac:dyDescent="0.25">
      <c r="E75" s="130">
        <f>E65+E68</f>
        <v>312329912.28999996</v>
      </c>
    </row>
  </sheetData>
  <mergeCells count="51">
    <mergeCell ref="B26:C26"/>
    <mergeCell ref="B21:C21"/>
    <mergeCell ref="B22:C22"/>
    <mergeCell ref="B23:C23"/>
    <mergeCell ref="B24:C24"/>
    <mergeCell ref="B25:C25"/>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A7:E7"/>
    <mergeCell ref="B12:C12"/>
    <mergeCell ref="B13:C13"/>
    <mergeCell ref="B17:C17"/>
    <mergeCell ref="B20:C20"/>
    <mergeCell ref="B19:C19"/>
    <mergeCell ref="B15:C15"/>
    <mergeCell ref="B14:C14"/>
    <mergeCell ref="B18:C18"/>
    <mergeCell ref="B16:C16"/>
  </mergeCells>
  <pageMargins left="0.51181102362204722" right="0.11811023622047245" top="0.35433070866141736" bottom="0.35433070866141736" header="0.31496062992125984" footer="0.31496062992125984"/>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topLeftCell="A3" workbookViewId="0">
      <selection activeCell="E123" sqref="E123"/>
    </sheetView>
  </sheetViews>
  <sheetFormatPr defaultColWidth="9.140625" defaultRowHeight="15" x14ac:dyDescent="0.25"/>
  <cols>
    <col min="1" max="1" width="12.140625" style="349" customWidth="1"/>
    <col min="2" max="2" width="18.28515625" style="349" customWidth="1"/>
    <col min="3" max="3" width="10" style="349" customWidth="1"/>
    <col min="4" max="4" width="50.85546875" style="349" customWidth="1"/>
    <col min="5" max="5" width="20.5703125" style="349" customWidth="1"/>
    <col min="6" max="6" width="19.5703125" style="349" customWidth="1"/>
    <col min="7" max="7" width="20" style="349" customWidth="1"/>
    <col min="8" max="8" width="9.140625" style="349"/>
    <col min="9" max="11" width="13.5703125" style="349" bestFit="1" customWidth="1"/>
    <col min="12" max="16384" width="9.140625" style="349"/>
  </cols>
  <sheetData>
    <row r="1" spans="1:10" ht="12.75" customHeight="1" x14ac:dyDescent="0.25">
      <c r="A1" s="416"/>
      <c r="B1" s="417"/>
      <c r="C1" s="417"/>
      <c r="D1" s="415"/>
      <c r="E1" s="415"/>
      <c r="F1" s="418"/>
      <c r="G1" s="415" t="s">
        <v>1023</v>
      </c>
      <c r="H1" s="418"/>
      <c r="I1" s="418"/>
      <c r="J1" s="418"/>
    </row>
    <row r="2" spans="1:10" ht="12.75" customHeight="1" x14ac:dyDescent="0.25">
      <c r="A2" s="419"/>
      <c r="B2" s="420"/>
      <c r="C2" s="420"/>
      <c r="D2" s="415"/>
      <c r="E2" s="415"/>
      <c r="F2" s="418"/>
      <c r="G2" s="415" t="s">
        <v>30</v>
      </c>
      <c r="H2" s="418"/>
      <c r="I2" s="418"/>
      <c r="J2" s="418"/>
    </row>
    <row r="3" spans="1:10" ht="15.75" x14ac:dyDescent="0.25">
      <c r="A3" s="419"/>
      <c r="B3" s="420"/>
      <c r="C3" s="420"/>
      <c r="D3" s="415"/>
      <c r="E3" s="415"/>
      <c r="F3" s="418"/>
      <c r="G3" s="415" t="s">
        <v>32</v>
      </c>
      <c r="H3" s="418"/>
      <c r="I3" s="418"/>
      <c r="J3" s="418"/>
    </row>
    <row r="4" spans="1:10" ht="16.5" customHeight="1" x14ac:dyDescent="0.25">
      <c r="A4" s="419"/>
      <c r="B4" s="420"/>
      <c r="C4" s="420"/>
      <c r="D4" s="415"/>
      <c r="E4" s="415"/>
      <c r="F4" s="418"/>
      <c r="G4" s="421" t="s">
        <v>1356</v>
      </c>
      <c r="H4" s="418"/>
      <c r="I4" s="418"/>
      <c r="J4" s="418"/>
    </row>
    <row r="5" spans="1:10" x14ac:dyDescent="0.25">
      <c r="A5" s="422"/>
      <c r="B5" s="422"/>
      <c r="C5" s="422"/>
      <c r="D5" s="422"/>
      <c r="E5" s="423"/>
      <c r="F5" s="423"/>
      <c r="G5" s="422"/>
      <c r="H5" s="422"/>
    </row>
    <row r="6" spans="1:10" ht="0.75" customHeight="1" x14ac:dyDescent="0.25">
      <c r="A6" s="422"/>
      <c r="B6" s="422"/>
      <c r="C6" s="422"/>
      <c r="D6" s="422"/>
      <c r="E6" s="422"/>
      <c r="F6" s="422"/>
      <c r="G6" s="422"/>
      <c r="H6" s="422"/>
    </row>
    <row r="7" spans="1:10" ht="15.75" x14ac:dyDescent="0.25">
      <c r="A7" s="501" t="s">
        <v>1132</v>
      </c>
      <c r="B7" s="501"/>
      <c r="C7" s="501"/>
      <c r="D7" s="501"/>
      <c r="E7" s="501"/>
      <c r="F7" s="422"/>
      <c r="G7" s="422"/>
      <c r="H7" s="422"/>
    </row>
    <row r="8" spans="1:10" ht="13.15" customHeight="1" x14ac:dyDescent="0.25">
      <c r="A8" s="422"/>
      <c r="B8" s="422"/>
      <c r="C8" s="422"/>
      <c r="D8" s="422"/>
      <c r="E8" s="422"/>
      <c r="F8" s="422"/>
      <c r="G8" s="422"/>
      <c r="H8" s="422"/>
    </row>
    <row r="9" spans="1:10" ht="0.75" customHeight="1" x14ac:dyDescent="0.25">
      <c r="A9" s="424"/>
      <c r="B9" s="425"/>
      <c r="C9" s="425"/>
      <c r="D9" s="425"/>
      <c r="E9" s="425"/>
      <c r="F9" s="422"/>
      <c r="G9" s="422"/>
      <c r="H9" s="422"/>
    </row>
    <row r="10" spans="1:10" ht="15" hidden="1" customHeight="1" x14ac:dyDescent="0.25">
      <c r="A10" s="422"/>
      <c r="B10" s="422"/>
      <c r="C10" s="422"/>
      <c r="D10" s="422"/>
      <c r="E10" s="422"/>
      <c r="F10" s="422"/>
      <c r="G10" s="422"/>
      <c r="H10" s="422"/>
    </row>
    <row r="11" spans="1:10" ht="16.5" customHeight="1" x14ac:dyDescent="0.25">
      <c r="A11" s="422" t="s">
        <v>737</v>
      </c>
      <c r="B11" s="422"/>
      <c r="C11" s="422"/>
      <c r="D11" s="422"/>
      <c r="E11" s="422"/>
      <c r="F11" s="422"/>
      <c r="G11" s="422"/>
      <c r="H11" s="422"/>
    </row>
    <row r="12" spans="1:10" ht="61.9" customHeight="1" x14ac:dyDescent="0.25">
      <c r="A12" s="426" t="s">
        <v>53</v>
      </c>
      <c r="B12" s="502" t="s">
        <v>738</v>
      </c>
      <c r="C12" s="503"/>
      <c r="D12" s="426" t="s">
        <v>739</v>
      </c>
      <c r="E12" s="427" t="s">
        <v>540</v>
      </c>
      <c r="F12" s="427" t="s">
        <v>541</v>
      </c>
      <c r="G12" s="426" t="s">
        <v>1133</v>
      </c>
    </row>
    <row r="13" spans="1:10" ht="33.75" customHeight="1" x14ac:dyDescent="0.25">
      <c r="A13" s="428" t="s">
        <v>519</v>
      </c>
      <c r="B13" s="510" t="s">
        <v>924</v>
      </c>
      <c r="C13" s="511"/>
      <c r="D13" s="428" t="s">
        <v>925</v>
      </c>
      <c r="E13" s="429">
        <f>E14+E19+E25+E32+E35+E38+E53+E61+E74+E59+E97+E72</f>
        <v>198182687.37</v>
      </c>
      <c r="F13" s="429">
        <f>F14+F19+F25+F32+F35+F38+F53+F61+F74</f>
        <v>177974809.96000001</v>
      </c>
      <c r="G13" s="430">
        <f>G14+G19+G25+G32+G35+G38+G53+G61+G74</f>
        <v>183503950.96000001</v>
      </c>
    </row>
    <row r="14" spans="1:10" ht="27" customHeight="1" x14ac:dyDescent="0.25">
      <c r="A14" s="428" t="s">
        <v>519</v>
      </c>
      <c r="B14" s="510" t="s">
        <v>926</v>
      </c>
      <c r="C14" s="511"/>
      <c r="D14" s="428" t="s">
        <v>953</v>
      </c>
      <c r="E14" s="429">
        <f>E15</f>
        <v>100239394</v>
      </c>
      <c r="F14" s="429">
        <f>F15</f>
        <v>104248968</v>
      </c>
      <c r="G14" s="430">
        <f>G15</f>
        <v>108418927</v>
      </c>
    </row>
    <row r="15" spans="1:10" ht="27" customHeight="1" x14ac:dyDescent="0.25">
      <c r="A15" s="431" t="s">
        <v>34</v>
      </c>
      <c r="B15" s="512" t="s">
        <v>927</v>
      </c>
      <c r="C15" s="513"/>
      <c r="D15" s="431" t="s">
        <v>928</v>
      </c>
      <c r="E15" s="432">
        <f>E16+E17+E18</f>
        <v>100239394</v>
      </c>
      <c r="F15" s="432">
        <f>F16+F17+F18</f>
        <v>104248968</v>
      </c>
      <c r="G15" s="433">
        <f>G16+G17+G18</f>
        <v>108418927</v>
      </c>
    </row>
    <row r="16" spans="1:10" ht="100.5" customHeight="1" x14ac:dyDescent="0.25">
      <c r="A16" s="434" t="s">
        <v>34</v>
      </c>
      <c r="B16" s="504" t="s">
        <v>768</v>
      </c>
      <c r="C16" s="505"/>
      <c r="D16" s="435" t="s">
        <v>36</v>
      </c>
      <c r="E16" s="436">
        <v>99838437</v>
      </c>
      <c r="F16" s="445">
        <v>103831974</v>
      </c>
      <c r="G16" s="445">
        <v>107985253</v>
      </c>
    </row>
    <row r="17" spans="1:7" ht="158.25" customHeight="1" x14ac:dyDescent="0.25">
      <c r="A17" s="434" t="s">
        <v>34</v>
      </c>
      <c r="B17" s="504" t="s">
        <v>769</v>
      </c>
      <c r="C17" s="505"/>
      <c r="D17" s="435" t="s">
        <v>770</v>
      </c>
      <c r="E17" s="436">
        <v>300718</v>
      </c>
      <c r="F17" s="445">
        <v>312746</v>
      </c>
      <c r="G17" s="445">
        <v>325256</v>
      </c>
    </row>
    <row r="18" spans="1:7" ht="69.75" customHeight="1" x14ac:dyDescent="0.25">
      <c r="A18" s="434" t="s">
        <v>34</v>
      </c>
      <c r="B18" s="504" t="s">
        <v>771</v>
      </c>
      <c r="C18" s="505"/>
      <c r="D18" s="437" t="s">
        <v>772</v>
      </c>
      <c r="E18" s="436">
        <v>100239</v>
      </c>
      <c r="F18" s="445">
        <v>104248</v>
      </c>
      <c r="G18" s="445">
        <v>108418</v>
      </c>
    </row>
    <row r="19" spans="1:7" ht="69.75" customHeight="1" x14ac:dyDescent="0.25">
      <c r="A19" s="438" t="s">
        <v>519</v>
      </c>
      <c r="B19" s="508" t="s">
        <v>947</v>
      </c>
      <c r="C19" s="509"/>
      <c r="D19" s="439" t="s">
        <v>946</v>
      </c>
      <c r="E19" s="440">
        <f>E20</f>
        <v>20511794.370000001</v>
      </c>
      <c r="F19" s="465">
        <f>F20</f>
        <v>23090388.960000001</v>
      </c>
      <c r="G19" s="465">
        <f>G20</f>
        <v>23090388.960000001</v>
      </c>
    </row>
    <row r="20" spans="1:7" ht="69.75" customHeight="1" x14ac:dyDescent="0.25">
      <c r="A20" s="441" t="s">
        <v>519</v>
      </c>
      <c r="B20" s="506" t="s">
        <v>948</v>
      </c>
      <c r="C20" s="507"/>
      <c r="D20" s="442" t="s">
        <v>949</v>
      </c>
      <c r="E20" s="443">
        <f>E21+E22+E23+E24</f>
        <v>20511794.370000001</v>
      </c>
      <c r="F20" s="443">
        <f>F21+F22+F23+F24</f>
        <v>23090388.960000001</v>
      </c>
      <c r="G20" s="444">
        <f>G21+G22+G23+G24</f>
        <v>23090388.960000001</v>
      </c>
    </row>
    <row r="21" spans="1:7" ht="102" customHeight="1" x14ac:dyDescent="0.25">
      <c r="A21" s="434" t="s">
        <v>38</v>
      </c>
      <c r="B21" s="504" t="s">
        <v>10</v>
      </c>
      <c r="C21" s="505"/>
      <c r="D21" s="375" t="s">
        <v>60</v>
      </c>
      <c r="E21" s="436">
        <f>8984165.93+6153.56</f>
        <v>8990319.4900000002</v>
      </c>
      <c r="F21" s="445">
        <f>10113590.36+6965.13</f>
        <v>10120555.49</v>
      </c>
      <c r="G21" s="445">
        <v>10120555.49</v>
      </c>
    </row>
    <row r="22" spans="1:7" ht="138.75" customHeight="1" x14ac:dyDescent="0.25">
      <c r="A22" s="434" t="s">
        <v>38</v>
      </c>
      <c r="B22" s="504" t="s">
        <v>11</v>
      </c>
      <c r="C22" s="505"/>
      <c r="D22" s="446" t="s">
        <v>762</v>
      </c>
      <c r="E22" s="436">
        <v>203066.76</v>
      </c>
      <c r="F22" s="445">
        <v>228594.85</v>
      </c>
      <c r="G22" s="445">
        <v>228594.85</v>
      </c>
    </row>
    <row r="23" spans="1:7" ht="102" customHeight="1" x14ac:dyDescent="0.25">
      <c r="A23" s="434" t="s">
        <v>38</v>
      </c>
      <c r="B23" s="504" t="s">
        <v>12</v>
      </c>
      <c r="C23" s="505"/>
      <c r="D23" s="446" t="s">
        <v>763</v>
      </c>
      <c r="E23" s="436">
        <v>11240463.310000001</v>
      </c>
      <c r="F23" s="445">
        <v>12653533.15</v>
      </c>
      <c r="G23" s="445">
        <v>12653533.15</v>
      </c>
    </row>
    <row r="24" spans="1:7" ht="96" customHeight="1" x14ac:dyDescent="0.25">
      <c r="A24" s="434" t="s">
        <v>38</v>
      </c>
      <c r="B24" s="504" t="s">
        <v>13</v>
      </c>
      <c r="C24" s="505"/>
      <c r="D24" s="446" t="s">
        <v>764</v>
      </c>
      <c r="E24" s="436">
        <v>77944.81</v>
      </c>
      <c r="F24" s="445">
        <v>87705.47</v>
      </c>
      <c r="G24" s="445">
        <v>87705.47</v>
      </c>
    </row>
    <row r="25" spans="1:7" ht="22.5" customHeight="1" x14ac:dyDescent="0.25">
      <c r="A25" s="438" t="s">
        <v>519</v>
      </c>
      <c r="B25" s="508" t="s">
        <v>929</v>
      </c>
      <c r="C25" s="509"/>
      <c r="D25" s="438" t="s">
        <v>930</v>
      </c>
      <c r="E25" s="440">
        <f>E27+E28+E31+E29</f>
        <v>22199020</v>
      </c>
      <c r="F25" s="440">
        <f>F27+F28+F31</f>
        <v>23086980</v>
      </c>
      <c r="G25" s="447">
        <f>G27+G28+G31</f>
        <v>24010459</v>
      </c>
    </row>
    <row r="26" spans="1:7" ht="38.450000000000003" customHeight="1" x14ac:dyDescent="0.25">
      <c r="A26" s="441" t="s">
        <v>34</v>
      </c>
      <c r="B26" s="506" t="s">
        <v>1328</v>
      </c>
      <c r="C26" s="507"/>
      <c r="D26" s="441" t="s">
        <v>2</v>
      </c>
      <c r="E26" s="443">
        <f>E27+E28</f>
        <v>21841000</v>
      </c>
      <c r="F26" s="443">
        <f t="shared" ref="F26:G26" si="0">F27+F28</f>
        <v>22714640</v>
      </c>
      <c r="G26" s="444">
        <f t="shared" si="0"/>
        <v>23623225</v>
      </c>
    </row>
    <row r="27" spans="1:7" ht="36" customHeight="1" x14ac:dyDescent="0.25">
      <c r="A27" s="434" t="s">
        <v>34</v>
      </c>
      <c r="B27" s="504" t="s">
        <v>773</v>
      </c>
      <c r="C27" s="505"/>
      <c r="D27" s="437" t="s">
        <v>2</v>
      </c>
      <c r="E27" s="436">
        <v>21840000</v>
      </c>
      <c r="F27" s="445">
        <v>22713600</v>
      </c>
      <c r="G27" s="445">
        <v>23622144</v>
      </c>
    </row>
    <row r="28" spans="1:7" ht="57" customHeight="1" x14ac:dyDescent="0.25">
      <c r="A28" s="434" t="s">
        <v>34</v>
      </c>
      <c r="B28" s="504" t="s">
        <v>774</v>
      </c>
      <c r="C28" s="505"/>
      <c r="D28" s="437" t="s">
        <v>775</v>
      </c>
      <c r="E28" s="436">
        <v>1000</v>
      </c>
      <c r="F28" s="445">
        <v>1040</v>
      </c>
      <c r="G28" s="445">
        <v>1081</v>
      </c>
    </row>
    <row r="29" spans="1:7" ht="57" hidden="1" customHeight="1" x14ac:dyDescent="0.25">
      <c r="A29" s="434" t="s">
        <v>34</v>
      </c>
      <c r="B29" s="504" t="s">
        <v>962</v>
      </c>
      <c r="C29" s="505"/>
      <c r="D29" s="437" t="s">
        <v>3</v>
      </c>
      <c r="E29" s="436">
        <v>0</v>
      </c>
      <c r="F29" s="445">
        <v>0</v>
      </c>
      <c r="G29" s="445">
        <v>0</v>
      </c>
    </row>
    <row r="30" spans="1:7" ht="57" customHeight="1" x14ac:dyDescent="0.25">
      <c r="A30" s="441" t="s">
        <v>34</v>
      </c>
      <c r="B30" s="506" t="s">
        <v>1329</v>
      </c>
      <c r="C30" s="507"/>
      <c r="D30" s="442" t="s">
        <v>1330</v>
      </c>
      <c r="E30" s="443">
        <f>E31</f>
        <v>358020</v>
      </c>
      <c r="F30" s="443">
        <f t="shared" ref="F30:G30" si="1">F31</f>
        <v>372340</v>
      </c>
      <c r="G30" s="444">
        <f t="shared" si="1"/>
        <v>387234</v>
      </c>
    </row>
    <row r="31" spans="1:7" ht="69.75" customHeight="1" x14ac:dyDescent="0.25">
      <c r="A31" s="434" t="s">
        <v>34</v>
      </c>
      <c r="B31" s="504" t="s">
        <v>776</v>
      </c>
      <c r="C31" s="505"/>
      <c r="D31" s="437" t="s">
        <v>954</v>
      </c>
      <c r="E31" s="436">
        <v>358020</v>
      </c>
      <c r="F31" s="445">
        <v>372340</v>
      </c>
      <c r="G31" s="445">
        <v>387234</v>
      </c>
    </row>
    <row r="32" spans="1:7" ht="29.25" customHeight="1" x14ac:dyDescent="0.25">
      <c r="A32" s="438" t="s">
        <v>519</v>
      </c>
      <c r="B32" s="508" t="s">
        <v>931</v>
      </c>
      <c r="C32" s="509"/>
      <c r="D32" s="448" t="s">
        <v>932</v>
      </c>
      <c r="E32" s="440">
        <f>E33</f>
        <v>24320000</v>
      </c>
      <c r="F32" s="465">
        <f t="shared" ref="E32:G33" si="2">F33</f>
        <v>0</v>
      </c>
      <c r="G32" s="465">
        <f t="shared" si="2"/>
        <v>0</v>
      </c>
    </row>
    <row r="33" spans="1:7" ht="29.25" customHeight="1" x14ac:dyDescent="0.25">
      <c r="A33" s="441" t="s">
        <v>34</v>
      </c>
      <c r="B33" s="506" t="s">
        <v>933</v>
      </c>
      <c r="C33" s="507"/>
      <c r="D33" s="449" t="s">
        <v>934</v>
      </c>
      <c r="E33" s="443">
        <f t="shared" si="2"/>
        <v>24320000</v>
      </c>
      <c r="F33" s="466">
        <f t="shared" si="2"/>
        <v>0</v>
      </c>
      <c r="G33" s="466">
        <f t="shared" si="2"/>
        <v>0</v>
      </c>
    </row>
    <row r="34" spans="1:7" ht="51" customHeight="1" x14ac:dyDescent="0.25">
      <c r="A34" s="434" t="s">
        <v>34</v>
      </c>
      <c r="B34" s="504" t="s">
        <v>1303</v>
      </c>
      <c r="C34" s="505"/>
      <c r="D34" s="437" t="s">
        <v>1304</v>
      </c>
      <c r="E34" s="436">
        <v>24320000</v>
      </c>
      <c r="F34" s="445">
        <v>0</v>
      </c>
      <c r="G34" s="445">
        <v>0</v>
      </c>
    </row>
    <row r="35" spans="1:7" ht="29.25" customHeight="1" x14ac:dyDescent="0.25">
      <c r="A35" s="438" t="s">
        <v>519</v>
      </c>
      <c r="B35" s="508" t="s">
        <v>935</v>
      </c>
      <c r="C35" s="509"/>
      <c r="D35" s="448" t="s">
        <v>936</v>
      </c>
      <c r="E35" s="440">
        <f>E36+E37</f>
        <v>3000000</v>
      </c>
      <c r="F35" s="465">
        <f>F36</f>
        <v>3120000</v>
      </c>
      <c r="G35" s="465">
        <f>G36</f>
        <v>3244800</v>
      </c>
    </row>
    <row r="36" spans="1:7" ht="114" customHeight="1" x14ac:dyDescent="0.25">
      <c r="A36" s="434" t="s">
        <v>34</v>
      </c>
      <c r="B36" s="504" t="s">
        <v>780</v>
      </c>
      <c r="C36" s="505"/>
      <c r="D36" s="437" t="s">
        <v>781</v>
      </c>
      <c r="E36" s="436">
        <v>3000000</v>
      </c>
      <c r="F36" s="445">
        <v>3120000</v>
      </c>
      <c r="G36" s="445">
        <v>3244800</v>
      </c>
    </row>
    <row r="37" spans="1:7" ht="53.25" hidden="1" customHeight="1" x14ac:dyDescent="0.25">
      <c r="A37" s="434" t="s">
        <v>34</v>
      </c>
      <c r="B37" s="504" t="s">
        <v>1024</v>
      </c>
      <c r="C37" s="505"/>
      <c r="D37" s="437" t="s">
        <v>1039</v>
      </c>
      <c r="E37" s="436">
        <v>0</v>
      </c>
      <c r="F37" s="467">
        <v>0</v>
      </c>
      <c r="G37" s="445">
        <v>0</v>
      </c>
    </row>
    <row r="38" spans="1:7" ht="72" customHeight="1" x14ac:dyDescent="0.25">
      <c r="A38" s="438" t="s">
        <v>519</v>
      </c>
      <c r="B38" s="508" t="s">
        <v>937</v>
      </c>
      <c r="C38" s="509"/>
      <c r="D38" s="448" t="s">
        <v>938</v>
      </c>
      <c r="E38" s="440">
        <f>E40+E42+E43+E45+E50+E52+E44+E46+E47+E48+E49</f>
        <v>24722160</v>
      </c>
      <c r="F38" s="440">
        <f>F40+F42+F43+F45+F50+F52</f>
        <v>21227970</v>
      </c>
      <c r="G38" s="447">
        <f>G40+G42+G43+G45+G50+G52</f>
        <v>21435970</v>
      </c>
    </row>
    <row r="39" spans="1:7" ht="72" customHeight="1" x14ac:dyDescent="0.25">
      <c r="A39" s="438" t="s">
        <v>519</v>
      </c>
      <c r="B39" s="506" t="s">
        <v>1337</v>
      </c>
      <c r="C39" s="507"/>
      <c r="D39" s="449" t="s">
        <v>80</v>
      </c>
      <c r="E39" s="443">
        <f>E40</f>
        <v>100000</v>
      </c>
      <c r="F39" s="443">
        <f t="shared" ref="F39:G39" si="3">F40</f>
        <v>0</v>
      </c>
      <c r="G39" s="444">
        <f t="shared" si="3"/>
        <v>0</v>
      </c>
    </row>
    <row r="40" spans="1:7" ht="59.25" customHeight="1" x14ac:dyDescent="0.25">
      <c r="A40" s="434" t="s">
        <v>16</v>
      </c>
      <c r="B40" s="504" t="s">
        <v>955</v>
      </c>
      <c r="C40" s="505"/>
      <c r="D40" s="437" t="s">
        <v>80</v>
      </c>
      <c r="E40" s="436">
        <v>100000</v>
      </c>
      <c r="F40" s="445">
        <v>0</v>
      </c>
      <c r="G40" s="445">
        <v>0</v>
      </c>
    </row>
    <row r="41" spans="1:7" ht="109.15" customHeight="1" x14ac:dyDescent="0.25">
      <c r="A41" s="441" t="s">
        <v>519</v>
      </c>
      <c r="B41" s="506" t="s">
        <v>1338</v>
      </c>
      <c r="C41" s="507"/>
      <c r="D41" s="442" t="s">
        <v>1339</v>
      </c>
      <c r="E41" s="443">
        <f>E42+E45</f>
        <v>19006160</v>
      </c>
      <c r="F41" s="443">
        <f t="shared" ref="F41:G41" si="4">F42+F45</f>
        <v>19627970</v>
      </c>
      <c r="G41" s="444">
        <f t="shared" si="4"/>
        <v>19835970</v>
      </c>
    </row>
    <row r="42" spans="1:7" ht="132" customHeight="1" x14ac:dyDescent="0.25">
      <c r="A42" s="434" t="s">
        <v>19</v>
      </c>
      <c r="B42" s="504" t="s">
        <v>20</v>
      </c>
      <c r="C42" s="505"/>
      <c r="D42" s="435" t="s">
        <v>1189</v>
      </c>
      <c r="E42" s="436">
        <v>5000000</v>
      </c>
      <c r="F42" s="445">
        <v>5200000</v>
      </c>
      <c r="G42" s="445">
        <v>5408000</v>
      </c>
    </row>
    <row r="43" spans="1:7" ht="113.25" hidden="1" customHeight="1" x14ac:dyDescent="0.25">
      <c r="A43" s="434" t="s">
        <v>19</v>
      </c>
      <c r="B43" s="504" t="s">
        <v>21</v>
      </c>
      <c r="C43" s="505"/>
      <c r="D43" s="435" t="s">
        <v>743</v>
      </c>
      <c r="E43" s="436">
        <v>0</v>
      </c>
      <c r="F43" s="445">
        <v>0</v>
      </c>
      <c r="G43" s="445">
        <v>0</v>
      </c>
    </row>
    <row r="44" spans="1:7" ht="114" hidden="1" customHeight="1" x14ac:dyDescent="0.25">
      <c r="A44" s="434" t="s">
        <v>963</v>
      </c>
      <c r="B44" s="504" t="s">
        <v>21</v>
      </c>
      <c r="C44" s="505"/>
      <c r="D44" s="435" t="s">
        <v>743</v>
      </c>
      <c r="E44" s="436">
        <v>0</v>
      </c>
      <c r="F44" s="445">
        <v>0</v>
      </c>
      <c r="G44" s="445">
        <v>0</v>
      </c>
    </row>
    <row r="45" spans="1:7" ht="114" customHeight="1" x14ac:dyDescent="0.25">
      <c r="A45" s="434" t="s">
        <v>19</v>
      </c>
      <c r="B45" s="504" t="s">
        <v>744</v>
      </c>
      <c r="C45" s="505"/>
      <c r="D45" s="435" t="s">
        <v>745</v>
      </c>
      <c r="E45" s="436">
        <v>14006160</v>
      </c>
      <c r="F45" s="445">
        <v>14427970</v>
      </c>
      <c r="G45" s="445">
        <v>14427970</v>
      </c>
    </row>
    <row r="46" spans="1:7" ht="114" hidden="1" customHeight="1" x14ac:dyDescent="0.25">
      <c r="A46" s="434" t="s">
        <v>966</v>
      </c>
      <c r="B46" s="504" t="s">
        <v>744</v>
      </c>
      <c r="C46" s="505"/>
      <c r="D46" s="435" t="s">
        <v>745</v>
      </c>
      <c r="E46" s="436">
        <v>0</v>
      </c>
      <c r="F46" s="445">
        <v>0</v>
      </c>
      <c r="G46" s="445">
        <v>0</v>
      </c>
    </row>
    <row r="47" spans="1:7" ht="114" hidden="1" customHeight="1" x14ac:dyDescent="0.25">
      <c r="A47" s="434" t="s">
        <v>967</v>
      </c>
      <c r="B47" s="504" t="s">
        <v>744</v>
      </c>
      <c r="C47" s="505"/>
      <c r="D47" s="435" t="s">
        <v>745</v>
      </c>
      <c r="E47" s="436">
        <v>0</v>
      </c>
      <c r="F47" s="445">
        <v>0</v>
      </c>
      <c r="G47" s="445">
        <v>0</v>
      </c>
    </row>
    <row r="48" spans="1:7" ht="114" hidden="1" customHeight="1" x14ac:dyDescent="0.25">
      <c r="A48" s="434" t="s">
        <v>19</v>
      </c>
      <c r="B48" s="504" t="s">
        <v>968</v>
      </c>
      <c r="C48" s="505"/>
      <c r="D48" s="446" t="s">
        <v>964</v>
      </c>
      <c r="E48" s="436">
        <v>0</v>
      </c>
      <c r="F48" s="445">
        <v>0</v>
      </c>
      <c r="G48" s="445">
        <v>0</v>
      </c>
    </row>
    <row r="49" spans="1:7" ht="0.75" customHeight="1" x14ac:dyDescent="0.25">
      <c r="A49" s="434" t="s">
        <v>969</v>
      </c>
      <c r="B49" s="504" t="s">
        <v>970</v>
      </c>
      <c r="C49" s="505"/>
      <c r="D49" s="450" t="s">
        <v>965</v>
      </c>
      <c r="E49" s="436">
        <v>0</v>
      </c>
      <c r="F49" s="445">
        <v>0</v>
      </c>
      <c r="G49" s="445">
        <v>0</v>
      </c>
    </row>
    <row r="50" spans="1:7" ht="86.25" hidden="1" customHeight="1" x14ac:dyDescent="0.25">
      <c r="A50" s="434" t="s">
        <v>19</v>
      </c>
      <c r="B50" s="504" t="s">
        <v>746</v>
      </c>
      <c r="C50" s="505"/>
      <c r="D50" s="435" t="s">
        <v>22</v>
      </c>
      <c r="E50" s="436">
        <v>0</v>
      </c>
      <c r="F50" s="445">
        <v>0</v>
      </c>
      <c r="G50" s="445">
        <v>0</v>
      </c>
    </row>
    <row r="51" spans="1:7" ht="145.5" customHeight="1" x14ac:dyDescent="0.25">
      <c r="A51" s="441" t="s">
        <v>519</v>
      </c>
      <c r="B51" s="506" t="s">
        <v>1340</v>
      </c>
      <c r="C51" s="507"/>
      <c r="D51" s="442" t="s">
        <v>1341</v>
      </c>
      <c r="E51" s="443">
        <f>E52</f>
        <v>5616000</v>
      </c>
      <c r="F51" s="443">
        <f t="shared" ref="F51:G51" si="5">F52</f>
        <v>1600000</v>
      </c>
      <c r="G51" s="444">
        <f t="shared" si="5"/>
        <v>1600000</v>
      </c>
    </row>
    <row r="52" spans="1:7" ht="114" customHeight="1" x14ac:dyDescent="0.25">
      <c r="A52" s="434" t="s">
        <v>19</v>
      </c>
      <c r="B52" s="504" t="s">
        <v>23</v>
      </c>
      <c r="C52" s="505"/>
      <c r="D52" s="437" t="s">
        <v>24</v>
      </c>
      <c r="E52" s="436">
        <v>5616000</v>
      </c>
      <c r="F52" s="445">
        <v>1600000</v>
      </c>
      <c r="G52" s="445">
        <v>1600000</v>
      </c>
    </row>
    <row r="53" spans="1:7" ht="39" customHeight="1" x14ac:dyDescent="0.25">
      <c r="A53" s="438" t="s">
        <v>519</v>
      </c>
      <c r="B53" s="508" t="s">
        <v>939</v>
      </c>
      <c r="C53" s="509"/>
      <c r="D53" s="439" t="s">
        <v>940</v>
      </c>
      <c r="E53" s="440">
        <f>E55+E56+E57+E58</f>
        <v>949000</v>
      </c>
      <c r="F53" s="440">
        <f>F55+F56+F57+F58</f>
        <v>986960</v>
      </c>
      <c r="G53" s="447">
        <f>G55+G56+G57+G58</f>
        <v>1026436</v>
      </c>
    </row>
    <row r="54" spans="1:7" ht="39" customHeight="1" x14ac:dyDescent="0.25">
      <c r="A54" s="441" t="s">
        <v>5</v>
      </c>
      <c r="B54" s="506" t="s">
        <v>1331</v>
      </c>
      <c r="C54" s="507"/>
      <c r="D54" s="442" t="s">
        <v>1332</v>
      </c>
      <c r="E54" s="443">
        <f>E55+E57+E58</f>
        <v>949000</v>
      </c>
      <c r="F54" s="443">
        <f t="shared" ref="F54:G54" si="6">F55+F57+F58</f>
        <v>986960</v>
      </c>
      <c r="G54" s="444">
        <f t="shared" si="6"/>
        <v>1026436</v>
      </c>
    </row>
    <row r="55" spans="1:7" ht="48.75" customHeight="1" x14ac:dyDescent="0.25">
      <c r="A55" s="434" t="s">
        <v>5</v>
      </c>
      <c r="B55" s="504" t="s">
        <v>753</v>
      </c>
      <c r="C55" s="505"/>
      <c r="D55" s="437" t="s">
        <v>754</v>
      </c>
      <c r="E55" s="436">
        <v>270000</v>
      </c>
      <c r="F55" s="445">
        <v>280800</v>
      </c>
      <c r="G55" s="445">
        <v>292030</v>
      </c>
    </row>
    <row r="56" spans="1:7" ht="48.75" hidden="1" customHeight="1" x14ac:dyDescent="0.25">
      <c r="A56" s="434" t="s">
        <v>5</v>
      </c>
      <c r="B56" s="504" t="s">
        <v>755</v>
      </c>
      <c r="C56" s="505"/>
      <c r="D56" s="437" t="s">
        <v>756</v>
      </c>
      <c r="E56" s="436">
        <v>0</v>
      </c>
      <c r="F56" s="445">
        <v>0</v>
      </c>
      <c r="G56" s="445">
        <v>0</v>
      </c>
    </row>
    <row r="57" spans="1:7" ht="44.25" customHeight="1" x14ac:dyDescent="0.25">
      <c r="A57" s="434" t="s">
        <v>5</v>
      </c>
      <c r="B57" s="504" t="s">
        <v>757</v>
      </c>
      <c r="C57" s="505"/>
      <c r="D57" s="437" t="s">
        <v>758</v>
      </c>
      <c r="E57" s="436">
        <v>117000</v>
      </c>
      <c r="F57" s="445">
        <v>121680</v>
      </c>
      <c r="G57" s="445">
        <v>126547</v>
      </c>
    </row>
    <row r="58" spans="1:7" ht="39" customHeight="1" x14ac:dyDescent="0.25">
      <c r="A58" s="434" t="s">
        <v>5</v>
      </c>
      <c r="B58" s="504" t="s">
        <v>759</v>
      </c>
      <c r="C58" s="505"/>
      <c r="D58" s="437" t="s">
        <v>760</v>
      </c>
      <c r="E58" s="436">
        <v>562000</v>
      </c>
      <c r="F58" s="445">
        <v>584480</v>
      </c>
      <c r="G58" s="445">
        <v>607859</v>
      </c>
    </row>
    <row r="59" spans="1:7" ht="55.5" hidden="1" customHeight="1" x14ac:dyDescent="0.25">
      <c r="A59" s="438" t="s">
        <v>519</v>
      </c>
      <c r="B59" s="508" t="s">
        <v>971</v>
      </c>
      <c r="C59" s="509"/>
      <c r="D59" s="439" t="s">
        <v>972</v>
      </c>
      <c r="E59" s="440">
        <f>E60</f>
        <v>0</v>
      </c>
      <c r="F59" s="467">
        <v>0</v>
      </c>
      <c r="G59" s="445">
        <v>0</v>
      </c>
    </row>
    <row r="60" spans="1:7" ht="39" hidden="1" customHeight="1" x14ac:dyDescent="0.25">
      <c r="A60" s="434" t="s">
        <v>18</v>
      </c>
      <c r="B60" s="504" t="s">
        <v>973</v>
      </c>
      <c r="C60" s="505"/>
      <c r="D60" s="451" t="s">
        <v>974</v>
      </c>
      <c r="E60" s="436">
        <v>0</v>
      </c>
      <c r="F60" s="467">
        <v>0</v>
      </c>
      <c r="G60" s="445">
        <v>0</v>
      </c>
    </row>
    <row r="61" spans="1:7" ht="51" customHeight="1" x14ac:dyDescent="0.25">
      <c r="A61" s="438" t="s">
        <v>519</v>
      </c>
      <c r="B61" s="508" t="s">
        <v>941</v>
      </c>
      <c r="C61" s="509"/>
      <c r="D61" s="439" t="s">
        <v>942</v>
      </c>
      <c r="E61" s="440">
        <f>E63+E65+E66+E67+E69+E70+E71+E68</f>
        <v>640000</v>
      </c>
      <c r="F61" s="440">
        <f>F63+F65+F66+F67</f>
        <v>565000</v>
      </c>
      <c r="G61" s="447">
        <f>G63+G65+G66+G67</f>
        <v>565000</v>
      </c>
    </row>
    <row r="62" spans="1:7" ht="122.25" customHeight="1" x14ac:dyDescent="0.25">
      <c r="A62" s="441" t="s">
        <v>519</v>
      </c>
      <c r="B62" s="506" t="s">
        <v>1333</v>
      </c>
      <c r="C62" s="507"/>
      <c r="D62" s="452" t="s">
        <v>1334</v>
      </c>
      <c r="E62" s="443">
        <f>E63</f>
        <v>100000</v>
      </c>
      <c r="F62" s="443">
        <f t="shared" ref="F62:G62" si="7">F63</f>
        <v>100000</v>
      </c>
      <c r="G62" s="444">
        <f t="shared" si="7"/>
        <v>100000</v>
      </c>
    </row>
    <row r="63" spans="1:7" ht="136.5" customHeight="1" x14ac:dyDescent="0.25">
      <c r="A63" s="434" t="s">
        <v>19</v>
      </c>
      <c r="B63" s="504" t="s">
        <v>25</v>
      </c>
      <c r="C63" s="505"/>
      <c r="D63" s="437" t="s">
        <v>747</v>
      </c>
      <c r="E63" s="436">
        <v>100000</v>
      </c>
      <c r="F63" s="445">
        <v>100000</v>
      </c>
      <c r="G63" s="445">
        <v>100000</v>
      </c>
    </row>
    <row r="64" spans="1:7" ht="52.15" customHeight="1" x14ac:dyDescent="0.25">
      <c r="A64" s="441" t="s">
        <v>519</v>
      </c>
      <c r="B64" s="506" t="s">
        <v>1335</v>
      </c>
      <c r="C64" s="507"/>
      <c r="D64" s="442" t="s">
        <v>1336</v>
      </c>
      <c r="E64" s="443">
        <f>E65+E67</f>
        <v>540000</v>
      </c>
      <c r="F64" s="443">
        <f t="shared" ref="F64:G64" si="8">F65+F67</f>
        <v>465000</v>
      </c>
      <c r="G64" s="444">
        <f t="shared" si="8"/>
        <v>465000</v>
      </c>
    </row>
    <row r="65" spans="1:7" ht="84" customHeight="1" x14ac:dyDescent="0.25">
      <c r="A65" s="434" t="s">
        <v>19</v>
      </c>
      <c r="B65" s="504" t="s">
        <v>26</v>
      </c>
      <c r="C65" s="505"/>
      <c r="D65" s="437" t="s">
        <v>1190</v>
      </c>
      <c r="E65" s="436">
        <v>310000</v>
      </c>
      <c r="F65" s="445">
        <v>310000</v>
      </c>
      <c r="G65" s="445">
        <v>310000</v>
      </c>
    </row>
    <row r="66" spans="1:7" ht="66" hidden="1" customHeight="1" x14ac:dyDescent="0.25">
      <c r="A66" s="434" t="s">
        <v>19</v>
      </c>
      <c r="B66" s="504" t="s">
        <v>27</v>
      </c>
      <c r="C66" s="505"/>
      <c r="D66" s="437" t="s">
        <v>749</v>
      </c>
      <c r="E66" s="436">
        <v>0</v>
      </c>
      <c r="F66" s="445">
        <v>0</v>
      </c>
      <c r="G66" s="445">
        <v>0</v>
      </c>
    </row>
    <row r="67" spans="1:7" ht="66" customHeight="1" x14ac:dyDescent="0.25">
      <c r="A67" s="434" t="s">
        <v>19</v>
      </c>
      <c r="B67" s="504" t="s">
        <v>750</v>
      </c>
      <c r="C67" s="505"/>
      <c r="D67" s="437" t="s">
        <v>751</v>
      </c>
      <c r="E67" s="436">
        <f>200000+30000</f>
        <v>230000</v>
      </c>
      <c r="F67" s="445">
        <v>155000</v>
      </c>
      <c r="G67" s="445">
        <v>155000</v>
      </c>
    </row>
    <row r="68" spans="1:7" ht="66" hidden="1" customHeight="1" x14ac:dyDescent="0.25">
      <c r="A68" s="434" t="s">
        <v>1025</v>
      </c>
      <c r="B68" s="504" t="s">
        <v>750</v>
      </c>
      <c r="C68" s="505"/>
      <c r="D68" s="437" t="s">
        <v>1026</v>
      </c>
      <c r="E68" s="436">
        <v>0</v>
      </c>
      <c r="F68" s="467">
        <v>0</v>
      </c>
      <c r="G68" s="445">
        <v>0</v>
      </c>
    </row>
    <row r="69" spans="1:7" ht="69" hidden="1" customHeight="1" x14ac:dyDescent="0.25">
      <c r="A69" s="434" t="s">
        <v>966</v>
      </c>
      <c r="B69" s="504" t="s">
        <v>750</v>
      </c>
      <c r="C69" s="505"/>
      <c r="D69" s="437" t="s">
        <v>751</v>
      </c>
      <c r="E69" s="436">
        <v>0</v>
      </c>
      <c r="F69" s="467">
        <v>0</v>
      </c>
      <c r="G69" s="445">
        <v>0</v>
      </c>
    </row>
    <row r="70" spans="1:7" ht="66" hidden="1" customHeight="1" x14ac:dyDescent="0.25">
      <c r="A70" s="434" t="s">
        <v>967</v>
      </c>
      <c r="B70" s="504" t="s">
        <v>750</v>
      </c>
      <c r="C70" s="505"/>
      <c r="D70" s="437" t="s">
        <v>751</v>
      </c>
      <c r="E70" s="436">
        <v>0</v>
      </c>
      <c r="F70" s="467">
        <v>0</v>
      </c>
      <c r="G70" s="445">
        <v>0</v>
      </c>
    </row>
    <row r="71" spans="1:7" ht="131.25" hidden="1" customHeight="1" x14ac:dyDescent="0.25">
      <c r="A71" s="434" t="s">
        <v>966</v>
      </c>
      <c r="B71" s="504" t="s">
        <v>976</v>
      </c>
      <c r="C71" s="505"/>
      <c r="D71" s="446" t="s">
        <v>975</v>
      </c>
      <c r="E71" s="436">
        <v>0</v>
      </c>
      <c r="F71" s="467">
        <v>0</v>
      </c>
      <c r="G71" s="445">
        <v>0</v>
      </c>
    </row>
    <row r="72" spans="1:7" ht="37.5" hidden="1" customHeight="1" x14ac:dyDescent="0.25">
      <c r="A72" s="434" t="s">
        <v>519</v>
      </c>
      <c r="B72" s="504" t="s">
        <v>1027</v>
      </c>
      <c r="C72" s="505"/>
      <c r="D72" s="453" t="s">
        <v>1028</v>
      </c>
      <c r="E72" s="440">
        <f>E73</f>
        <v>0</v>
      </c>
      <c r="F72" s="467">
        <v>0</v>
      </c>
      <c r="G72" s="445">
        <v>0</v>
      </c>
    </row>
    <row r="73" spans="1:7" ht="62.25" hidden="1" customHeight="1" x14ac:dyDescent="0.25">
      <c r="A73" s="434" t="s">
        <v>19</v>
      </c>
      <c r="B73" s="504" t="s">
        <v>1027</v>
      </c>
      <c r="C73" s="505"/>
      <c r="D73" s="446" t="s">
        <v>44</v>
      </c>
      <c r="E73" s="436">
        <v>0</v>
      </c>
      <c r="F73" s="467">
        <v>0</v>
      </c>
      <c r="G73" s="445">
        <v>0</v>
      </c>
    </row>
    <row r="74" spans="1:7" ht="39.75" customHeight="1" x14ac:dyDescent="0.25">
      <c r="A74" s="438" t="s">
        <v>519</v>
      </c>
      <c r="B74" s="508" t="s">
        <v>943</v>
      </c>
      <c r="C74" s="509"/>
      <c r="D74" s="439" t="s">
        <v>944</v>
      </c>
      <c r="E74" s="440">
        <f>E79+E80+E83+E84+E87+E90+E91+E92+E93+E75+E76+E77+E78+E81+E82+E86+E88+E89+E94+E95+E96+E85</f>
        <v>1601319</v>
      </c>
      <c r="F74" s="440">
        <f>F79+F80+F83+F84+F87+F90+F91+F92+F93+F88+F89</f>
        <v>1648543</v>
      </c>
      <c r="G74" s="447">
        <f>G79+G80+G83+G84+G87+G90+G91+G92+G93+G88+G89</f>
        <v>1711970</v>
      </c>
    </row>
    <row r="75" spans="1:7" ht="70.5" hidden="1" customHeight="1" x14ac:dyDescent="0.25">
      <c r="A75" s="434" t="s">
        <v>15</v>
      </c>
      <c r="B75" s="504" t="s">
        <v>7</v>
      </c>
      <c r="C75" s="505"/>
      <c r="D75" s="435" t="s">
        <v>752</v>
      </c>
      <c r="E75" s="436">
        <v>0</v>
      </c>
      <c r="F75" s="436">
        <v>0</v>
      </c>
      <c r="G75" s="454">
        <v>0</v>
      </c>
    </row>
    <row r="76" spans="1:7" ht="69.75" customHeight="1" x14ac:dyDescent="0.25">
      <c r="A76" s="434" t="s">
        <v>16</v>
      </c>
      <c r="B76" s="504" t="s">
        <v>7</v>
      </c>
      <c r="C76" s="505"/>
      <c r="D76" s="435" t="s">
        <v>752</v>
      </c>
      <c r="E76" s="436">
        <v>15000</v>
      </c>
      <c r="F76" s="436">
        <v>0</v>
      </c>
      <c r="G76" s="454">
        <v>0</v>
      </c>
    </row>
    <row r="77" spans="1:7" ht="66.75" hidden="1" customHeight="1" x14ac:dyDescent="0.25">
      <c r="A77" s="434" t="s">
        <v>19</v>
      </c>
      <c r="B77" s="504" t="s">
        <v>7</v>
      </c>
      <c r="C77" s="505"/>
      <c r="D77" s="435" t="s">
        <v>752</v>
      </c>
      <c r="E77" s="436">
        <v>0</v>
      </c>
      <c r="F77" s="436">
        <v>0</v>
      </c>
      <c r="G77" s="454">
        <v>0</v>
      </c>
    </row>
    <row r="78" spans="1:7" ht="97.5" hidden="1" customHeight="1" x14ac:dyDescent="0.25">
      <c r="A78" s="434" t="s">
        <v>978</v>
      </c>
      <c r="B78" s="504" t="s">
        <v>979</v>
      </c>
      <c r="C78" s="505"/>
      <c r="D78" s="451" t="s">
        <v>977</v>
      </c>
      <c r="E78" s="436">
        <v>0</v>
      </c>
      <c r="F78" s="436">
        <v>0</v>
      </c>
      <c r="G78" s="454">
        <v>0</v>
      </c>
    </row>
    <row r="79" spans="1:7" ht="66.75" customHeight="1" x14ac:dyDescent="0.25">
      <c r="A79" s="434" t="s">
        <v>14</v>
      </c>
      <c r="B79" s="504" t="s">
        <v>7</v>
      </c>
      <c r="C79" s="505"/>
      <c r="D79" s="435" t="s">
        <v>752</v>
      </c>
      <c r="E79" s="436">
        <v>16880</v>
      </c>
      <c r="F79" s="445">
        <v>17690</v>
      </c>
      <c r="G79" s="445">
        <v>18451</v>
      </c>
    </row>
    <row r="80" spans="1:7" ht="66" customHeight="1" x14ac:dyDescent="0.25">
      <c r="A80" s="434" t="s">
        <v>761</v>
      </c>
      <c r="B80" s="504" t="s">
        <v>7</v>
      </c>
      <c r="C80" s="505"/>
      <c r="D80" s="435" t="s">
        <v>8</v>
      </c>
      <c r="E80" s="436">
        <v>88620</v>
      </c>
      <c r="F80" s="445">
        <v>90873</v>
      </c>
      <c r="G80" s="445">
        <v>91867</v>
      </c>
    </row>
    <row r="81" spans="1:7" ht="66" hidden="1" customHeight="1" x14ac:dyDescent="0.25">
      <c r="A81" s="434" t="s">
        <v>980</v>
      </c>
      <c r="B81" s="504" t="s">
        <v>7</v>
      </c>
      <c r="C81" s="505"/>
      <c r="D81" s="435" t="s">
        <v>8</v>
      </c>
      <c r="E81" s="436">
        <v>0</v>
      </c>
      <c r="F81" s="445">
        <v>0</v>
      </c>
      <c r="G81" s="445">
        <v>0</v>
      </c>
    </row>
    <row r="82" spans="1:7" ht="66" hidden="1" customHeight="1" x14ac:dyDescent="0.25">
      <c r="A82" s="434" t="s">
        <v>981</v>
      </c>
      <c r="B82" s="504" t="s">
        <v>7</v>
      </c>
      <c r="C82" s="505"/>
      <c r="D82" s="435" t="s">
        <v>8</v>
      </c>
      <c r="E82" s="436">
        <v>0</v>
      </c>
      <c r="F82" s="445">
        <v>0</v>
      </c>
      <c r="G82" s="445">
        <v>0</v>
      </c>
    </row>
    <row r="83" spans="1:7" ht="99" customHeight="1" x14ac:dyDescent="0.25">
      <c r="A83" s="434" t="s">
        <v>765</v>
      </c>
      <c r="B83" s="504" t="s">
        <v>956</v>
      </c>
      <c r="C83" s="505"/>
      <c r="D83" s="435" t="s">
        <v>767</v>
      </c>
      <c r="E83" s="436">
        <v>10000</v>
      </c>
      <c r="F83" s="445">
        <v>10400</v>
      </c>
      <c r="G83" s="445">
        <v>10816</v>
      </c>
    </row>
    <row r="84" spans="1:7" ht="126" customHeight="1" x14ac:dyDescent="0.25">
      <c r="A84" s="434" t="s">
        <v>34</v>
      </c>
      <c r="B84" s="504" t="s">
        <v>782</v>
      </c>
      <c r="C84" s="505"/>
      <c r="D84" s="437" t="s">
        <v>957</v>
      </c>
      <c r="E84" s="436">
        <v>100000</v>
      </c>
      <c r="F84" s="445">
        <v>104000</v>
      </c>
      <c r="G84" s="445">
        <v>108160</v>
      </c>
    </row>
    <row r="85" spans="1:7" ht="0.75" customHeight="1" x14ac:dyDescent="0.25">
      <c r="A85" s="434" t="s">
        <v>34</v>
      </c>
      <c r="B85" s="504" t="s">
        <v>1029</v>
      </c>
      <c r="C85" s="505"/>
      <c r="D85" s="437" t="s">
        <v>1030</v>
      </c>
      <c r="E85" s="436">
        <v>0</v>
      </c>
      <c r="F85" s="445">
        <v>0</v>
      </c>
      <c r="G85" s="445">
        <v>0</v>
      </c>
    </row>
    <row r="86" spans="1:7" ht="81" hidden="1" customHeight="1" x14ac:dyDescent="0.25">
      <c r="A86" s="434" t="s">
        <v>34</v>
      </c>
      <c r="B86" s="504" t="s">
        <v>983</v>
      </c>
      <c r="C86" s="505"/>
      <c r="D86" s="451" t="s">
        <v>982</v>
      </c>
      <c r="E86" s="436">
        <v>0</v>
      </c>
      <c r="F86" s="445">
        <v>0</v>
      </c>
      <c r="G86" s="445">
        <v>0</v>
      </c>
    </row>
    <row r="87" spans="1:7" ht="99" hidden="1" customHeight="1" x14ac:dyDescent="0.25">
      <c r="A87" s="434" t="s">
        <v>47</v>
      </c>
      <c r="B87" s="504" t="s">
        <v>783</v>
      </c>
      <c r="C87" s="505"/>
      <c r="D87" s="435" t="s">
        <v>784</v>
      </c>
      <c r="E87" s="436">
        <v>0</v>
      </c>
      <c r="F87" s="445">
        <v>0</v>
      </c>
      <c r="G87" s="445">
        <v>0</v>
      </c>
    </row>
    <row r="88" spans="1:7" ht="88.5" customHeight="1" x14ac:dyDescent="0.25">
      <c r="A88" s="434" t="s">
        <v>47</v>
      </c>
      <c r="B88" s="504" t="s">
        <v>986</v>
      </c>
      <c r="C88" s="505"/>
      <c r="D88" s="376" t="s">
        <v>984</v>
      </c>
      <c r="E88" s="436">
        <v>114719</v>
      </c>
      <c r="F88" s="445">
        <v>119308</v>
      </c>
      <c r="G88" s="445">
        <v>124080</v>
      </c>
    </row>
    <row r="89" spans="1:7" ht="57.75" customHeight="1" x14ac:dyDescent="0.25">
      <c r="A89" s="434" t="s">
        <v>47</v>
      </c>
      <c r="B89" s="504" t="s">
        <v>987</v>
      </c>
      <c r="C89" s="505"/>
      <c r="D89" s="376" t="s">
        <v>985</v>
      </c>
      <c r="E89" s="436">
        <v>130281</v>
      </c>
      <c r="F89" s="445">
        <v>135493</v>
      </c>
      <c r="G89" s="445">
        <v>140912</v>
      </c>
    </row>
    <row r="90" spans="1:7" ht="71.25" customHeight="1" x14ac:dyDescent="0.25">
      <c r="A90" s="434" t="s">
        <v>47</v>
      </c>
      <c r="B90" s="504" t="s">
        <v>785</v>
      </c>
      <c r="C90" s="505"/>
      <c r="D90" s="435" t="s">
        <v>8</v>
      </c>
      <c r="E90" s="436">
        <v>682081</v>
      </c>
      <c r="F90" s="445">
        <v>709364</v>
      </c>
      <c r="G90" s="445">
        <v>737738</v>
      </c>
    </row>
    <row r="91" spans="1:7" ht="99" customHeight="1" x14ac:dyDescent="0.25">
      <c r="A91" s="434" t="s">
        <v>47</v>
      </c>
      <c r="B91" s="504" t="s">
        <v>786</v>
      </c>
      <c r="C91" s="505"/>
      <c r="D91" s="435" t="s">
        <v>767</v>
      </c>
      <c r="E91" s="436">
        <v>312000</v>
      </c>
      <c r="F91" s="445">
        <v>324408</v>
      </c>
      <c r="G91" s="445">
        <v>337459</v>
      </c>
    </row>
    <row r="92" spans="1:7" ht="99" hidden="1" customHeight="1" x14ac:dyDescent="0.25">
      <c r="A92" s="434" t="s">
        <v>48</v>
      </c>
      <c r="B92" s="504" t="s">
        <v>786</v>
      </c>
      <c r="C92" s="505"/>
      <c r="D92" s="435" t="s">
        <v>767</v>
      </c>
      <c r="E92" s="436">
        <v>0</v>
      </c>
      <c r="F92" s="445">
        <v>0</v>
      </c>
      <c r="G92" s="445">
        <v>0</v>
      </c>
    </row>
    <row r="93" spans="1:7" ht="51.75" customHeight="1" x14ac:dyDescent="0.25">
      <c r="A93" s="434" t="s">
        <v>46</v>
      </c>
      <c r="B93" s="504" t="s">
        <v>9</v>
      </c>
      <c r="C93" s="505"/>
      <c r="D93" s="437" t="s">
        <v>45</v>
      </c>
      <c r="E93" s="436">
        <v>131738</v>
      </c>
      <c r="F93" s="445">
        <v>137007</v>
      </c>
      <c r="G93" s="445">
        <v>142487</v>
      </c>
    </row>
    <row r="94" spans="1:7" ht="52.5" hidden="1" customHeight="1" x14ac:dyDescent="0.25">
      <c r="A94" s="434" t="s">
        <v>989</v>
      </c>
      <c r="B94" s="504" t="s">
        <v>990</v>
      </c>
      <c r="C94" s="505"/>
      <c r="D94" s="451" t="s">
        <v>988</v>
      </c>
      <c r="E94" s="436">
        <v>0</v>
      </c>
      <c r="F94" s="467">
        <v>0</v>
      </c>
      <c r="G94" s="445">
        <v>0</v>
      </c>
    </row>
    <row r="95" spans="1:7" ht="69.75" hidden="1" customHeight="1" x14ac:dyDescent="0.25">
      <c r="A95" s="434" t="s">
        <v>991</v>
      </c>
      <c r="B95" s="504" t="s">
        <v>785</v>
      </c>
      <c r="C95" s="505"/>
      <c r="D95" s="435" t="s">
        <v>8</v>
      </c>
      <c r="E95" s="436">
        <v>0</v>
      </c>
      <c r="F95" s="467">
        <v>0</v>
      </c>
      <c r="G95" s="445">
        <v>0</v>
      </c>
    </row>
    <row r="96" spans="1:7" ht="71.25" hidden="1" customHeight="1" x14ac:dyDescent="0.25">
      <c r="A96" s="434" t="s">
        <v>992</v>
      </c>
      <c r="B96" s="504" t="s">
        <v>785</v>
      </c>
      <c r="C96" s="505"/>
      <c r="D96" s="435" t="s">
        <v>8</v>
      </c>
      <c r="E96" s="436">
        <v>0</v>
      </c>
      <c r="F96" s="467">
        <v>0</v>
      </c>
      <c r="G96" s="445">
        <v>0</v>
      </c>
    </row>
    <row r="97" spans="1:11" ht="36" hidden="1" customHeight="1" x14ac:dyDescent="0.25">
      <c r="A97" s="438" t="s">
        <v>519</v>
      </c>
      <c r="B97" s="508" t="s">
        <v>993</v>
      </c>
      <c r="C97" s="509"/>
      <c r="D97" s="455" t="s">
        <v>994</v>
      </c>
      <c r="E97" s="440">
        <f>E98</f>
        <v>0</v>
      </c>
      <c r="F97" s="468">
        <v>0</v>
      </c>
      <c r="G97" s="465">
        <v>0</v>
      </c>
    </row>
    <row r="98" spans="1:11" ht="35.25" hidden="1" customHeight="1" x14ac:dyDescent="0.25">
      <c r="A98" s="434" t="s">
        <v>995</v>
      </c>
      <c r="B98" s="504" t="s">
        <v>996</v>
      </c>
      <c r="C98" s="505"/>
      <c r="D98" s="451" t="s">
        <v>17</v>
      </c>
      <c r="E98" s="436">
        <v>0</v>
      </c>
      <c r="F98" s="467">
        <v>0</v>
      </c>
      <c r="G98" s="445">
        <v>0</v>
      </c>
    </row>
    <row r="99" spans="1:11" ht="29.25" customHeight="1" x14ac:dyDescent="0.25">
      <c r="A99" s="434"/>
      <c r="B99" s="504"/>
      <c r="C99" s="505"/>
      <c r="D99" s="448" t="s">
        <v>945</v>
      </c>
      <c r="E99" s="440">
        <f>E15+E19+E25+E32+E35+E38+E53+E61+E74+E97+E59+E72</f>
        <v>198182687.37</v>
      </c>
      <c r="F99" s="440">
        <f>F15+F19+F25+F32+F35+F38+F53+F61+F74</f>
        <v>177974809.96000001</v>
      </c>
      <c r="G99" s="447">
        <f>G15+G19+G25+G32+G35+G38+G53+G61+G74</f>
        <v>183503950.96000001</v>
      </c>
    </row>
    <row r="100" spans="1:11" ht="32.25" hidden="1" customHeight="1" x14ac:dyDescent="0.25">
      <c r="A100" s="434"/>
      <c r="B100" s="504"/>
      <c r="C100" s="505"/>
      <c r="D100" s="448"/>
      <c r="E100" s="436"/>
      <c r="F100" s="445"/>
      <c r="G100" s="445"/>
    </row>
    <row r="101" spans="1:11" ht="32.25" customHeight="1" x14ac:dyDescent="0.25">
      <c r="A101" s="438" t="s">
        <v>519</v>
      </c>
      <c r="B101" s="508" t="s">
        <v>950</v>
      </c>
      <c r="C101" s="509"/>
      <c r="D101" s="448" t="s">
        <v>951</v>
      </c>
      <c r="E101" s="436">
        <f>E102+E103+E105+E107+E109+E111+E112+E113+E114+E115+E116+E118+E120+E110</f>
        <v>522277600</v>
      </c>
      <c r="F101" s="436">
        <f>F102+F103+F105+F107+F109+F111+F112+F113+F114+F115+F116+F118+F122+F110</f>
        <v>526393400</v>
      </c>
      <c r="G101" s="454">
        <f>G102+G103+G105+G107+G109+G111+G112+G113+G114+G115+G116+G118+G122+G110</f>
        <v>542739000</v>
      </c>
    </row>
    <row r="102" spans="1:11" ht="36.75" customHeight="1" x14ac:dyDescent="0.25">
      <c r="A102" s="434" t="s">
        <v>16</v>
      </c>
      <c r="B102" s="504" t="s">
        <v>871</v>
      </c>
      <c r="C102" s="505"/>
      <c r="D102" s="456" t="s">
        <v>741</v>
      </c>
      <c r="E102" s="436">
        <v>3584300</v>
      </c>
      <c r="F102" s="445">
        <v>3491200</v>
      </c>
      <c r="G102" s="445">
        <v>0</v>
      </c>
    </row>
    <row r="103" spans="1:11" ht="47.25" customHeight="1" x14ac:dyDescent="0.25">
      <c r="A103" s="434" t="s">
        <v>16</v>
      </c>
      <c r="B103" s="504" t="s">
        <v>870</v>
      </c>
      <c r="C103" s="505"/>
      <c r="D103" s="437" t="s">
        <v>958</v>
      </c>
      <c r="E103" s="436">
        <v>187915200</v>
      </c>
      <c r="F103" s="445">
        <v>190571800</v>
      </c>
      <c r="G103" s="445">
        <v>202940600</v>
      </c>
    </row>
    <row r="104" spans="1:11" ht="30.75" customHeight="1" x14ac:dyDescent="0.25">
      <c r="A104" s="434"/>
      <c r="B104" s="504"/>
      <c r="C104" s="505"/>
      <c r="D104" s="456" t="s">
        <v>960</v>
      </c>
      <c r="E104" s="457">
        <f>E102+E103</f>
        <v>191499500</v>
      </c>
      <c r="F104" s="457">
        <f>F102+F103</f>
        <v>194063000</v>
      </c>
      <c r="G104" s="458">
        <f>G102+G103</f>
        <v>202940600</v>
      </c>
    </row>
    <row r="105" spans="1:11" ht="0.75" hidden="1" customHeight="1" x14ac:dyDescent="0.25">
      <c r="A105" s="434" t="s">
        <v>15</v>
      </c>
      <c r="B105" s="504" t="s">
        <v>911</v>
      </c>
      <c r="C105" s="505"/>
      <c r="D105" s="435" t="s">
        <v>912</v>
      </c>
      <c r="E105" s="436">
        <v>0</v>
      </c>
      <c r="F105" s="445">
        <v>0</v>
      </c>
      <c r="G105" s="445">
        <v>0</v>
      </c>
    </row>
    <row r="106" spans="1:11" ht="1.5" hidden="1" customHeight="1" x14ac:dyDescent="0.25">
      <c r="A106" s="434" t="s">
        <v>15</v>
      </c>
      <c r="B106" s="504" t="s">
        <v>1006</v>
      </c>
      <c r="C106" s="505"/>
      <c r="D106" s="435" t="s">
        <v>1007</v>
      </c>
      <c r="E106" s="436">
        <v>0</v>
      </c>
      <c r="F106" s="445">
        <v>0</v>
      </c>
      <c r="G106" s="445">
        <v>0</v>
      </c>
    </row>
    <row r="107" spans="1:11" ht="32.25" customHeight="1" x14ac:dyDescent="0.25">
      <c r="A107" s="434" t="s">
        <v>18</v>
      </c>
      <c r="B107" s="504" t="s">
        <v>850</v>
      </c>
      <c r="C107" s="505"/>
      <c r="D107" s="437" t="s">
        <v>791</v>
      </c>
      <c r="E107" s="436">
        <f>859600+992300</f>
        <v>1851900</v>
      </c>
      <c r="F107" s="445">
        <v>1053100</v>
      </c>
      <c r="G107" s="445">
        <v>867300</v>
      </c>
    </row>
    <row r="108" spans="1:11" ht="25.5" customHeight="1" x14ac:dyDescent="0.25">
      <c r="A108" s="434"/>
      <c r="B108" s="514"/>
      <c r="C108" s="515"/>
      <c r="D108" s="437" t="s">
        <v>960</v>
      </c>
      <c r="E108" s="457">
        <f>E105+E107+E106</f>
        <v>1851900</v>
      </c>
      <c r="F108" s="457">
        <f>F105+F107</f>
        <v>1053100</v>
      </c>
      <c r="G108" s="458">
        <f>G105+G107</f>
        <v>867300</v>
      </c>
    </row>
    <row r="109" spans="1:11" ht="93" customHeight="1" x14ac:dyDescent="0.25">
      <c r="A109" s="434" t="s">
        <v>15</v>
      </c>
      <c r="B109" s="504" t="s">
        <v>869</v>
      </c>
      <c r="C109" s="505"/>
      <c r="D109" s="437" t="s">
        <v>787</v>
      </c>
      <c r="E109" s="436">
        <v>4303200</v>
      </c>
      <c r="F109" s="445">
        <v>4303200</v>
      </c>
      <c r="G109" s="445">
        <v>4303200</v>
      </c>
    </row>
    <row r="110" spans="1:11" ht="93" customHeight="1" x14ac:dyDescent="0.25">
      <c r="A110" s="210" t="s">
        <v>15</v>
      </c>
      <c r="B110" s="491" t="s">
        <v>1353</v>
      </c>
      <c r="C110" s="492"/>
      <c r="D110" s="309" t="s">
        <v>1354</v>
      </c>
      <c r="E110" s="212">
        <v>328200</v>
      </c>
      <c r="F110" s="445">
        <v>22000</v>
      </c>
      <c r="G110" s="445">
        <v>35400</v>
      </c>
    </row>
    <row r="111" spans="1:11" ht="32.25" customHeight="1" x14ac:dyDescent="0.25">
      <c r="A111" s="459" t="s">
        <v>15</v>
      </c>
      <c r="B111" s="504" t="s">
        <v>848</v>
      </c>
      <c r="C111" s="505"/>
      <c r="D111" s="456" t="s">
        <v>185</v>
      </c>
      <c r="E111" s="436">
        <f>87107200+584400+21900+573400+573400</f>
        <v>88860300</v>
      </c>
      <c r="F111" s="445">
        <f>87107200+584400+21900+573400+573400</f>
        <v>88860300</v>
      </c>
      <c r="G111" s="445">
        <f>87107200+21900+573400+584400+573400</f>
        <v>88860300</v>
      </c>
      <c r="I111" s="460"/>
      <c r="J111" s="460"/>
      <c r="K111" s="460"/>
    </row>
    <row r="112" spans="1:11" ht="113.25" customHeight="1" x14ac:dyDescent="0.25">
      <c r="A112" s="434" t="s">
        <v>18</v>
      </c>
      <c r="B112" s="514" t="s">
        <v>851</v>
      </c>
      <c r="C112" s="515"/>
      <c r="D112" s="437" t="s">
        <v>788</v>
      </c>
      <c r="E112" s="436">
        <v>12028800</v>
      </c>
      <c r="F112" s="445">
        <v>12028800</v>
      </c>
      <c r="G112" s="445">
        <v>12028800</v>
      </c>
    </row>
    <row r="113" spans="1:7" ht="84" customHeight="1" x14ac:dyDescent="0.25">
      <c r="A113" s="434" t="s">
        <v>18</v>
      </c>
      <c r="B113" s="514" t="s">
        <v>848</v>
      </c>
      <c r="C113" s="515"/>
      <c r="D113" s="437" t="s">
        <v>789</v>
      </c>
      <c r="E113" s="436">
        <v>992500</v>
      </c>
      <c r="F113" s="445">
        <v>1032100</v>
      </c>
      <c r="G113" s="445">
        <v>1032100</v>
      </c>
    </row>
    <row r="114" spans="1:7" ht="32.25" customHeight="1" x14ac:dyDescent="0.25">
      <c r="A114" s="434" t="s">
        <v>18</v>
      </c>
      <c r="B114" s="514" t="s">
        <v>848</v>
      </c>
      <c r="C114" s="515"/>
      <c r="D114" s="456" t="s">
        <v>185</v>
      </c>
      <c r="E114" s="436">
        <f>1750200+116800</f>
        <v>1867000</v>
      </c>
      <c r="F114" s="445">
        <f>1750200+120900</f>
        <v>1871100</v>
      </c>
      <c r="G114" s="445">
        <f>1750200+120900</f>
        <v>1871100</v>
      </c>
    </row>
    <row r="115" spans="1:7" ht="65.25" customHeight="1" x14ac:dyDescent="0.3">
      <c r="A115" s="434" t="s">
        <v>18</v>
      </c>
      <c r="B115" s="516" t="s">
        <v>852</v>
      </c>
      <c r="C115" s="517"/>
      <c r="D115" s="461" t="s">
        <v>186</v>
      </c>
      <c r="E115" s="436">
        <v>13315800</v>
      </c>
      <c r="F115" s="445">
        <v>13391400</v>
      </c>
      <c r="G115" s="445">
        <v>13391400</v>
      </c>
    </row>
    <row r="116" spans="1:7" ht="62.25" customHeight="1" x14ac:dyDescent="0.3">
      <c r="A116" s="434" t="s">
        <v>18</v>
      </c>
      <c r="B116" s="516" t="s">
        <v>848</v>
      </c>
      <c r="C116" s="517"/>
      <c r="D116" s="462" t="s">
        <v>790</v>
      </c>
      <c r="E116" s="436">
        <v>206654400</v>
      </c>
      <c r="F116" s="445">
        <v>209192400</v>
      </c>
      <c r="G116" s="445">
        <v>216832800</v>
      </c>
    </row>
    <row r="117" spans="1:7" ht="22.5" customHeight="1" x14ac:dyDescent="0.3">
      <c r="A117" s="434"/>
      <c r="B117" s="516"/>
      <c r="C117" s="517"/>
      <c r="D117" s="462" t="s">
        <v>960</v>
      </c>
      <c r="E117" s="457">
        <f>E109+E111+E112+E113+E114+E115+E116+E110</f>
        <v>328350200</v>
      </c>
      <c r="F117" s="457">
        <f>F109+F111+F112+F113+F114+F115+F116+F110</f>
        <v>330701300</v>
      </c>
      <c r="G117" s="458">
        <f>G109+G111+G112+G113+G114+G115+G116+G110</f>
        <v>338355100</v>
      </c>
    </row>
    <row r="118" spans="1:7" ht="84" customHeight="1" x14ac:dyDescent="0.25">
      <c r="A118" s="434" t="s">
        <v>16</v>
      </c>
      <c r="B118" s="504" t="s">
        <v>841</v>
      </c>
      <c r="C118" s="505"/>
      <c r="D118" s="462" t="s">
        <v>800</v>
      </c>
      <c r="E118" s="436">
        <v>576000</v>
      </c>
      <c r="F118" s="445">
        <v>576000</v>
      </c>
      <c r="G118" s="445">
        <v>576000</v>
      </c>
    </row>
    <row r="119" spans="1:7" ht="21.75" customHeight="1" x14ac:dyDescent="0.25">
      <c r="A119" s="434"/>
      <c r="B119" s="504"/>
      <c r="C119" s="505"/>
      <c r="D119" s="462" t="s">
        <v>959</v>
      </c>
      <c r="E119" s="457">
        <f>E118</f>
        <v>576000</v>
      </c>
      <c r="F119" s="469">
        <f>F118</f>
        <v>576000</v>
      </c>
      <c r="G119" s="469">
        <f>G118</f>
        <v>576000</v>
      </c>
    </row>
    <row r="120" spans="1:7" ht="34.5" hidden="1" customHeight="1" x14ac:dyDescent="0.25">
      <c r="A120" s="434" t="s">
        <v>15</v>
      </c>
      <c r="B120" s="504" t="s">
        <v>1004</v>
      </c>
      <c r="C120" s="505"/>
      <c r="D120" s="462" t="s">
        <v>1005</v>
      </c>
      <c r="E120" s="436">
        <v>0</v>
      </c>
      <c r="F120" s="445">
        <v>0</v>
      </c>
      <c r="G120" s="445">
        <v>0</v>
      </c>
    </row>
    <row r="121" spans="1:7" ht="23.25" hidden="1" customHeight="1" x14ac:dyDescent="0.25">
      <c r="A121" s="434"/>
      <c r="B121" s="504"/>
      <c r="C121" s="505"/>
      <c r="D121" s="462" t="s">
        <v>959</v>
      </c>
      <c r="E121" s="457">
        <f>E120</f>
        <v>0</v>
      </c>
      <c r="F121" s="469">
        <v>0</v>
      </c>
      <c r="G121" s="469">
        <v>0</v>
      </c>
    </row>
    <row r="122" spans="1:7" ht="71.25" hidden="1" customHeight="1" x14ac:dyDescent="0.25">
      <c r="A122" s="459" t="s">
        <v>15</v>
      </c>
      <c r="B122" s="504" t="s">
        <v>853</v>
      </c>
      <c r="C122" s="505"/>
      <c r="D122" s="437" t="s">
        <v>854</v>
      </c>
      <c r="E122" s="436">
        <v>0</v>
      </c>
      <c r="F122" s="445">
        <v>0</v>
      </c>
      <c r="G122" s="445">
        <v>0</v>
      </c>
    </row>
    <row r="123" spans="1:7" ht="32.25" customHeight="1" x14ac:dyDescent="0.25">
      <c r="A123" s="459"/>
      <c r="B123" s="504"/>
      <c r="C123" s="505"/>
      <c r="D123" s="448" t="s">
        <v>951</v>
      </c>
      <c r="E123" s="436">
        <f>E104+E108+E117+E119</f>
        <v>522277600</v>
      </c>
      <c r="F123" s="436">
        <f>F104+F108+F117+F119</f>
        <v>526393400</v>
      </c>
      <c r="G123" s="454">
        <f>G104+G108+G117+G119</f>
        <v>542739000</v>
      </c>
    </row>
    <row r="124" spans="1:7" ht="32.25" customHeight="1" x14ac:dyDescent="0.25">
      <c r="A124" s="434"/>
      <c r="B124" s="514"/>
      <c r="C124" s="515"/>
      <c r="D124" s="448" t="s">
        <v>952</v>
      </c>
      <c r="E124" s="447">
        <f>E13+E123</f>
        <v>720460287.37</v>
      </c>
      <c r="F124" s="447">
        <f>F13+F123</f>
        <v>704368209.96000004</v>
      </c>
      <c r="G124" s="447">
        <f>G13+G123</f>
        <v>726242950.96000004</v>
      </c>
    </row>
    <row r="125" spans="1:7" ht="17.25" customHeight="1" x14ac:dyDescent="0.25"/>
    <row r="126" spans="1:7" ht="0.75" hidden="1" customHeight="1" x14ac:dyDescent="0.25"/>
    <row r="127" spans="1:7" hidden="1" x14ac:dyDescent="0.25">
      <c r="A127" s="463"/>
      <c r="B127" s="460"/>
      <c r="C127" s="464" t="s">
        <v>15</v>
      </c>
      <c r="D127" s="460"/>
      <c r="E127" s="460">
        <f>E105+E109+E111+E122+E75+E98+E106+E120</f>
        <v>93163500</v>
      </c>
      <c r="F127" s="460">
        <f>F105+F109+F111+F122</f>
        <v>93163500</v>
      </c>
      <c r="G127" s="460">
        <f>G105+G109+G111+G122</f>
        <v>93163500</v>
      </c>
    </row>
    <row r="128" spans="1:7" hidden="1" x14ac:dyDescent="0.25">
      <c r="A128" s="463"/>
      <c r="C128" s="464" t="s">
        <v>16</v>
      </c>
      <c r="D128" s="460"/>
      <c r="E128" s="460">
        <f>E102+E103+E40+E118+E76</f>
        <v>192190500</v>
      </c>
      <c r="F128" s="460">
        <f>F102+F103+F40+F118</f>
        <v>194639000</v>
      </c>
      <c r="G128" s="460">
        <f>G102+G103+G40+G118</f>
        <v>203516600</v>
      </c>
    </row>
    <row r="129" spans="1:7" hidden="1" x14ac:dyDescent="0.25">
      <c r="A129" s="463"/>
      <c r="C129" s="464" t="s">
        <v>18</v>
      </c>
      <c r="D129" s="460"/>
      <c r="E129" s="460">
        <f>E107+E112+E113+E114+E115+E116+E60</f>
        <v>236710400</v>
      </c>
      <c r="F129" s="460">
        <f>F107+F112+F113+F114+F115+F116</f>
        <v>238568900</v>
      </c>
      <c r="G129" s="460">
        <f>G107+G112+G113+G114+G115+G116</f>
        <v>246023500</v>
      </c>
    </row>
    <row r="130" spans="1:7" hidden="1" x14ac:dyDescent="0.25">
      <c r="A130" s="463"/>
      <c r="C130" s="464" t="s">
        <v>19</v>
      </c>
      <c r="D130" s="460"/>
      <c r="E130" s="460">
        <f>E42+E43+E45+E50+E52+E63+E65+E66+E67+E77+E48+E73</f>
        <v>25262160</v>
      </c>
      <c r="F130" s="460">
        <f>F42+F43+F45+F50+F52+F63+F65+F66+F67</f>
        <v>21792970</v>
      </c>
      <c r="G130" s="460">
        <f>G42+G43+G45+G50+G52+G63+G65+G66+G67</f>
        <v>22000970</v>
      </c>
    </row>
    <row r="131" spans="1:7" hidden="1" x14ac:dyDescent="0.25">
      <c r="A131" s="463"/>
      <c r="C131" s="464" t="s">
        <v>801</v>
      </c>
      <c r="D131" s="460"/>
      <c r="E131" s="460">
        <f>E16+E17+E18+E21+E22+E23+E24+E27+E28+E31+E34+E36+E55+E56+E57+E58+E79+E80+E83+E84+E87+E90+E91+E92+E93+E29+E44+E46+E47+E49+E69+E70+E71+E78+E81+E82+E86+E88+E89+E94+E95+E96+E37+E68+E85</f>
        <v>172805527.37</v>
      </c>
      <c r="F131" s="460">
        <f>F16+F17+F18+F21+F22+F23+F24+F27+F28+F31+F34+F36+F55+F56+F57+F58+F79+F80+F83+F84+F87+F90+F91+F92+F93</f>
        <v>155927038.95999998</v>
      </c>
      <c r="G131" s="460">
        <f>G16+G17+G18+G21+G22+G23+G24+G27+G28+G31+G34+G36+G55+G56+G57+G58+G79+G80+G83+G84+G87+G90+G91+G92+G93</f>
        <v>161237988.95999998</v>
      </c>
    </row>
    <row r="132" spans="1:7" hidden="1" x14ac:dyDescent="0.25">
      <c r="A132" s="463"/>
      <c r="D132" s="460"/>
      <c r="E132" s="460">
        <f>E127+E128+E129+E130+E131</f>
        <v>720132087.37</v>
      </c>
      <c r="F132" s="460">
        <f>F127+F128+F129+F130+F131</f>
        <v>704091408.96000004</v>
      </c>
      <c r="G132" s="460">
        <f>G127+G128+G129+G130+G131</f>
        <v>725942558.96000004</v>
      </c>
    </row>
    <row r="133" spans="1:7" hidden="1" x14ac:dyDescent="0.25">
      <c r="C133" s="464" t="s">
        <v>803</v>
      </c>
      <c r="D133" s="460"/>
      <c r="E133" s="460">
        <f>E102+E103+E105+E107+E109+E111+E112+E113+E114+E115+E116+E118+E120+E106</f>
        <v>521949400</v>
      </c>
      <c r="F133" s="460">
        <f>F102+F103+F105+F107+F109+F111+F112+F113+F114+F115+F116+F118</f>
        <v>526371400</v>
      </c>
      <c r="G133" s="460">
        <f>G102+G103+G105+G107+G109+G111+G112+G113+G114+G115+G116+G118</f>
        <v>542703600</v>
      </c>
    </row>
    <row r="134" spans="1:7" hidden="1" x14ac:dyDescent="0.25">
      <c r="C134" s="464" t="s">
        <v>961</v>
      </c>
      <c r="D134" s="460"/>
      <c r="E134" s="460">
        <f>E13</f>
        <v>198182687.37</v>
      </c>
      <c r="F134" s="460">
        <f>F13</f>
        <v>177974809.96000001</v>
      </c>
      <c r="G134" s="460">
        <f>G13</f>
        <v>183503950.96000001</v>
      </c>
    </row>
    <row r="135" spans="1:7" hidden="1" x14ac:dyDescent="0.25">
      <c r="C135" s="464" t="s">
        <v>855</v>
      </c>
      <c r="E135" s="460">
        <f>E133+E122</f>
        <v>521949400</v>
      </c>
      <c r="F135" s="460">
        <f>F133+F122</f>
        <v>526371400</v>
      </c>
      <c r="G135" s="460">
        <f>G133+G122</f>
        <v>542703600</v>
      </c>
    </row>
    <row r="136" spans="1:7" hidden="1" x14ac:dyDescent="0.25">
      <c r="D136" s="460"/>
    </row>
    <row r="137" spans="1:7" hidden="1" x14ac:dyDescent="0.25">
      <c r="E137" s="460"/>
    </row>
    <row r="138" spans="1:7" hidden="1" x14ac:dyDescent="0.25">
      <c r="E138" s="460"/>
    </row>
    <row r="139" spans="1:7" hidden="1" x14ac:dyDescent="0.25">
      <c r="E139" s="460">
        <f>E128+E131</f>
        <v>364996027.37</v>
      </c>
    </row>
    <row r="140" spans="1:7" hidden="1" x14ac:dyDescent="0.25">
      <c r="E140" s="349" t="s">
        <v>1038</v>
      </c>
    </row>
    <row r="141" spans="1:7" hidden="1" x14ac:dyDescent="0.25">
      <c r="D141" s="349">
        <v>1</v>
      </c>
      <c r="E141" s="460">
        <f>E98</f>
        <v>0</v>
      </c>
    </row>
    <row r="142" spans="1:7" hidden="1" x14ac:dyDescent="0.25">
      <c r="D142" s="349">
        <v>3</v>
      </c>
      <c r="E142" s="460">
        <f>E60</f>
        <v>0</v>
      </c>
    </row>
    <row r="143" spans="1:7" hidden="1" x14ac:dyDescent="0.25">
      <c r="D143" s="349">
        <v>14</v>
      </c>
      <c r="E143" s="460">
        <f>E42+E43+E48+E52+E63+E65+E66+E67+E73+E77+E45+E50</f>
        <v>25262160</v>
      </c>
    </row>
    <row r="144" spans="1:7" hidden="1" x14ac:dyDescent="0.25">
      <c r="D144" s="349">
        <v>2</v>
      </c>
      <c r="E144" s="460">
        <f>E13-E141-E142-E143</f>
        <v>172920527.37</v>
      </c>
    </row>
    <row r="145" spans="5:7" hidden="1" x14ac:dyDescent="0.25"/>
    <row r="146" spans="5:7" hidden="1" x14ac:dyDescent="0.25"/>
    <row r="147" spans="5:7" hidden="1" x14ac:dyDescent="0.25">
      <c r="E147" s="460">
        <f>E13+E104</f>
        <v>389682187.37</v>
      </c>
      <c r="F147" s="460">
        <f>F13+F104</f>
        <v>372037809.96000004</v>
      </c>
      <c r="G147" s="460">
        <f>G13+G104</f>
        <v>386444550.96000004</v>
      </c>
    </row>
    <row r="148" spans="5:7" hidden="1" x14ac:dyDescent="0.25"/>
    <row r="149" spans="5:7" hidden="1" x14ac:dyDescent="0.25">
      <c r="E149" s="349">
        <f>(П3ИВФ!C18/П4ДОХОДЫ!E13)*100</f>
        <v>2.0010678140598879</v>
      </c>
    </row>
    <row r="150" spans="5:7" ht="14.25" customHeight="1" x14ac:dyDescent="0.25"/>
    <row r="151" spans="5:7" hidden="1" x14ac:dyDescent="0.25">
      <c r="E151" s="460">
        <f>E99+E104</f>
        <v>389682187.37</v>
      </c>
      <c r="F151" s="460">
        <f>F99+F104</f>
        <v>372037809.96000004</v>
      </c>
      <c r="G151" s="460">
        <f>G99+G104</f>
        <v>386444550.96000004</v>
      </c>
    </row>
    <row r="152" spans="5:7" hidden="1" x14ac:dyDescent="0.25"/>
    <row r="157" spans="5:7" hidden="1" x14ac:dyDescent="0.25">
      <c r="E157" s="349">
        <f>П3ИВФ!C21/П4ДОХОДЫ!E13*100</f>
        <v>2.0010678140598879</v>
      </c>
    </row>
    <row r="158" spans="5:7" hidden="1" x14ac:dyDescent="0.25"/>
    <row r="159" spans="5:7" hidden="1" x14ac:dyDescent="0.25">
      <c r="E159" s="460">
        <f>E104+E13</f>
        <v>389682187.37</v>
      </c>
      <c r="F159" s="460">
        <f>F104+F13</f>
        <v>372037809.96000004</v>
      </c>
      <c r="G159" s="460">
        <f>G104+G13</f>
        <v>386444550.96000004</v>
      </c>
    </row>
    <row r="160" spans="5:7" hidden="1" x14ac:dyDescent="0.25"/>
  </sheetData>
  <mergeCells count="114">
    <mergeCell ref="B106:C106"/>
    <mergeCell ref="B68:C68"/>
    <mergeCell ref="B73:C73"/>
    <mergeCell ref="B72:C72"/>
    <mergeCell ref="B85:C85"/>
    <mergeCell ref="B97:C97"/>
    <mergeCell ref="B98:C98"/>
    <mergeCell ref="B88:C88"/>
    <mergeCell ref="B89:C89"/>
    <mergeCell ref="B94:C94"/>
    <mergeCell ref="B95:C95"/>
    <mergeCell ref="B96:C96"/>
    <mergeCell ref="B91:C91"/>
    <mergeCell ref="B92:C92"/>
    <mergeCell ref="B77:C77"/>
    <mergeCell ref="B78:C78"/>
    <mergeCell ref="B81:C81"/>
    <mergeCell ref="B82:C82"/>
    <mergeCell ref="B86:C86"/>
    <mergeCell ref="B69:C69"/>
    <mergeCell ref="B93:C93"/>
    <mergeCell ref="B75:C75"/>
    <mergeCell ref="B76:C76"/>
    <mergeCell ref="B105:C105"/>
    <mergeCell ref="B124:C124"/>
    <mergeCell ref="B115:C115"/>
    <mergeCell ref="B116:C116"/>
    <mergeCell ref="B118:C118"/>
    <mergeCell ref="B122:C122"/>
    <mergeCell ref="B123:C123"/>
    <mergeCell ref="B120:C120"/>
    <mergeCell ref="B121:C121"/>
    <mergeCell ref="B99:C99"/>
    <mergeCell ref="B104:C104"/>
    <mergeCell ref="B108:C108"/>
    <mergeCell ref="B117:C117"/>
    <mergeCell ref="B119:C119"/>
    <mergeCell ref="B100:C100"/>
    <mergeCell ref="B109:C109"/>
    <mergeCell ref="B111:C111"/>
    <mergeCell ref="B112:C112"/>
    <mergeCell ref="B113:C113"/>
    <mergeCell ref="B114:C114"/>
    <mergeCell ref="B101:C101"/>
    <mergeCell ref="B107:C107"/>
    <mergeCell ref="B102:C102"/>
    <mergeCell ref="B103:C103"/>
    <mergeCell ref="B110:C110"/>
    <mergeCell ref="B87:C87"/>
    <mergeCell ref="B90:C90"/>
    <mergeCell ref="B58:C58"/>
    <mergeCell ref="B56:C56"/>
    <mergeCell ref="B57:C57"/>
    <mergeCell ref="B47:C47"/>
    <mergeCell ref="B53:C53"/>
    <mergeCell ref="B48:C48"/>
    <mergeCell ref="B49:C49"/>
    <mergeCell ref="B61:C61"/>
    <mergeCell ref="B63:C63"/>
    <mergeCell ref="B65:C65"/>
    <mergeCell ref="B66:C66"/>
    <mergeCell ref="B67:C67"/>
    <mergeCell ref="B74:C74"/>
    <mergeCell ref="B59:C59"/>
    <mergeCell ref="B60:C60"/>
    <mergeCell ref="B70:C70"/>
    <mergeCell ref="B71:C71"/>
    <mergeCell ref="B54:C54"/>
    <mergeCell ref="B62:C62"/>
    <mergeCell ref="B64:C64"/>
    <mergeCell ref="B51:C51"/>
    <mergeCell ref="B23:C23"/>
    <mergeCell ref="B14:C14"/>
    <mergeCell ref="B15:C15"/>
    <mergeCell ref="B18:C18"/>
    <mergeCell ref="B16:C16"/>
    <mergeCell ref="B17:C17"/>
    <mergeCell ref="B80:C80"/>
    <mergeCell ref="B83:C83"/>
    <mergeCell ref="B84:C84"/>
    <mergeCell ref="B26:C26"/>
    <mergeCell ref="B29:C29"/>
    <mergeCell ref="B44:C44"/>
    <mergeCell ref="B46:C46"/>
    <mergeCell ref="B40:C40"/>
    <mergeCell ref="B37:C37"/>
    <mergeCell ref="B30:C30"/>
    <mergeCell ref="B39:C39"/>
    <mergeCell ref="B41:C41"/>
    <mergeCell ref="B79:C79"/>
    <mergeCell ref="A7:E7"/>
    <mergeCell ref="B12:C12"/>
    <mergeCell ref="B55:C55"/>
    <mergeCell ref="B33:C33"/>
    <mergeCell ref="B34:C34"/>
    <mergeCell ref="B35:C35"/>
    <mergeCell ref="B36:C36"/>
    <mergeCell ref="B38:C38"/>
    <mergeCell ref="B42:C42"/>
    <mergeCell ref="B43:C43"/>
    <mergeCell ref="B45:C45"/>
    <mergeCell ref="B50:C50"/>
    <mergeCell ref="B52:C52"/>
    <mergeCell ref="B25:C25"/>
    <mergeCell ref="B27:C27"/>
    <mergeCell ref="B13:C13"/>
    <mergeCell ref="B28:C28"/>
    <mergeCell ref="B32:C32"/>
    <mergeCell ref="B19:C19"/>
    <mergeCell ref="B20:C20"/>
    <mergeCell ref="B21:C21"/>
    <mergeCell ref="B22:C22"/>
    <mergeCell ref="B24:C24"/>
    <mergeCell ref="B31:C31"/>
  </mergeCells>
  <pageMargins left="0.70866141732283472" right="0.70866141732283472" top="0.74803149606299213" bottom="0.74803149606299213" header="0.31496062992125984" footer="0.31496062992125984"/>
  <pageSetup paperSize="9" scale="55" fitToHeight="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39"/>
  <sheetViews>
    <sheetView topLeftCell="B390" zoomScale="80" zoomScaleNormal="80" workbookViewId="0">
      <selection activeCell="B5" sqref="B5:X5"/>
    </sheetView>
  </sheetViews>
  <sheetFormatPr defaultRowHeight="15" x14ac:dyDescent="0.25"/>
  <cols>
    <col min="1" max="1" width="8.85546875" hidden="1" customWidth="1"/>
    <col min="2" max="3" width="12.7109375" customWidth="1"/>
    <col min="4" max="4" width="16.7109375" customWidth="1"/>
    <col min="5" max="18" width="8.85546875" hidden="1" customWidth="1"/>
    <col min="19" max="19" width="12.7109375" customWidth="1"/>
    <col min="20" max="20" width="44.42578125" customWidth="1"/>
    <col min="21" max="23" width="27.140625" customWidth="1"/>
    <col min="24" max="24" width="8.85546875" hidden="1" customWidth="1"/>
    <col min="257" max="257" width="0" hidden="1" customWidth="1"/>
    <col min="258" max="259" width="12.7109375" customWidth="1"/>
    <col min="260" max="260" width="16.7109375" customWidth="1"/>
    <col min="261" max="274" width="0" hidden="1" customWidth="1"/>
    <col min="275" max="275" width="12.7109375" customWidth="1"/>
    <col min="276" max="276" width="44.42578125" customWidth="1"/>
    <col min="277" max="279" width="27.140625" customWidth="1"/>
    <col min="280" max="280" width="0" hidden="1" customWidth="1"/>
    <col min="513" max="513" width="0" hidden="1" customWidth="1"/>
    <col min="514" max="515" width="12.7109375" customWidth="1"/>
    <col min="516" max="516" width="16.7109375" customWidth="1"/>
    <col min="517" max="530" width="0" hidden="1" customWidth="1"/>
    <col min="531" max="531" width="12.7109375" customWidth="1"/>
    <col min="532" max="532" width="44.42578125" customWidth="1"/>
    <col min="533" max="535" width="27.140625" customWidth="1"/>
    <col min="536" max="536" width="0" hidden="1" customWidth="1"/>
    <col min="769" max="769" width="0" hidden="1" customWidth="1"/>
    <col min="770" max="771" width="12.7109375" customWidth="1"/>
    <col min="772" max="772" width="16.7109375" customWidth="1"/>
    <col min="773" max="786" width="0" hidden="1" customWidth="1"/>
    <col min="787" max="787" width="12.7109375" customWidth="1"/>
    <col min="788" max="788" width="44.42578125" customWidth="1"/>
    <col min="789" max="791" width="27.140625" customWidth="1"/>
    <col min="792" max="792" width="0" hidden="1" customWidth="1"/>
    <col min="1025" max="1025" width="0" hidden="1" customWidth="1"/>
    <col min="1026" max="1027" width="12.7109375" customWidth="1"/>
    <col min="1028" max="1028" width="16.7109375" customWidth="1"/>
    <col min="1029" max="1042" width="0" hidden="1" customWidth="1"/>
    <col min="1043" max="1043" width="12.7109375" customWidth="1"/>
    <col min="1044" max="1044" width="44.42578125" customWidth="1"/>
    <col min="1045" max="1047" width="27.140625" customWidth="1"/>
    <col min="1048" max="1048" width="0" hidden="1" customWidth="1"/>
    <col min="1281" max="1281" width="0" hidden="1" customWidth="1"/>
    <col min="1282" max="1283" width="12.7109375" customWidth="1"/>
    <col min="1284" max="1284" width="16.7109375" customWidth="1"/>
    <col min="1285" max="1298" width="0" hidden="1" customWidth="1"/>
    <col min="1299" max="1299" width="12.7109375" customWidth="1"/>
    <col min="1300" max="1300" width="44.42578125" customWidth="1"/>
    <col min="1301" max="1303" width="27.140625" customWidth="1"/>
    <col min="1304" max="1304" width="0" hidden="1" customWidth="1"/>
    <col min="1537" max="1537" width="0" hidden="1" customWidth="1"/>
    <col min="1538" max="1539" width="12.7109375" customWidth="1"/>
    <col min="1540" max="1540" width="16.7109375" customWidth="1"/>
    <col min="1541" max="1554" width="0" hidden="1" customWidth="1"/>
    <col min="1555" max="1555" width="12.7109375" customWidth="1"/>
    <col min="1556" max="1556" width="44.42578125" customWidth="1"/>
    <col min="1557" max="1559" width="27.140625" customWidth="1"/>
    <col min="1560" max="1560" width="0" hidden="1" customWidth="1"/>
    <col min="1793" max="1793" width="0" hidden="1" customWidth="1"/>
    <col min="1794" max="1795" width="12.7109375" customWidth="1"/>
    <col min="1796" max="1796" width="16.7109375" customWidth="1"/>
    <col min="1797" max="1810" width="0" hidden="1" customWidth="1"/>
    <col min="1811" max="1811" width="12.7109375" customWidth="1"/>
    <col min="1812" max="1812" width="44.42578125" customWidth="1"/>
    <col min="1813" max="1815" width="27.140625" customWidth="1"/>
    <col min="1816" max="1816" width="0" hidden="1" customWidth="1"/>
    <col min="2049" max="2049" width="0" hidden="1" customWidth="1"/>
    <col min="2050" max="2051" width="12.7109375" customWidth="1"/>
    <col min="2052" max="2052" width="16.7109375" customWidth="1"/>
    <col min="2053" max="2066" width="0" hidden="1" customWidth="1"/>
    <col min="2067" max="2067" width="12.7109375" customWidth="1"/>
    <col min="2068" max="2068" width="44.42578125" customWidth="1"/>
    <col min="2069" max="2071" width="27.140625" customWidth="1"/>
    <col min="2072" max="2072" width="0" hidden="1" customWidth="1"/>
    <col min="2305" max="2305" width="0" hidden="1" customWidth="1"/>
    <col min="2306" max="2307" width="12.7109375" customWidth="1"/>
    <col min="2308" max="2308" width="16.7109375" customWidth="1"/>
    <col min="2309" max="2322" width="0" hidden="1" customWidth="1"/>
    <col min="2323" max="2323" width="12.7109375" customWidth="1"/>
    <col min="2324" max="2324" width="44.42578125" customWidth="1"/>
    <col min="2325" max="2327" width="27.140625" customWidth="1"/>
    <col min="2328" max="2328" width="0" hidden="1" customWidth="1"/>
    <col min="2561" max="2561" width="0" hidden="1" customWidth="1"/>
    <col min="2562" max="2563" width="12.7109375" customWidth="1"/>
    <col min="2564" max="2564" width="16.7109375" customWidth="1"/>
    <col min="2565" max="2578" width="0" hidden="1" customWidth="1"/>
    <col min="2579" max="2579" width="12.7109375" customWidth="1"/>
    <col min="2580" max="2580" width="44.42578125" customWidth="1"/>
    <col min="2581" max="2583" width="27.140625" customWidth="1"/>
    <col min="2584" max="2584" width="0" hidden="1" customWidth="1"/>
    <col min="2817" max="2817" width="0" hidden="1" customWidth="1"/>
    <col min="2818" max="2819" width="12.7109375" customWidth="1"/>
    <col min="2820" max="2820" width="16.7109375" customWidth="1"/>
    <col min="2821" max="2834" width="0" hidden="1" customWidth="1"/>
    <col min="2835" max="2835" width="12.7109375" customWidth="1"/>
    <col min="2836" max="2836" width="44.42578125" customWidth="1"/>
    <col min="2837" max="2839" width="27.140625" customWidth="1"/>
    <col min="2840" max="2840" width="0" hidden="1" customWidth="1"/>
    <col min="3073" max="3073" width="0" hidden="1" customWidth="1"/>
    <col min="3074" max="3075" width="12.7109375" customWidth="1"/>
    <col min="3076" max="3076" width="16.7109375" customWidth="1"/>
    <col min="3077" max="3090" width="0" hidden="1" customWidth="1"/>
    <col min="3091" max="3091" width="12.7109375" customWidth="1"/>
    <col min="3092" max="3092" width="44.42578125" customWidth="1"/>
    <col min="3093" max="3095" width="27.140625" customWidth="1"/>
    <col min="3096" max="3096" width="0" hidden="1" customWidth="1"/>
    <col min="3329" max="3329" width="0" hidden="1" customWidth="1"/>
    <col min="3330" max="3331" width="12.7109375" customWidth="1"/>
    <col min="3332" max="3332" width="16.7109375" customWidth="1"/>
    <col min="3333" max="3346" width="0" hidden="1" customWidth="1"/>
    <col min="3347" max="3347" width="12.7109375" customWidth="1"/>
    <col min="3348" max="3348" width="44.42578125" customWidth="1"/>
    <col min="3349" max="3351" width="27.140625" customWidth="1"/>
    <col min="3352" max="3352" width="0" hidden="1" customWidth="1"/>
    <col min="3585" max="3585" width="0" hidden="1" customWidth="1"/>
    <col min="3586" max="3587" width="12.7109375" customWidth="1"/>
    <col min="3588" max="3588" width="16.7109375" customWidth="1"/>
    <col min="3589" max="3602" width="0" hidden="1" customWidth="1"/>
    <col min="3603" max="3603" width="12.7109375" customWidth="1"/>
    <col min="3604" max="3604" width="44.42578125" customWidth="1"/>
    <col min="3605" max="3607" width="27.140625" customWidth="1"/>
    <col min="3608" max="3608" width="0" hidden="1" customWidth="1"/>
    <col min="3841" max="3841" width="0" hidden="1" customWidth="1"/>
    <col min="3842" max="3843" width="12.7109375" customWidth="1"/>
    <col min="3844" max="3844" width="16.7109375" customWidth="1"/>
    <col min="3845" max="3858" width="0" hidden="1" customWidth="1"/>
    <col min="3859" max="3859" width="12.7109375" customWidth="1"/>
    <col min="3860" max="3860" width="44.42578125" customWidth="1"/>
    <col min="3861" max="3863" width="27.140625" customWidth="1"/>
    <col min="3864" max="3864" width="0" hidden="1" customWidth="1"/>
    <col min="4097" max="4097" width="0" hidden="1" customWidth="1"/>
    <col min="4098" max="4099" width="12.7109375" customWidth="1"/>
    <col min="4100" max="4100" width="16.7109375" customWidth="1"/>
    <col min="4101" max="4114" width="0" hidden="1" customWidth="1"/>
    <col min="4115" max="4115" width="12.7109375" customWidth="1"/>
    <col min="4116" max="4116" width="44.42578125" customWidth="1"/>
    <col min="4117" max="4119" width="27.140625" customWidth="1"/>
    <col min="4120" max="4120" width="0" hidden="1" customWidth="1"/>
    <col min="4353" max="4353" width="0" hidden="1" customWidth="1"/>
    <col min="4354" max="4355" width="12.7109375" customWidth="1"/>
    <col min="4356" max="4356" width="16.7109375" customWidth="1"/>
    <col min="4357" max="4370" width="0" hidden="1" customWidth="1"/>
    <col min="4371" max="4371" width="12.7109375" customWidth="1"/>
    <col min="4372" max="4372" width="44.42578125" customWidth="1"/>
    <col min="4373" max="4375" width="27.140625" customWidth="1"/>
    <col min="4376" max="4376" width="0" hidden="1" customWidth="1"/>
    <col min="4609" max="4609" width="0" hidden="1" customWidth="1"/>
    <col min="4610" max="4611" width="12.7109375" customWidth="1"/>
    <col min="4612" max="4612" width="16.7109375" customWidth="1"/>
    <col min="4613" max="4626" width="0" hidden="1" customWidth="1"/>
    <col min="4627" max="4627" width="12.7109375" customWidth="1"/>
    <col min="4628" max="4628" width="44.42578125" customWidth="1"/>
    <col min="4629" max="4631" width="27.140625" customWidth="1"/>
    <col min="4632" max="4632" width="0" hidden="1" customWidth="1"/>
    <col min="4865" max="4865" width="0" hidden="1" customWidth="1"/>
    <col min="4866" max="4867" width="12.7109375" customWidth="1"/>
    <col min="4868" max="4868" width="16.7109375" customWidth="1"/>
    <col min="4869" max="4882" width="0" hidden="1" customWidth="1"/>
    <col min="4883" max="4883" width="12.7109375" customWidth="1"/>
    <col min="4884" max="4884" width="44.42578125" customWidth="1"/>
    <col min="4885" max="4887" width="27.140625" customWidth="1"/>
    <col min="4888" max="4888" width="0" hidden="1" customWidth="1"/>
    <col min="5121" max="5121" width="0" hidden="1" customWidth="1"/>
    <col min="5122" max="5123" width="12.7109375" customWidth="1"/>
    <col min="5124" max="5124" width="16.7109375" customWidth="1"/>
    <col min="5125" max="5138" width="0" hidden="1" customWidth="1"/>
    <col min="5139" max="5139" width="12.7109375" customWidth="1"/>
    <col min="5140" max="5140" width="44.42578125" customWidth="1"/>
    <col min="5141" max="5143" width="27.140625" customWidth="1"/>
    <col min="5144" max="5144" width="0" hidden="1" customWidth="1"/>
    <col min="5377" max="5377" width="0" hidden="1" customWidth="1"/>
    <col min="5378" max="5379" width="12.7109375" customWidth="1"/>
    <col min="5380" max="5380" width="16.7109375" customWidth="1"/>
    <col min="5381" max="5394" width="0" hidden="1" customWidth="1"/>
    <col min="5395" max="5395" width="12.7109375" customWidth="1"/>
    <col min="5396" max="5396" width="44.42578125" customWidth="1"/>
    <col min="5397" max="5399" width="27.140625" customWidth="1"/>
    <col min="5400" max="5400" width="0" hidden="1" customWidth="1"/>
    <col min="5633" max="5633" width="0" hidden="1" customWidth="1"/>
    <col min="5634" max="5635" width="12.7109375" customWidth="1"/>
    <col min="5636" max="5636" width="16.7109375" customWidth="1"/>
    <col min="5637" max="5650" width="0" hidden="1" customWidth="1"/>
    <col min="5651" max="5651" width="12.7109375" customWidth="1"/>
    <col min="5652" max="5652" width="44.42578125" customWidth="1"/>
    <col min="5653" max="5655" width="27.140625" customWidth="1"/>
    <col min="5656" max="5656" width="0" hidden="1" customWidth="1"/>
    <col min="5889" max="5889" width="0" hidden="1" customWidth="1"/>
    <col min="5890" max="5891" width="12.7109375" customWidth="1"/>
    <col min="5892" max="5892" width="16.7109375" customWidth="1"/>
    <col min="5893" max="5906" width="0" hidden="1" customWidth="1"/>
    <col min="5907" max="5907" width="12.7109375" customWidth="1"/>
    <col min="5908" max="5908" width="44.42578125" customWidth="1"/>
    <col min="5909" max="5911" width="27.140625" customWidth="1"/>
    <col min="5912" max="5912" width="0" hidden="1" customWidth="1"/>
    <col min="6145" max="6145" width="0" hidden="1" customWidth="1"/>
    <col min="6146" max="6147" width="12.7109375" customWidth="1"/>
    <col min="6148" max="6148" width="16.7109375" customWidth="1"/>
    <col min="6149" max="6162" width="0" hidden="1" customWidth="1"/>
    <col min="6163" max="6163" width="12.7109375" customWidth="1"/>
    <col min="6164" max="6164" width="44.42578125" customWidth="1"/>
    <col min="6165" max="6167" width="27.140625" customWidth="1"/>
    <col min="6168" max="6168" width="0" hidden="1" customWidth="1"/>
    <col min="6401" max="6401" width="0" hidden="1" customWidth="1"/>
    <col min="6402" max="6403" width="12.7109375" customWidth="1"/>
    <col min="6404" max="6404" width="16.7109375" customWidth="1"/>
    <col min="6405" max="6418" width="0" hidden="1" customWidth="1"/>
    <col min="6419" max="6419" width="12.7109375" customWidth="1"/>
    <col min="6420" max="6420" width="44.42578125" customWidth="1"/>
    <col min="6421" max="6423" width="27.140625" customWidth="1"/>
    <col min="6424" max="6424" width="0" hidden="1" customWidth="1"/>
    <col min="6657" max="6657" width="0" hidden="1" customWidth="1"/>
    <col min="6658" max="6659" width="12.7109375" customWidth="1"/>
    <col min="6660" max="6660" width="16.7109375" customWidth="1"/>
    <col min="6661" max="6674" width="0" hidden="1" customWidth="1"/>
    <col min="6675" max="6675" width="12.7109375" customWidth="1"/>
    <col min="6676" max="6676" width="44.42578125" customWidth="1"/>
    <col min="6677" max="6679" width="27.140625" customWidth="1"/>
    <col min="6680" max="6680" width="0" hidden="1" customWidth="1"/>
    <col min="6913" max="6913" width="0" hidden="1" customWidth="1"/>
    <col min="6914" max="6915" width="12.7109375" customWidth="1"/>
    <col min="6916" max="6916" width="16.7109375" customWidth="1"/>
    <col min="6917" max="6930" width="0" hidden="1" customWidth="1"/>
    <col min="6931" max="6931" width="12.7109375" customWidth="1"/>
    <col min="6932" max="6932" width="44.42578125" customWidth="1"/>
    <col min="6933" max="6935" width="27.140625" customWidth="1"/>
    <col min="6936" max="6936" width="0" hidden="1" customWidth="1"/>
    <col min="7169" max="7169" width="0" hidden="1" customWidth="1"/>
    <col min="7170" max="7171" width="12.7109375" customWidth="1"/>
    <col min="7172" max="7172" width="16.7109375" customWidth="1"/>
    <col min="7173" max="7186" width="0" hidden="1" customWidth="1"/>
    <col min="7187" max="7187" width="12.7109375" customWidth="1"/>
    <col min="7188" max="7188" width="44.42578125" customWidth="1"/>
    <col min="7189" max="7191" width="27.140625" customWidth="1"/>
    <col min="7192" max="7192" width="0" hidden="1" customWidth="1"/>
    <col min="7425" max="7425" width="0" hidden="1" customWidth="1"/>
    <col min="7426" max="7427" width="12.7109375" customWidth="1"/>
    <col min="7428" max="7428" width="16.7109375" customWidth="1"/>
    <col min="7429" max="7442" width="0" hidden="1" customWidth="1"/>
    <col min="7443" max="7443" width="12.7109375" customWidth="1"/>
    <col min="7444" max="7444" width="44.42578125" customWidth="1"/>
    <col min="7445" max="7447" width="27.140625" customWidth="1"/>
    <col min="7448" max="7448" width="0" hidden="1" customWidth="1"/>
    <col min="7681" max="7681" width="0" hidden="1" customWidth="1"/>
    <col min="7682" max="7683" width="12.7109375" customWidth="1"/>
    <col min="7684" max="7684" width="16.7109375" customWidth="1"/>
    <col min="7685" max="7698" width="0" hidden="1" customWidth="1"/>
    <col min="7699" max="7699" width="12.7109375" customWidth="1"/>
    <col min="7700" max="7700" width="44.42578125" customWidth="1"/>
    <col min="7701" max="7703" width="27.140625" customWidth="1"/>
    <col min="7704" max="7704" width="0" hidden="1" customWidth="1"/>
    <col min="7937" max="7937" width="0" hidden="1" customWidth="1"/>
    <col min="7938" max="7939" width="12.7109375" customWidth="1"/>
    <col min="7940" max="7940" width="16.7109375" customWidth="1"/>
    <col min="7941" max="7954" width="0" hidden="1" customWidth="1"/>
    <col min="7955" max="7955" width="12.7109375" customWidth="1"/>
    <col min="7956" max="7956" width="44.42578125" customWidth="1"/>
    <col min="7957" max="7959" width="27.140625" customWidth="1"/>
    <col min="7960" max="7960" width="0" hidden="1" customWidth="1"/>
    <col min="8193" max="8193" width="0" hidden="1" customWidth="1"/>
    <col min="8194" max="8195" width="12.7109375" customWidth="1"/>
    <col min="8196" max="8196" width="16.7109375" customWidth="1"/>
    <col min="8197" max="8210" width="0" hidden="1" customWidth="1"/>
    <col min="8211" max="8211" width="12.7109375" customWidth="1"/>
    <col min="8212" max="8212" width="44.42578125" customWidth="1"/>
    <col min="8213" max="8215" width="27.140625" customWidth="1"/>
    <col min="8216" max="8216" width="0" hidden="1" customWidth="1"/>
    <col min="8449" max="8449" width="0" hidden="1" customWidth="1"/>
    <col min="8450" max="8451" width="12.7109375" customWidth="1"/>
    <col min="8452" max="8452" width="16.7109375" customWidth="1"/>
    <col min="8453" max="8466" width="0" hidden="1" customWidth="1"/>
    <col min="8467" max="8467" width="12.7109375" customWidth="1"/>
    <col min="8468" max="8468" width="44.42578125" customWidth="1"/>
    <col min="8469" max="8471" width="27.140625" customWidth="1"/>
    <col min="8472" max="8472" width="0" hidden="1" customWidth="1"/>
    <col min="8705" max="8705" width="0" hidden="1" customWidth="1"/>
    <col min="8706" max="8707" width="12.7109375" customWidth="1"/>
    <col min="8708" max="8708" width="16.7109375" customWidth="1"/>
    <col min="8709" max="8722" width="0" hidden="1" customWidth="1"/>
    <col min="8723" max="8723" width="12.7109375" customWidth="1"/>
    <col min="8724" max="8724" width="44.42578125" customWidth="1"/>
    <col min="8725" max="8727" width="27.140625" customWidth="1"/>
    <col min="8728" max="8728" width="0" hidden="1" customWidth="1"/>
    <col min="8961" max="8961" width="0" hidden="1" customWidth="1"/>
    <col min="8962" max="8963" width="12.7109375" customWidth="1"/>
    <col min="8964" max="8964" width="16.7109375" customWidth="1"/>
    <col min="8965" max="8978" width="0" hidden="1" customWidth="1"/>
    <col min="8979" max="8979" width="12.7109375" customWidth="1"/>
    <col min="8980" max="8980" width="44.42578125" customWidth="1"/>
    <col min="8981" max="8983" width="27.140625" customWidth="1"/>
    <col min="8984" max="8984" width="0" hidden="1" customWidth="1"/>
    <col min="9217" max="9217" width="0" hidden="1" customWidth="1"/>
    <col min="9218" max="9219" width="12.7109375" customWidth="1"/>
    <col min="9220" max="9220" width="16.7109375" customWidth="1"/>
    <col min="9221" max="9234" width="0" hidden="1" customWidth="1"/>
    <col min="9235" max="9235" width="12.7109375" customWidth="1"/>
    <col min="9236" max="9236" width="44.42578125" customWidth="1"/>
    <col min="9237" max="9239" width="27.140625" customWidth="1"/>
    <col min="9240" max="9240" width="0" hidden="1" customWidth="1"/>
    <col min="9473" max="9473" width="0" hidden="1" customWidth="1"/>
    <col min="9474" max="9475" width="12.7109375" customWidth="1"/>
    <col min="9476" max="9476" width="16.7109375" customWidth="1"/>
    <col min="9477" max="9490" width="0" hidden="1" customWidth="1"/>
    <col min="9491" max="9491" width="12.7109375" customWidth="1"/>
    <col min="9492" max="9492" width="44.42578125" customWidth="1"/>
    <col min="9493" max="9495" width="27.140625" customWidth="1"/>
    <col min="9496" max="9496" width="0" hidden="1" customWidth="1"/>
    <col min="9729" max="9729" width="0" hidden="1" customWidth="1"/>
    <col min="9730" max="9731" width="12.7109375" customWidth="1"/>
    <col min="9732" max="9732" width="16.7109375" customWidth="1"/>
    <col min="9733" max="9746" width="0" hidden="1" customWidth="1"/>
    <col min="9747" max="9747" width="12.7109375" customWidth="1"/>
    <col min="9748" max="9748" width="44.42578125" customWidth="1"/>
    <col min="9749" max="9751" width="27.140625" customWidth="1"/>
    <col min="9752" max="9752" width="0" hidden="1" customWidth="1"/>
    <col min="9985" max="9985" width="0" hidden="1" customWidth="1"/>
    <col min="9986" max="9987" width="12.7109375" customWidth="1"/>
    <col min="9988" max="9988" width="16.7109375" customWidth="1"/>
    <col min="9989" max="10002" width="0" hidden="1" customWidth="1"/>
    <col min="10003" max="10003" width="12.7109375" customWidth="1"/>
    <col min="10004" max="10004" width="44.42578125" customWidth="1"/>
    <col min="10005" max="10007" width="27.140625" customWidth="1"/>
    <col min="10008" max="10008" width="0" hidden="1" customWidth="1"/>
    <col min="10241" max="10241" width="0" hidden="1" customWidth="1"/>
    <col min="10242" max="10243" width="12.7109375" customWidth="1"/>
    <col min="10244" max="10244" width="16.7109375" customWidth="1"/>
    <col min="10245" max="10258" width="0" hidden="1" customWidth="1"/>
    <col min="10259" max="10259" width="12.7109375" customWidth="1"/>
    <col min="10260" max="10260" width="44.42578125" customWidth="1"/>
    <col min="10261" max="10263" width="27.140625" customWidth="1"/>
    <col min="10264" max="10264" width="0" hidden="1" customWidth="1"/>
    <col min="10497" max="10497" width="0" hidden="1" customWidth="1"/>
    <col min="10498" max="10499" width="12.7109375" customWidth="1"/>
    <col min="10500" max="10500" width="16.7109375" customWidth="1"/>
    <col min="10501" max="10514" width="0" hidden="1" customWidth="1"/>
    <col min="10515" max="10515" width="12.7109375" customWidth="1"/>
    <col min="10516" max="10516" width="44.42578125" customWidth="1"/>
    <col min="10517" max="10519" width="27.140625" customWidth="1"/>
    <col min="10520" max="10520" width="0" hidden="1" customWidth="1"/>
    <col min="10753" max="10753" width="0" hidden="1" customWidth="1"/>
    <col min="10754" max="10755" width="12.7109375" customWidth="1"/>
    <col min="10756" max="10756" width="16.7109375" customWidth="1"/>
    <col min="10757" max="10770" width="0" hidden="1" customWidth="1"/>
    <col min="10771" max="10771" width="12.7109375" customWidth="1"/>
    <col min="10772" max="10772" width="44.42578125" customWidth="1"/>
    <col min="10773" max="10775" width="27.140625" customWidth="1"/>
    <col min="10776" max="10776" width="0" hidden="1" customWidth="1"/>
    <col min="11009" max="11009" width="0" hidden="1" customWidth="1"/>
    <col min="11010" max="11011" width="12.7109375" customWidth="1"/>
    <col min="11012" max="11012" width="16.7109375" customWidth="1"/>
    <col min="11013" max="11026" width="0" hidden="1" customWidth="1"/>
    <col min="11027" max="11027" width="12.7109375" customWidth="1"/>
    <col min="11028" max="11028" width="44.42578125" customWidth="1"/>
    <col min="11029" max="11031" width="27.140625" customWidth="1"/>
    <col min="11032" max="11032" width="0" hidden="1" customWidth="1"/>
    <col min="11265" max="11265" width="0" hidden="1" customWidth="1"/>
    <col min="11266" max="11267" width="12.7109375" customWidth="1"/>
    <col min="11268" max="11268" width="16.7109375" customWidth="1"/>
    <col min="11269" max="11282" width="0" hidden="1" customWidth="1"/>
    <col min="11283" max="11283" width="12.7109375" customWidth="1"/>
    <col min="11284" max="11284" width="44.42578125" customWidth="1"/>
    <col min="11285" max="11287" width="27.140625" customWidth="1"/>
    <col min="11288" max="11288" width="0" hidden="1" customWidth="1"/>
    <col min="11521" max="11521" width="0" hidden="1" customWidth="1"/>
    <col min="11522" max="11523" width="12.7109375" customWidth="1"/>
    <col min="11524" max="11524" width="16.7109375" customWidth="1"/>
    <col min="11525" max="11538" width="0" hidden="1" customWidth="1"/>
    <col min="11539" max="11539" width="12.7109375" customWidth="1"/>
    <col min="11540" max="11540" width="44.42578125" customWidth="1"/>
    <col min="11541" max="11543" width="27.140625" customWidth="1"/>
    <col min="11544" max="11544" width="0" hidden="1" customWidth="1"/>
    <col min="11777" max="11777" width="0" hidden="1" customWidth="1"/>
    <col min="11778" max="11779" width="12.7109375" customWidth="1"/>
    <col min="11780" max="11780" width="16.7109375" customWidth="1"/>
    <col min="11781" max="11794" width="0" hidden="1" customWidth="1"/>
    <col min="11795" max="11795" width="12.7109375" customWidth="1"/>
    <col min="11796" max="11796" width="44.42578125" customWidth="1"/>
    <col min="11797" max="11799" width="27.140625" customWidth="1"/>
    <col min="11800" max="11800" width="0" hidden="1" customWidth="1"/>
    <col min="12033" max="12033" width="0" hidden="1" customWidth="1"/>
    <col min="12034" max="12035" width="12.7109375" customWidth="1"/>
    <col min="12036" max="12036" width="16.7109375" customWidth="1"/>
    <col min="12037" max="12050" width="0" hidden="1" customWidth="1"/>
    <col min="12051" max="12051" width="12.7109375" customWidth="1"/>
    <col min="12052" max="12052" width="44.42578125" customWidth="1"/>
    <col min="12053" max="12055" width="27.140625" customWidth="1"/>
    <col min="12056" max="12056" width="0" hidden="1" customWidth="1"/>
    <col min="12289" max="12289" width="0" hidden="1" customWidth="1"/>
    <col min="12290" max="12291" width="12.7109375" customWidth="1"/>
    <col min="12292" max="12292" width="16.7109375" customWidth="1"/>
    <col min="12293" max="12306" width="0" hidden="1" customWidth="1"/>
    <col min="12307" max="12307" width="12.7109375" customWidth="1"/>
    <col min="12308" max="12308" width="44.42578125" customWidth="1"/>
    <col min="12309" max="12311" width="27.140625" customWidth="1"/>
    <col min="12312" max="12312" width="0" hidden="1" customWidth="1"/>
    <col min="12545" max="12545" width="0" hidden="1" customWidth="1"/>
    <col min="12546" max="12547" width="12.7109375" customWidth="1"/>
    <col min="12548" max="12548" width="16.7109375" customWidth="1"/>
    <col min="12549" max="12562" width="0" hidden="1" customWidth="1"/>
    <col min="12563" max="12563" width="12.7109375" customWidth="1"/>
    <col min="12564" max="12564" width="44.42578125" customWidth="1"/>
    <col min="12565" max="12567" width="27.140625" customWidth="1"/>
    <col min="12568" max="12568" width="0" hidden="1" customWidth="1"/>
    <col min="12801" max="12801" width="0" hidden="1" customWidth="1"/>
    <col min="12802" max="12803" width="12.7109375" customWidth="1"/>
    <col min="12804" max="12804" width="16.7109375" customWidth="1"/>
    <col min="12805" max="12818" width="0" hidden="1" customWidth="1"/>
    <col min="12819" max="12819" width="12.7109375" customWidth="1"/>
    <col min="12820" max="12820" width="44.42578125" customWidth="1"/>
    <col min="12821" max="12823" width="27.140625" customWidth="1"/>
    <col min="12824" max="12824" width="0" hidden="1" customWidth="1"/>
    <col min="13057" max="13057" width="0" hidden="1" customWidth="1"/>
    <col min="13058" max="13059" width="12.7109375" customWidth="1"/>
    <col min="13060" max="13060" width="16.7109375" customWidth="1"/>
    <col min="13061" max="13074" width="0" hidden="1" customWidth="1"/>
    <col min="13075" max="13075" width="12.7109375" customWidth="1"/>
    <col min="13076" max="13076" width="44.42578125" customWidth="1"/>
    <col min="13077" max="13079" width="27.140625" customWidth="1"/>
    <col min="13080" max="13080" width="0" hidden="1" customWidth="1"/>
    <col min="13313" max="13313" width="0" hidden="1" customWidth="1"/>
    <col min="13314" max="13315" width="12.7109375" customWidth="1"/>
    <col min="13316" max="13316" width="16.7109375" customWidth="1"/>
    <col min="13317" max="13330" width="0" hidden="1" customWidth="1"/>
    <col min="13331" max="13331" width="12.7109375" customWidth="1"/>
    <col min="13332" max="13332" width="44.42578125" customWidth="1"/>
    <col min="13333" max="13335" width="27.140625" customWidth="1"/>
    <col min="13336" max="13336" width="0" hidden="1" customWidth="1"/>
    <col min="13569" max="13569" width="0" hidden="1" customWidth="1"/>
    <col min="13570" max="13571" width="12.7109375" customWidth="1"/>
    <col min="13572" max="13572" width="16.7109375" customWidth="1"/>
    <col min="13573" max="13586" width="0" hidden="1" customWidth="1"/>
    <col min="13587" max="13587" width="12.7109375" customWidth="1"/>
    <col min="13588" max="13588" width="44.42578125" customWidth="1"/>
    <col min="13589" max="13591" width="27.140625" customWidth="1"/>
    <col min="13592" max="13592" width="0" hidden="1" customWidth="1"/>
    <col min="13825" max="13825" width="0" hidden="1" customWidth="1"/>
    <col min="13826" max="13827" width="12.7109375" customWidth="1"/>
    <col min="13828" max="13828" width="16.7109375" customWidth="1"/>
    <col min="13829" max="13842" width="0" hidden="1" customWidth="1"/>
    <col min="13843" max="13843" width="12.7109375" customWidth="1"/>
    <col min="13844" max="13844" width="44.42578125" customWidth="1"/>
    <col min="13845" max="13847" width="27.140625" customWidth="1"/>
    <col min="13848" max="13848" width="0" hidden="1" customWidth="1"/>
    <col min="14081" max="14081" width="0" hidden="1" customWidth="1"/>
    <col min="14082" max="14083" width="12.7109375" customWidth="1"/>
    <col min="14084" max="14084" width="16.7109375" customWidth="1"/>
    <col min="14085" max="14098" width="0" hidden="1" customWidth="1"/>
    <col min="14099" max="14099" width="12.7109375" customWidth="1"/>
    <col min="14100" max="14100" width="44.42578125" customWidth="1"/>
    <col min="14101" max="14103" width="27.140625" customWidth="1"/>
    <col min="14104" max="14104" width="0" hidden="1" customWidth="1"/>
    <col min="14337" max="14337" width="0" hidden="1" customWidth="1"/>
    <col min="14338" max="14339" width="12.7109375" customWidth="1"/>
    <col min="14340" max="14340" width="16.7109375" customWidth="1"/>
    <col min="14341" max="14354" width="0" hidden="1" customWidth="1"/>
    <col min="14355" max="14355" width="12.7109375" customWidth="1"/>
    <col min="14356" max="14356" width="44.42578125" customWidth="1"/>
    <col min="14357" max="14359" width="27.140625" customWidth="1"/>
    <col min="14360" max="14360" width="0" hidden="1" customWidth="1"/>
    <col min="14593" max="14593" width="0" hidden="1" customWidth="1"/>
    <col min="14594" max="14595" width="12.7109375" customWidth="1"/>
    <col min="14596" max="14596" width="16.7109375" customWidth="1"/>
    <col min="14597" max="14610" width="0" hidden="1" customWidth="1"/>
    <col min="14611" max="14611" width="12.7109375" customWidth="1"/>
    <col min="14612" max="14612" width="44.42578125" customWidth="1"/>
    <col min="14613" max="14615" width="27.140625" customWidth="1"/>
    <col min="14616" max="14616" width="0" hidden="1" customWidth="1"/>
    <col min="14849" max="14849" width="0" hidden="1" customWidth="1"/>
    <col min="14850" max="14851" width="12.7109375" customWidth="1"/>
    <col min="14852" max="14852" width="16.7109375" customWidth="1"/>
    <col min="14853" max="14866" width="0" hidden="1" customWidth="1"/>
    <col min="14867" max="14867" width="12.7109375" customWidth="1"/>
    <col min="14868" max="14868" width="44.42578125" customWidth="1"/>
    <col min="14869" max="14871" width="27.140625" customWidth="1"/>
    <col min="14872" max="14872" width="0" hidden="1" customWidth="1"/>
    <col min="15105" max="15105" width="0" hidden="1" customWidth="1"/>
    <col min="15106" max="15107" width="12.7109375" customWidth="1"/>
    <col min="15108" max="15108" width="16.7109375" customWidth="1"/>
    <col min="15109" max="15122" width="0" hidden="1" customWidth="1"/>
    <col min="15123" max="15123" width="12.7109375" customWidth="1"/>
    <col min="15124" max="15124" width="44.42578125" customWidth="1"/>
    <col min="15125" max="15127" width="27.140625" customWidth="1"/>
    <col min="15128" max="15128" width="0" hidden="1" customWidth="1"/>
    <col min="15361" max="15361" width="0" hidden="1" customWidth="1"/>
    <col min="15362" max="15363" width="12.7109375" customWidth="1"/>
    <col min="15364" max="15364" width="16.7109375" customWidth="1"/>
    <col min="15365" max="15378" width="0" hidden="1" customWidth="1"/>
    <col min="15379" max="15379" width="12.7109375" customWidth="1"/>
    <col min="15380" max="15380" width="44.42578125" customWidth="1"/>
    <col min="15381" max="15383" width="27.140625" customWidth="1"/>
    <col min="15384" max="15384" width="0" hidden="1" customWidth="1"/>
    <col min="15617" max="15617" width="0" hidden="1" customWidth="1"/>
    <col min="15618" max="15619" width="12.7109375" customWidth="1"/>
    <col min="15620" max="15620" width="16.7109375" customWidth="1"/>
    <col min="15621" max="15634" width="0" hidden="1" customWidth="1"/>
    <col min="15635" max="15635" width="12.7109375" customWidth="1"/>
    <col min="15636" max="15636" width="44.42578125" customWidth="1"/>
    <col min="15637" max="15639" width="27.140625" customWidth="1"/>
    <col min="15640" max="15640" width="0" hidden="1" customWidth="1"/>
    <col min="15873" max="15873" width="0" hidden="1" customWidth="1"/>
    <col min="15874" max="15875" width="12.7109375" customWidth="1"/>
    <col min="15876" max="15876" width="16.7109375" customWidth="1"/>
    <col min="15877" max="15890" width="0" hidden="1" customWidth="1"/>
    <col min="15891" max="15891" width="12.7109375" customWidth="1"/>
    <col min="15892" max="15892" width="44.42578125" customWidth="1"/>
    <col min="15893" max="15895" width="27.140625" customWidth="1"/>
    <col min="15896" max="15896" width="0" hidden="1" customWidth="1"/>
    <col min="16129" max="16129" width="0" hidden="1" customWidth="1"/>
    <col min="16130" max="16131" width="12.7109375" customWidth="1"/>
    <col min="16132" max="16132" width="16.7109375" customWidth="1"/>
    <col min="16133" max="16146" width="0" hidden="1" customWidth="1"/>
    <col min="16147" max="16147" width="12.7109375" customWidth="1"/>
    <col min="16148" max="16148" width="44.42578125" customWidth="1"/>
    <col min="16149" max="16151" width="27.140625" customWidth="1"/>
    <col min="16152" max="16152" width="0" hidden="1" customWidth="1"/>
  </cols>
  <sheetData>
    <row r="1" spans="1:24" x14ac:dyDescent="0.25">
      <c r="W1" s="265" t="s">
        <v>1128</v>
      </c>
    </row>
    <row r="2" spans="1:24" x14ac:dyDescent="0.25">
      <c r="W2" s="265" t="s">
        <v>30</v>
      </c>
    </row>
    <row r="3" spans="1:24" x14ac:dyDescent="0.25">
      <c r="W3" s="265" t="s">
        <v>257</v>
      </c>
    </row>
    <row r="4" spans="1:24" ht="15.75" x14ac:dyDescent="0.25">
      <c r="W4" s="2" t="s">
        <v>1356</v>
      </c>
    </row>
    <row r="5" spans="1:24" ht="54" customHeight="1" x14ac:dyDescent="0.25">
      <c r="A5" s="128"/>
      <c r="B5" s="518" t="s">
        <v>1134</v>
      </c>
      <c r="C5" s="518"/>
      <c r="D5" s="518"/>
      <c r="E5" s="518"/>
      <c r="F5" s="518"/>
      <c r="G5" s="518"/>
      <c r="H5" s="518"/>
      <c r="I5" s="518"/>
      <c r="J5" s="518"/>
      <c r="K5" s="518"/>
      <c r="L5" s="518"/>
      <c r="M5" s="518"/>
      <c r="N5" s="518"/>
      <c r="O5" s="518"/>
      <c r="P5" s="518"/>
      <c r="Q5" s="518"/>
      <c r="R5" s="518"/>
      <c r="S5" s="518"/>
      <c r="T5" s="518"/>
      <c r="U5" s="518"/>
      <c r="V5" s="518"/>
      <c r="W5" s="518"/>
      <c r="X5" s="518"/>
    </row>
    <row r="7" spans="1:24" ht="21.75" customHeight="1" x14ac:dyDescent="0.25">
      <c r="A7" s="113"/>
      <c r="B7" s="113"/>
      <c r="C7" s="113"/>
      <c r="D7" s="113"/>
      <c r="E7" s="113"/>
      <c r="F7" s="113"/>
      <c r="G7" s="113"/>
      <c r="H7" s="113"/>
      <c r="I7" s="113"/>
      <c r="J7" s="113"/>
      <c r="K7" s="113"/>
      <c r="L7" s="113"/>
      <c r="M7" s="113"/>
      <c r="N7" s="113"/>
      <c r="O7" s="113"/>
      <c r="P7" s="113"/>
      <c r="Q7" s="113"/>
      <c r="R7" s="113"/>
      <c r="S7" s="113"/>
      <c r="T7" s="113"/>
      <c r="U7" s="113"/>
      <c r="V7" s="113"/>
      <c r="W7" s="113" t="s">
        <v>277</v>
      </c>
      <c r="X7" s="113"/>
    </row>
    <row r="8" spans="1:24" x14ac:dyDescent="0.25">
      <c r="A8" s="519" t="s">
        <v>1</v>
      </c>
      <c r="B8" s="519" t="s">
        <v>278</v>
      </c>
      <c r="C8" s="519" t="s">
        <v>279</v>
      </c>
      <c r="D8" s="519" t="s">
        <v>197</v>
      </c>
      <c r="E8" s="519" t="s">
        <v>197</v>
      </c>
      <c r="F8" s="519" t="s">
        <v>197</v>
      </c>
      <c r="G8" s="519" t="s">
        <v>197</v>
      </c>
      <c r="H8" s="519" t="s">
        <v>197</v>
      </c>
      <c r="I8" s="519" t="s">
        <v>197</v>
      </c>
      <c r="J8" s="519" t="s">
        <v>197</v>
      </c>
      <c r="K8" s="519" t="s">
        <v>197</v>
      </c>
      <c r="L8" s="519" t="s">
        <v>197</v>
      </c>
      <c r="M8" s="519" t="s">
        <v>197</v>
      </c>
      <c r="N8" s="519" t="s">
        <v>197</v>
      </c>
      <c r="O8" s="519" t="s">
        <v>197</v>
      </c>
      <c r="P8" s="519" t="s">
        <v>197</v>
      </c>
      <c r="Q8" s="519" t="s">
        <v>197</v>
      </c>
      <c r="R8" s="519" t="s">
        <v>197</v>
      </c>
      <c r="S8" s="519" t="s">
        <v>225</v>
      </c>
      <c r="T8" s="519" t="s">
        <v>1</v>
      </c>
      <c r="U8" s="519" t="s">
        <v>540</v>
      </c>
      <c r="V8" s="519" t="s">
        <v>541</v>
      </c>
      <c r="W8" s="519" t="s">
        <v>1133</v>
      </c>
      <c r="X8" s="520" t="s">
        <v>1</v>
      </c>
    </row>
    <row r="9" spans="1:24" x14ac:dyDescent="0.25">
      <c r="A9" s="519"/>
      <c r="B9" s="519" t="s">
        <v>513</v>
      </c>
      <c r="C9" s="519" t="s">
        <v>514</v>
      </c>
      <c r="D9" s="519" t="s">
        <v>515</v>
      </c>
      <c r="E9" s="519" t="s">
        <v>515</v>
      </c>
      <c r="F9" s="519" t="s">
        <v>515</v>
      </c>
      <c r="G9" s="519" t="s">
        <v>515</v>
      </c>
      <c r="H9" s="519" t="s">
        <v>515</v>
      </c>
      <c r="I9" s="519" t="s">
        <v>515</v>
      </c>
      <c r="J9" s="519" t="s">
        <v>515</v>
      </c>
      <c r="K9" s="519" t="s">
        <v>515</v>
      </c>
      <c r="L9" s="519" t="s">
        <v>515</v>
      </c>
      <c r="M9" s="519" t="s">
        <v>515</v>
      </c>
      <c r="N9" s="519" t="s">
        <v>515</v>
      </c>
      <c r="O9" s="519" t="s">
        <v>515</v>
      </c>
      <c r="P9" s="519" t="s">
        <v>515</v>
      </c>
      <c r="Q9" s="519" t="s">
        <v>515</v>
      </c>
      <c r="R9" s="519" t="s">
        <v>515</v>
      </c>
      <c r="S9" s="519" t="s">
        <v>516</v>
      </c>
      <c r="T9" s="519"/>
      <c r="U9" s="519"/>
      <c r="V9" s="519" t="s">
        <v>283</v>
      </c>
      <c r="W9" s="519" t="s">
        <v>283</v>
      </c>
      <c r="X9" s="520"/>
    </row>
    <row r="10" spans="1:24" hidden="1" x14ac:dyDescent="0.25">
      <c r="A10" s="115"/>
      <c r="B10" s="115"/>
      <c r="C10" s="115"/>
      <c r="D10" s="115"/>
      <c r="E10" s="115"/>
      <c r="F10" s="115"/>
      <c r="G10" s="115"/>
      <c r="H10" s="115"/>
      <c r="I10" s="115"/>
      <c r="J10" s="115"/>
      <c r="K10" s="115"/>
      <c r="L10" s="115"/>
      <c r="M10" s="115"/>
      <c r="N10" s="115"/>
      <c r="O10" s="115"/>
      <c r="P10" s="115"/>
      <c r="Q10" s="115"/>
      <c r="R10" s="115"/>
      <c r="S10" s="115"/>
      <c r="T10" s="115"/>
      <c r="U10" s="115"/>
      <c r="V10" s="115"/>
      <c r="W10" s="115"/>
      <c r="X10" s="117"/>
    </row>
    <row r="11" spans="1:24" ht="37.15" customHeight="1" x14ac:dyDescent="0.25">
      <c r="A11" s="118" t="s">
        <v>285</v>
      </c>
      <c r="B11" s="129" t="s">
        <v>122</v>
      </c>
      <c r="C11" s="129" t="s">
        <v>133</v>
      </c>
      <c r="D11" s="129"/>
      <c r="E11" s="129"/>
      <c r="F11" s="129"/>
      <c r="G11" s="129"/>
      <c r="H11" s="129"/>
      <c r="I11" s="129"/>
      <c r="J11" s="129"/>
      <c r="K11" s="129"/>
      <c r="L11" s="129"/>
      <c r="M11" s="129"/>
      <c r="N11" s="129"/>
      <c r="O11" s="129"/>
      <c r="P11" s="129"/>
      <c r="Q11" s="129"/>
      <c r="R11" s="129"/>
      <c r="S11" s="129"/>
      <c r="T11" s="118" t="s">
        <v>285</v>
      </c>
      <c r="U11" s="119">
        <f>U12+U15+U22+U34+U37+U48+U51+U46</f>
        <v>75817868.879999995</v>
      </c>
      <c r="V11" s="119">
        <f>V12+V15+V22+V34+V37+V48+V51+V46</f>
        <v>75648311.640000015</v>
      </c>
      <c r="W11" s="119">
        <f>W12+W15+W22+W34+W37+W48+W51+W46</f>
        <v>76000575.700000003</v>
      </c>
      <c r="X11" s="118" t="s">
        <v>285</v>
      </c>
    </row>
    <row r="12" spans="1:24" ht="74.45" customHeight="1" x14ac:dyDescent="0.25">
      <c r="A12" s="120" t="s">
        <v>247</v>
      </c>
      <c r="B12" s="189" t="s">
        <v>122</v>
      </c>
      <c r="C12" s="189" t="s">
        <v>132</v>
      </c>
      <c r="D12" s="189"/>
      <c r="E12" s="189"/>
      <c r="F12" s="189"/>
      <c r="G12" s="189"/>
      <c r="H12" s="189"/>
      <c r="I12" s="189"/>
      <c r="J12" s="189"/>
      <c r="K12" s="189"/>
      <c r="L12" s="189"/>
      <c r="M12" s="189"/>
      <c r="N12" s="189"/>
      <c r="O12" s="189"/>
      <c r="P12" s="189"/>
      <c r="Q12" s="189"/>
      <c r="R12" s="189"/>
      <c r="S12" s="189"/>
      <c r="T12" s="190" t="s">
        <v>247</v>
      </c>
      <c r="U12" s="183">
        <f t="shared" ref="U12:W13" si="0">U13</f>
        <v>1554484</v>
      </c>
      <c r="V12" s="183">
        <f t="shared" si="0"/>
        <v>1554484</v>
      </c>
      <c r="W12" s="183">
        <f t="shared" si="0"/>
        <v>1554484</v>
      </c>
      <c r="X12" s="120" t="s">
        <v>247</v>
      </c>
    </row>
    <row r="13" spans="1:24" ht="108" customHeight="1" x14ac:dyDescent="0.25">
      <c r="A13" s="120" t="s">
        <v>236</v>
      </c>
      <c r="B13" s="121" t="s">
        <v>122</v>
      </c>
      <c r="C13" s="121" t="s">
        <v>132</v>
      </c>
      <c r="D13" s="138" t="s">
        <v>542</v>
      </c>
      <c r="E13" s="121"/>
      <c r="F13" s="121"/>
      <c r="G13" s="121"/>
      <c r="H13" s="121"/>
      <c r="I13" s="121"/>
      <c r="J13" s="121"/>
      <c r="K13" s="121"/>
      <c r="L13" s="121"/>
      <c r="M13" s="121"/>
      <c r="N13" s="121"/>
      <c r="O13" s="121"/>
      <c r="P13" s="121"/>
      <c r="Q13" s="121"/>
      <c r="R13" s="121"/>
      <c r="S13" s="121"/>
      <c r="T13" s="120" t="s">
        <v>236</v>
      </c>
      <c r="U13" s="122">
        <f t="shared" si="0"/>
        <v>1554484</v>
      </c>
      <c r="V13" s="122">
        <f t="shared" si="0"/>
        <v>1554484</v>
      </c>
      <c r="W13" s="122">
        <f t="shared" si="0"/>
        <v>1554484</v>
      </c>
      <c r="X13" s="120" t="s">
        <v>236</v>
      </c>
    </row>
    <row r="14" spans="1:24" ht="195.75" customHeight="1" x14ac:dyDescent="0.25">
      <c r="A14" s="126" t="s">
        <v>286</v>
      </c>
      <c r="B14" s="121" t="s">
        <v>122</v>
      </c>
      <c r="C14" s="121" t="s">
        <v>132</v>
      </c>
      <c r="D14" s="138" t="s">
        <v>542</v>
      </c>
      <c r="E14" s="121"/>
      <c r="F14" s="121"/>
      <c r="G14" s="121"/>
      <c r="H14" s="121"/>
      <c r="I14" s="121"/>
      <c r="J14" s="121"/>
      <c r="K14" s="121"/>
      <c r="L14" s="121"/>
      <c r="M14" s="121"/>
      <c r="N14" s="121"/>
      <c r="O14" s="121"/>
      <c r="P14" s="121"/>
      <c r="Q14" s="121"/>
      <c r="R14" s="121"/>
      <c r="S14" s="121" t="s">
        <v>38</v>
      </c>
      <c r="T14" s="126" t="s">
        <v>286</v>
      </c>
      <c r="U14" s="122">
        <f>П6ВСР!Z15</f>
        <v>1554484</v>
      </c>
      <c r="V14" s="122">
        <f>П6ВСР!AA15</f>
        <v>1554484</v>
      </c>
      <c r="W14" s="122">
        <f>П6ВСР!AB15</f>
        <v>1554484</v>
      </c>
      <c r="X14" s="126" t="s">
        <v>286</v>
      </c>
    </row>
    <row r="15" spans="1:24" ht="93" customHeight="1" x14ac:dyDescent="0.25">
      <c r="A15" s="120" t="s">
        <v>248</v>
      </c>
      <c r="B15" s="189" t="s">
        <v>122</v>
      </c>
      <c r="C15" s="189" t="s">
        <v>123</v>
      </c>
      <c r="D15" s="189"/>
      <c r="E15" s="189"/>
      <c r="F15" s="189"/>
      <c r="G15" s="189"/>
      <c r="H15" s="189"/>
      <c r="I15" s="189"/>
      <c r="J15" s="189"/>
      <c r="K15" s="189"/>
      <c r="L15" s="189"/>
      <c r="M15" s="189"/>
      <c r="N15" s="189"/>
      <c r="O15" s="189"/>
      <c r="P15" s="189"/>
      <c r="Q15" s="189"/>
      <c r="R15" s="189"/>
      <c r="S15" s="189"/>
      <c r="T15" s="190" t="s">
        <v>248</v>
      </c>
      <c r="U15" s="183">
        <f>U16+U18</f>
        <v>3006545.2199999997</v>
      </c>
      <c r="V15" s="183">
        <f>V16+V18</f>
        <v>3006545.2199999997</v>
      </c>
      <c r="W15" s="183">
        <f>W16+W18</f>
        <v>3006545.12</v>
      </c>
      <c r="X15" s="120" t="s">
        <v>248</v>
      </c>
    </row>
    <row r="16" spans="1:24" ht="120" customHeight="1" x14ac:dyDescent="0.25">
      <c r="A16" s="120" t="s">
        <v>237</v>
      </c>
      <c r="B16" s="121" t="s">
        <v>122</v>
      </c>
      <c r="C16" s="121" t="s">
        <v>123</v>
      </c>
      <c r="D16" s="138" t="s">
        <v>543</v>
      </c>
      <c r="E16" s="121"/>
      <c r="F16" s="121"/>
      <c r="G16" s="121"/>
      <c r="H16" s="121"/>
      <c r="I16" s="121"/>
      <c r="J16" s="121"/>
      <c r="K16" s="121"/>
      <c r="L16" s="121"/>
      <c r="M16" s="121"/>
      <c r="N16" s="121"/>
      <c r="O16" s="121"/>
      <c r="P16" s="121"/>
      <c r="Q16" s="121"/>
      <c r="R16" s="121"/>
      <c r="S16" s="121"/>
      <c r="T16" s="120" t="s">
        <v>237</v>
      </c>
      <c r="U16" s="122">
        <f>U17</f>
        <v>1398388</v>
      </c>
      <c r="V16" s="122">
        <f>V17</f>
        <v>1398388</v>
      </c>
      <c r="W16" s="122">
        <f>W17</f>
        <v>1398388</v>
      </c>
      <c r="X16" s="120" t="s">
        <v>237</v>
      </c>
    </row>
    <row r="17" spans="1:24" ht="225" customHeight="1" x14ac:dyDescent="0.25">
      <c r="A17" s="126" t="s">
        <v>287</v>
      </c>
      <c r="B17" s="124" t="s">
        <v>122</v>
      </c>
      <c r="C17" s="124" t="s">
        <v>123</v>
      </c>
      <c r="D17" s="138" t="s">
        <v>543</v>
      </c>
      <c r="E17" s="124"/>
      <c r="F17" s="124"/>
      <c r="G17" s="124"/>
      <c r="H17" s="124"/>
      <c r="I17" s="124"/>
      <c r="J17" s="124"/>
      <c r="K17" s="124"/>
      <c r="L17" s="124"/>
      <c r="M17" s="124"/>
      <c r="N17" s="124"/>
      <c r="O17" s="124"/>
      <c r="P17" s="124"/>
      <c r="Q17" s="124"/>
      <c r="R17" s="124"/>
      <c r="S17" s="124" t="s">
        <v>38</v>
      </c>
      <c r="T17" s="123" t="s">
        <v>287</v>
      </c>
      <c r="U17" s="122">
        <f>П6ВСР!Z18</f>
        <v>1398388</v>
      </c>
      <c r="V17" s="122">
        <f>П6ВСР!AA18</f>
        <v>1398388</v>
      </c>
      <c r="W17" s="122">
        <f>П6ВСР!AB18</f>
        <v>1398388</v>
      </c>
      <c r="X17" s="126" t="s">
        <v>287</v>
      </c>
    </row>
    <row r="18" spans="1:24" ht="93" customHeight="1" x14ac:dyDescent="0.25">
      <c r="A18" s="120" t="s">
        <v>238</v>
      </c>
      <c r="B18" s="121" t="s">
        <v>122</v>
      </c>
      <c r="C18" s="121" t="s">
        <v>123</v>
      </c>
      <c r="D18" s="138" t="s">
        <v>544</v>
      </c>
      <c r="E18" s="121"/>
      <c r="F18" s="121"/>
      <c r="G18" s="121"/>
      <c r="H18" s="121"/>
      <c r="I18" s="121"/>
      <c r="J18" s="121"/>
      <c r="K18" s="121"/>
      <c r="L18" s="121"/>
      <c r="M18" s="121"/>
      <c r="N18" s="121"/>
      <c r="O18" s="121"/>
      <c r="P18" s="121"/>
      <c r="Q18" s="121"/>
      <c r="R18" s="121"/>
      <c r="S18" s="121"/>
      <c r="T18" s="120" t="s">
        <v>238</v>
      </c>
      <c r="U18" s="122">
        <f>U19+U20+U21</f>
        <v>1608157.22</v>
      </c>
      <c r="V18" s="122">
        <f>V19+V20+V21</f>
        <v>1608157.22</v>
      </c>
      <c r="W18" s="122">
        <f>W19+W20+W21</f>
        <v>1608157.1199999999</v>
      </c>
      <c r="X18" s="120" t="s">
        <v>238</v>
      </c>
    </row>
    <row r="19" spans="1:24" ht="223.35" customHeight="1" x14ac:dyDescent="0.25">
      <c r="A19" s="126" t="s">
        <v>288</v>
      </c>
      <c r="B19" s="124" t="s">
        <v>122</v>
      </c>
      <c r="C19" s="124" t="s">
        <v>123</v>
      </c>
      <c r="D19" s="138" t="s">
        <v>544</v>
      </c>
      <c r="E19" s="124"/>
      <c r="F19" s="124"/>
      <c r="G19" s="124"/>
      <c r="H19" s="124"/>
      <c r="I19" s="124"/>
      <c r="J19" s="124"/>
      <c r="K19" s="124"/>
      <c r="L19" s="124"/>
      <c r="M19" s="124"/>
      <c r="N19" s="124"/>
      <c r="O19" s="124"/>
      <c r="P19" s="124"/>
      <c r="Q19" s="124"/>
      <c r="R19" s="124"/>
      <c r="S19" s="124" t="s">
        <v>38</v>
      </c>
      <c r="T19" s="123" t="s">
        <v>288</v>
      </c>
      <c r="U19" s="122">
        <f>П6ВСР!Z20</f>
        <v>1377587.25</v>
      </c>
      <c r="V19" s="122">
        <f>П6ВСР!AA20</f>
        <v>1377587.25</v>
      </c>
      <c r="W19" s="122">
        <f>П6ВСР!AB20</f>
        <v>1377587.25</v>
      </c>
      <c r="X19" s="126" t="s">
        <v>288</v>
      </c>
    </row>
    <row r="20" spans="1:24" ht="130.35" customHeight="1" x14ac:dyDescent="0.25">
      <c r="A20" s="120" t="s">
        <v>289</v>
      </c>
      <c r="B20" s="140" t="s">
        <v>122</v>
      </c>
      <c r="C20" s="140" t="s">
        <v>123</v>
      </c>
      <c r="D20" s="138" t="s">
        <v>544</v>
      </c>
      <c r="E20" s="140"/>
      <c r="F20" s="140"/>
      <c r="G20" s="140"/>
      <c r="H20" s="140"/>
      <c r="I20" s="140"/>
      <c r="J20" s="140"/>
      <c r="K20" s="140"/>
      <c r="L20" s="140"/>
      <c r="M20" s="140"/>
      <c r="N20" s="140"/>
      <c r="O20" s="140"/>
      <c r="P20" s="140"/>
      <c r="Q20" s="140"/>
      <c r="R20" s="140"/>
      <c r="S20" s="140" t="s">
        <v>290</v>
      </c>
      <c r="T20" s="139" t="s">
        <v>289</v>
      </c>
      <c r="U20" s="122">
        <f>П6ВСР!Z21</f>
        <v>222573.32</v>
      </c>
      <c r="V20" s="122">
        <f>П6ВСР!AA21</f>
        <v>222573.32</v>
      </c>
      <c r="W20" s="122">
        <f>П6ВСР!AB21</f>
        <v>222573.22</v>
      </c>
      <c r="X20" s="120" t="s">
        <v>289</v>
      </c>
    </row>
    <row r="21" spans="1:24" ht="111.75" customHeight="1" x14ac:dyDescent="0.25">
      <c r="A21" s="120" t="s">
        <v>291</v>
      </c>
      <c r="B21" s="140" t="s">
        <v>122</v>
      </c>
      <c r="C21" s="140" t="s">
        <v>123</v>
      </c>
      <c r="D21" s="138" t="s">
        <v>544</v>
      </c>
      <c r="E21" s="140"/>
      <c r="F21" s="140"/>
      <c r="G21" s="140"/>
      <c r="H21" s="140"/>
      <c r="I21" s="140"/>
      <c r="J21" s="140"/>
      <c r="K21" s="140"/>
      <c r="L21" s="140"/>
      <c r="M21" s="140"/>
      <c r="N21" s="140"/>
      <c r="O21" s="140"/>
      <c r="P21" s="140"/>
      <c r="Q21" s="140"/>
      <c r="R21" s="140"/>
      <c r="S21" s="140" t="s">
        <v>243</v>
      </c>
      <c r="T21" s="125" t="s">
        <v>291</v>
      </c>
      <c r="U21" s="122">
        <f>П6ВСР!Z22</f>
        <v>7996.65</v>
      </c>
      <c r="V21" s="122">
        <f>П6ВСР!AA22</f>
        <v>7996.65</v>
      </c>
      <c r="W21" s="122">
        <f>П6ВСР!AB22</f>
        <v>7996.65</v>
      </c>
      <c r="X21" s="120" t="s">
        <v>291</v>
      </c>
    </row>
    <row r="22" spans="1:24" ht="92.25" customHeight="1" x14ac:dyDescent="0.25">
      <c r="A22" s="120" t="s">
        <v>249</v>
      </c>
      <c r="B22" s="189" t="s">
        <v>122</v>
      </c>
      <c r="C22" s="189" t="s">
        <v>136</v>
      </c>
      <c r="D22" s="143"/>
      <c r="E22" s="191"/>
      <c r="F22" s="191"/>
      <c r="G22" s="191"/>
      <c r="H22" s="191"/>
      <c r="I22" s="191"/>
      <c r="J22" s="191"/>
      <c r="K22" s="191"/>
      <c r="L22" s="191"/>
      <c r="M22" s="191"/>
      <c r="N22" s="191"/>
      <c r="O22" s="191"/>
      <c r="P22" s="191"/>
      <c r="Q22" s="191"/>
      <c r="R22" s="191"/>
      <c r="S22" s="191"/>
      <c r="T22" s="190" t="s">
        <v>249</v>
      </c>
      <c r="U22" s="183">
        <f>U23+U25+U31+U29</f>
        <v>30217711.690000001</v>
      </c>
      <c r="V22" s="183">
        <f>V23+V25+V31+V29</f>
        <v>30325711.680000003</v>
      </c>
      <c r="W22" s="183">
        <f>W23+W25+W31+W29</f>
        <v>30325711.680000003</v>
      </c>
      <c r="X22" s="120" t="s">
        <v>249</v>
      </c>
    </row>
    <row r="23" spans="1:24" ht="117.75" hidden="1" customHeight="1" x14ac:dyDescent="0.25">
      <c r="A23" s="120" t="s">
        <v>292</v>
      </c>
      <c r="B23" s="121" t="s">
        <v>122</v>
      </c>
      <c r="C23" s="121" t="s">
        <v>136</v>
      </c>
      <c r="D23" s="138" t="s">
        <v>545</v>
      </c>
      <c r="E23" s="121"/>
      <c r="F23" s="121"/>
      <c r="G23" s="121"/>
      <c r="H23" s="121"/>
      <c r="I23" s="121"/>
      <c r="J23" s="121"/>
      <c r="K23" s="121"/>
      <c r="L23" s="121"/>
      <c r="M23" s="121"/>
      <c r="N23" s="121"/>
      <c r="O23" s="121"/>
      <c r="P23" s="121"/>
      <c r="Q23" s="121"/>
      <c r="R23" s="121"/>
      <c r="S23" s="121"/>
      <c r="T23" s="162" t="s">
        <v>631</v>
      </c>
      <c r="U23" s="122">
        <f>U24</f>
        <v>0</v>
      </c>
      <c r="V23" s="122">
        <f>V24</f>
        <v>0</v>
      </c>
      <c r="W23" s="122">
        <f>W24</f>
        <v>0</v>
      </c>
      <c r="X23" s="120" t="s">
        <v>292</v>
      </c>
    </row>
    <row r="24" spans="1:24" ht="111.75" hidden="1" customHeight="1" x14ac:dyDescent="0.25">
      <c r="A24" s="120" t="s">
        <v>293</v>
      </c>
      <c r="B24" s="124" t="s">
        <v>122</v>
      </c>
      <c r="C24" s="124" t="s">
        <v>136</v>
      </c>
      <c r="D24" s="138" t="s">
        <v>545</v>
      </c>
      <c r="E24" s="124"/>
      <c r="F24" s="124"/>
      <c r="G24" s="124"/>
      <c r="H24" s="124"/>
      <c r="I24" s="124"/>
      <c r="J24" s="124"/>
      <c r="K24" s="124"/>
      <c r="L24" s="124"/>
      <c r="M24" s="124"/>
      <c r="N24" s="124"/>
      <c r="O24" s="124"/>
      <c r="P24" s="124"/>
      <c r="Q24" s="124"/>
      <c r="R24" s="124"/>
      <c r="S24" s="124" t="s">
        <v>290</v>
      </c>
      <c r="T24" s="139" t="s">
        <v>293</v>
      </c>
      <c r="U24" s="122">
        <f>П6ВСР!Z25</f>
        <v>0</v>
      </c>
      <c r="V24" s="122">
        <f>П6ВСР!AA25</f>
        <v>0</v>
      </c>
      <c r="W24" s="122">
        <f>П6ВСР!AB25</f>
        <v>0</v>
      </c>
      <c r="X24" s="120" t="s">
        <v>293</v>
      </c>
    </row>
    <row r="25" spans="1:24" ht="156.75" customHeight="1" x14ac:dyDescent="0.25">
      <c r="A25" s="120" t="s">
        <v>294</v>
      </c>
      <c r="B25" s="121" t="s">
        <v>122</v>
      </c>
      <c r="C25" s="121" t="s">
        <v>136</v>
      </c>
      <c r="D25" s="138" t="s">
        <v>546</v>
      </c>
      <c r="E25" s="121"/>
      <c r="F25" s="121"/>
      <c r="G25" s="121"/>
      <c r="H25" s="121"/>
      <c r="I25" s="121"/>
      <c r="J25" s="121"/>
      <c r="K25" s="121"/>
      <c r="L25" s="121"/>
      <c r="M25" s="121"/>
      <c r="N25" s="121"/>
      <c r="O25" s="121"/>
      <c r="P25" s="121"/>
      <c r="Q25" s="121"/>
      <c r="R25" s="121"/>
      <c r="S25" s="121"/>
      <c r="T25" s="162" t="s">
        <v>632</v>
      </c>
      <c r="U25" s="122">
        <f>U26+U27+U28</f>
        <v>30067711.690000001</v>
      </c>
      <c r="V25" s="122">
        <f>V26+V27+V28</f>
        <v>30067711.680000003</v>
      </c>
      <c r="W25" s="122">
        <f>W26+W27+W28</f>
        <v>30067711.680000003</v>
      </c>
      <c r="X25" s="120" t="s">
        <v>294</v>
      </c>
    </row>
    <row r="26" spans="1:24" ht="146.25" customHeight="1" x14ac:dyDescent="0.25">
      <c r="A26" s="126" t="s">
        <v>295</v>
      </c>
      <c r="B26" s="124" t="s">
        <v>122</v>
      </c>
      <c r="C26" s="124" t="s">
        <v>136</v>
      </c>
      <c r="D26" s="138" t="s">
        <v>546</v>
      </c>
      <c r="E26" s="124"/>
      <c r="F26" s="124"/>
      <c r="G26" s="124"/>
      <c r="H26" s="124"/>
      <c r="I26" s="124"/>
      <c r="J26" s="124"/>
      <c r="K26" s="124"/>
      <c r="L26" s="124"/>
      <c r="M26" s="124"/>
      <c r="N26" s="124"/>
      <c r="O26" s="124"/>
      <c r="P26" s="124"/>
      <c r="Q26" s="124"/>
      <c r="R26" s="124"/>
      <c r="S26" s="124" t="s">
        <v>38</v>
      </c>
      <c r="T26" s="164" t="s">
        <v>295</v>
      </c>
      <c r="U26" s="122">
        <f>П6ВСР!Z27</f>
        <v>25408394.010000002</v>
      </c>
      <c r="V26" s="122">
        <f>П6ВСР!AA27</f>
        <v>25408394.010000002</v>
      </c>
      <c r="W26" s="122">
        <f>П6ВСР!AB27</f>
        <v>25408394.010000002</v>
      </c>
      <c r="X26" s="126" t="s">
        <v>295</v>
      </c>
    </row>
    <row r="27" spans="1:24" ht="93" customHeight="1" x14ac:dyDescent="0.25">
      <c r="A27" s="120" t="s">
        <v>296</v>
      </c>
      <c r="B27" s="124" t="s">
        <v>122</v>
      </c>
      <c r="C27" s="124" t="s">
        <v>136</v>
      </c>
      <c r="D27" s="138" t="s">
        <v>546</v>
      </c>
      <c r="E27" s="124"/>
      <c r="F27" s="124"/>
      <c r="G27" s="124"/>
      <c r="H27" s="124"/>
      <c r="I27" s="124"/>
      <c r="J27" s="124"/>
      <c r="K27" s="124"/>
      <c r="L27" s="124"/>
      <c r="M27" s="124"/>
      <c r="N27" s="124"/>
      <c r="O27" s="124"/>
      <c r="P27" s="124"/>
      <c r="Q27" s="124"/>
      <c r="R27" s="124"/>
      <c r="S27" s="124" t="s">
        <v>290</v>
      </c>
      <c r="T27" s="139" t="s">
        <v>296</v>
      </c>
      <c r="U27" s="122">
        <f>П6ВСР!Z28</f>
        <v>4393266.4799999995</v>
      </c>
      <c r="V27" s="122">
        <f>П6ВСР!AA28</f>
        <v>4393266.4799999995</v>
      </c>
      <c r="W27" s="122">
        <f>П6ВСР!AB28</f>
        <v>4393266.4799999995</v>
      </c>
      <c r="X27" s="120" t="s">
        <v>296</v>
      </c>
    </row>
    <row r="28" spans="1:24" ht="73.5" customHeight="1" x14ac:dyDescent="0.25">
      <c r="A28" s="120" t="s">
        <v>297</v>
      </c>
      <c r="B28" s="124" t="s">
        <v>122</v>
      </c>
      <c r="C28" s="124" t="s">
        <v>136</v>
      </c>
      <c r="D28" s="138" t="s">
        <v>546</v>
      </c>
      <c r="E28" s="124"/>
      <c r="F28" s="124"/>
      <c r="G28" s="124"/>
      <c r="H28" s="124"/>
      <c r="I28" s="124"/>
      <c r="J28" s="124"/>
      <c r="K28" s="124"/>
      <c r="L28" s="124"/>
      <c r="M28" s="124"/>
      <c r="N28" s="124"/>
      <c r="O28" s="124"/>
      <c r="P28" s="124"/>
      <c r="Q28" s="124"/>
      <c r="R28" s="124"/>
      <c r="S28" s="124" t="s">
        <v>243</v>
      </c>
      <c r="T28" s="125" t="s">
        <v>297</v>
      </c>
      <c r="U28" s="122">
        <f>П6ВСР!Z29</f>
        <v>266051.20000000001</v>
      </c>
      <c r="V28" s="122">
        <f>П6ВСР!AA29</f>
        <v>266051.19</v>
      </c>
      <c r="W28" s="122">
        <f>П6ВСР!AB29</f>
        <v>266051.19</v>
      </c>
      <c r="X28" s="120" t="s">
        <v>297</v>
      </c>
    </row>
    <row r="29" spans="1:24" s="317" customFormat="1" ht="0.75" customHeight="1" x14ac:dyDescent="0.25">
      <c r="A29" s="256"/>
      <c r="B29" s="140" t="s">
        <v>122</v>
      </c>
      <c r="C29" s="140" t="s">
        <v>136</v>
      </c>
      <c r="D29" s="263" t="s">
        <v>998</v>
      </c>
      <c r="E29" s="140"/>
      <c r="F29" s="140"/>
      <c r="G29" s="140"/>
      <c r="H29" s="140"/>
      <c r="I29" s="140"/>
      <c r="J29" s="140"/>
      <c r="K29" s="140"/>
      <c r="L29" s="140"/>
      <c r="M29" s="140"/>
      <c r="N29" s="140"/>
      <c r="O29" s="140"/>
      <c r="P29" s="140"/>
      <c r="Q29" s="140"/>
      <c r="R29" s="140"/>
      <c r="S29" s="140"/>
      <c r="T29" s="162" t="s">
        <v>999</v>
      </c>
      <c r="U29" s="247">
        <f>U30</f>
        <v>0</v>
      </c>
      <c r="V29" s="247">
        <f t="shared" ref="V29:W29" si="1">V30</f>
        <v>0</v>
      </c>
      <c r="W29" s="247">
        <f t="shared" si="1"/>
        <v>0</v>
      </c>
      <c r="X29" s="256"/>
    </row>
    <row r="30" spans="1:24" s="317" customFormat="1" ht="93.75" hidden="1" customHeight="1" x14ac:dyDescent="0.25">
      <c r="A30" s="256"/>
      <c r="B30" s="140" t="s">
        <v>122</v>
      </c>
      <c r="C30" s="140" t="s">
        <v>136</v>
      </c>
      <c r="D30" s="263" t="s">
        <v>998</v>
      </c>
      <c r="E30" s="140"/>
      <c r="F30" s="140"/>
      <c r="G30" s="140"/>
      <c r="H30" s="140"/>
      <c r="I30" s="140"/>
      <c r="J30" s="140"/>
      <c r="K30" s="140"/>
      <c r="L30" s="140"/>
      <c r="M30" s="140"/>
      <c r="N30" s="140"/>
      <c r="O30" s="140"/>
      <c r="P30" s="140"/>
      <c r="Q30" s="140"/>
      <c r="R30" s="140"/>
      <c r="S30" s="140" t="s">
        <v>290</v>
      </c>
      <c r="T30" s="139" t="s">
        <v>296</v>
      </c>
      <c r="U30" s="247">
        <v>0</v>
      </c>
      <c r="V30" s="247">
        <v>0</v>
      </c>
      <c r="W30" s="247">
        <v>0</v>
      </c>
      <c r="X30" s="256"/>
    </row>
    <row r="31" spans="1:24" ht="79.5" customHeight="1" x14ac:dyDescent="0.25">
      <c r="A31" s="120" t="s">
        <v>298</v>
      </c>
      <c r="B31" s="121" t="s">
        <v>122</v>
      </c>
      <c r="C31" s="121" t="s">
        <v>136</v>
      </c>
      <c r="D31" s="138" t="s">
        <v>547</v>
      </c>
      <c r="E31" s="121"/>
      <c r="F31" s="121"/>
      <c r="G31" s="121"/>
      <c r="H31" s="121"/>
      <c r="I31" s="121"/>
      <c r="J31" s="121"/>
      <c r="K31" s="121"/>
      <c r="L31" s="121"/>
      <c r="M31" s="121"/>
      <c r="N31" s="121"/>
      <c r="O31" s="121"/>
      <c r="P31" s="121"/>
      <c r="Q31" s="121"/>
      <c r="R31" s="121"/>
      <c r="S31" s="121"/>
      <c r="T31" s="120" t="s">
        <v>298</v>
      </c>
      <c r="U31" s="122">
        <f>U32+U33</f>
        <v>150000</v>
      </c>
      <c r="V31" s="122">
        <f>V32+V33</f>
        <v>258000</v>
      </c>
      <c r="W31" s="122">
        <f>W32+W33</f>
        <v>258000</v>
      </c>
      <c r="X31" s="120" t="s">
        <v>298</v>
      </c>
    </row>
    <row r="32" spans="1:24" ht="180" customHeight="1" x14ac:dyDescent="0.25">
      <c r="A32" s="126" t="s">
        <v>299</v>
      </c>
      <c r="B32" s="124" t="s">
        <v>122</v>
      </c>
      <c r="C32" s="124" t="s">
        <v>136</v>
      </c>
      <c r="D32" s="138" t="s">
        <v>547</v>
      </c>
      <c r="E32" s="124"/>
      <c r="F32" s="124"/>
      <c r="G32" s="124"/>
      <c r="H32" s="124"/>
      <c r="I32" s="124"/>
      <c r="J32" s="124"/>
      <c r="K32" s="124"/>
      <c r="L32" s="124"/>
      <c r="M32" s="124"/>
      <c r="N32" s="124"/>
      <c r="O32" s="124"/>
      <c r="P32" s="124"/>
      <c r="Q32" s="124"/>
      <c r="R32" s="124"/>
      <c r="S32" s="124" t="s">
        <v>38</v>
      </c>
      <c r="T32" s="164" t="s">
        <v>299</v>
      </c>
      <c r="U32" s="122">
        <f>П6ВСР!Z33</f>
        <v>100000</v>
      </c>
      <c r="V32" s="122">
        <f>П6ВСР!AA33</f>
        <v>160000</v>
      </c>
      <c r="W32" s="122">
        <f>П6ВСР!AB33</f>
        <v>160000</v>
      </c>
      <c r="X32" s="126" t="s">
        <v>299</v>
      </c>
    </row>
    <row r="33" spans="1:24" ht="124.5" customHeight="1" x14ac:dyDescent="0.25">
      <c r="A33" s="120" t="s">
        <v>300</v>
      </c>
      <c r="B33" s="124" t="s">
        <v>122</v>
      </c>
      <c r="C33" s="124" t="s">
        <v>136</v>
      </c>
      <c r="D33" s="138" t="s">
        <v>547</v>
      </c>
      <c r="E33" s="124"/>
      <c r="F33" s="124"/>
      <c r="G33" s="124"/>
      <c r="H33" s="124"/>
      <c r="I33" s="124"/>
      <c r="J33" s="124"/>
      <c r="K33" s="124"/>
      <c r="L33" s="124"/>
      <c r="M33" s="124"/>
      <c r="N33" s="124"/>
      <c r="O33" s="124"/>
      <c r="P33" s="124"/>
      <c r="Q33" s="124"/>
      <c r="R33" s="124"/>
      <c r="S33" s="124" t="s">
        <v>290</v>
      </c>
      <c r="T33" s="139" t="s">
        <v>300</v>
      </c>
      <c r="U33" s="122">
        <f>П6ВСР!Z34</f>
        <v>50000</v>
      </c>
      <c r="V33" s="122">
        <f>П6ВСР!AA34</f>
        <v>98000</v>
      </c>
      <c r="W33" s="122">
        <f>П6ВСР!AB34</f>
        <v>98000</v>
      </c>
      <c r="X33" s="120" t="s">
        <v>300</v>
      </c>
    </row>
    <row r="34" spans="1:24" ht="45.75" customHeight="1" x14ac:dyDescent="0.25">
      <c r="A34" s="120" t="s">
        <v>137</v>
      </c>
      <c r="B34" s="121" t="s">
        <v>122</v>
      </c>
      <c r="C34" s="121" t="s">
        <v>124</v>
      </c>
      <c r="D34" s="121"/>
      <c r="E34" s="121"/>
      <c r="F34" s="121"/>
      <c r="G34" s="121"/>
      <c r="H34" s="121"/>
      <c r="I34" s="121"/>
      <c r="J34" s="121"/>
      <c r="K34" s="121"/>
      <c r="L34" s="121"/>
      <c r="M34" s="121"/>
      <c r="N34" s="121"/>
      <c r="O34" s="121"/>
      <c r="P34" s="121"/>
      <c r="Q34" s="121"/>
      <c r="R34" s="121"/>
      <c r="S34" s="121"/>
      <c r="T34" s="118" t="s">
        <v>137</v>
      </c>
      <c r="U34" s="122">
        <f t="shared" ref="U34:W35" si="2">U35</f>
        <v>328200</v>
      </c>
      <c r="V34" s="122">
        <f t="shared" si="2"/>
        <v>22000</v>
      </c>
      <c r="W34" s="122">
        <f t="shared" si="2"/>
        <v>35400</v>
      </c>
      <c r="X34" s="120" t="s">
        <v>137</v>
      </c>
    </row>
    <row r="35" spans="1:24" ht="83.25" customHeight="1" x14ac:dyDescent="0.25">
      <c r="A35" s="120" t="s">
        <v>230</v>
      </c>
      <c r="B35" s="172" t="s">
        <v>122</v>
      </c>
      <c r="C35" s="172" t="s">
        <v>124</v>
      </c>
      <c r="D35" s="172" t="s">
        <v>728</v>
      </c>
      <c r="E35" s="172"/>
      <c r="F35" s="172"/>
      <c r="G35" s="172"/>
      <c r="H35" s="172"/>
      <c r="I35" s="172"/>
      <c r="J35" s="172"/>
      <c r="K35" s="172"/>
      <c r="L35" s="172"/>
      <c r="M35" s="172"/>
      <c r="N35" s="172"/>
      <c r="O35" s="172"/>
      <c r="P35" s="172"/>
      <c r="Q35" s="172"/>
      <c r="R35" s="172"/>
      <c r="S35" s="172"/>
      <c r="T35" s="414" t="s">
        <v>230</v>
      </c>
      <c r="U35" s="122">
        <f t="shared" si="2"/>
        <v>328200</v>
      </c>
      <c r="V35" s="122">
        <f t="shared" si="2"/>
        <v>22000</v>
      </c>
      <c r="W35" s="122">
        <f t="shared" si="2"/>
        <v>35400</v>
      </c>
      <c r="X35" s="120" t="s">
        <v>230</v>
      </c>
    </row>
    <row r="36" spans="1:24" ht="120" customHeight="1" x14ac:dyDescent="0.25">
      <c r="A36" s="120" t="s">
        <v>301</v>
      </c>
      <c r="B36" s="140" t="s">
        <v>122</v>
      </c>
      <c r="C36" s="140" t="s">
        <v>124</v>
      </c>
      <c r="D36" s="172" t="s">
        <v>728</v>
      </c>
      <c r="E36" s="140"/>
      <c r="F36" s="140"/>
      <c r="G36" s="140"/>
      <c r="H36" s="140"/>
      <c r="I36" s="140"/>
      <c r="J36" s="140"/>
      <c r="K36" s="140"/>
      <c r="L36" s="140"/>
      <c r="M36" s="140"/>
      <c r="N36" s="140"/>
      <c r="O36" s="140"/>
      <c r="P36" s="140"/>
      <c r="Q36" s="140"/>
      <c r="R36" s="140"/>
      <c r="S36" s="140" t="s">
        <v>290</v>
      </c>
      <c r="T36" s="472" t="s">
        <v>301</v>
      </c>
      <c r="U36" s="122">
        <f>П6ВСР!Z37</f>
        <v>328200</v>
      </c>
      <c r="V36" s="122">
        <f>П6ВСР!AA37</f>
        <v>22000</v>
      </c>
      <c r="W36" s="122">
        <f>П6ВСР!AB37</f>
        <v>35400</v>
      </c>
      <c r="X36" s="120" t="s">
        <v>301</v>
      </c>
    </row>
    <row r="37" spans="1:24" ht="77.25" customHeight="1" x14ac:dyDescent="0.25">
      <c r="A37" s="120" t="s">
        <v>250</v>
      </c>
      <c r="B37" s="189" t="s">
        <v>122</v>
      </c>
      <c r="C37" s="189" t="s">
        <v>125</v>
      </c>
      <c r="D37" s="189"/>
      <c r="E37" s="189"/>
      <c r="F37" s="189"/>
      <c r="G37" s="189"/>
      <c r="H37" s="189"/>
      <c r="I37" s="189"/>
      <c r="J37" s="189"/>
      <c r="K37" s="189"/>
      <c r="L37" s="189"/>
      <c r="M37" s="189"/>
      <c r="N37" s="189"/>
      <c r="O37" s="189"/>
      <c r="P37" s="189"/>
      <c r="Q37" s="189"/>
      <c r="R37" s="189"/>
      <c r="S37" s="189"/>
      <c r="T37" s="190" t="s">
        <v>250</v>
      </c>
      <c r="U37" s="183">
        <f>U38+U42+U44</f>
        <v>12346449.779999999</v>
      </c>
      <c r="V37" s="183">
        <f>V38+V42+V44</f>
        <v>12346449.779999999</v>
      </c>
      <c r="W37" s="183">
        <f>W38+W42+W44</f>
        <v>12346449.779999999</v>
      </c>
      <c r="X37" s="120" t="s">
        <v>250</v>
      </c>
    </row>
    <row r="38" spans="1:24" ht="159.75" customHeight="1" x14ac:dyDescent="0.25">
      <c r="A38" s="120" t="s">
        <v>431</v>
      </c>
      <c r="B38" s="172" t="s">
        <v>122</v>
      </c>
      <c r="C38" s="172" t="s">
        <v>125</v>
      </c>
      <c r="D38" s="172" t="s">
        <v>678</v>
      </c>
      <c r="E38" s="172"/>
      <c r="F38" s="172"/>
      <c r="G38" s="172"/>
      <c r="H38" s="172"/>
      <c r="I38" s="172"/>
      <c r="J38" s="172"/>
      <c r="K38" s="172"/>
      <c r="L38" s="172"/>
      <c r="M38" s="172"/>
      <c r="N38" s="172"/>
      <c r="O38" s="172"/>
      <c r="P38" s="172"/>
      <c r="Q38" s="172"/>
      <c r="R38" s="172"/>
      <c r="S38" s="172"/>
      <c r="T38" s="162" t="s">
        <v>677</v>
      </c>
      <c r="U38" s="122">
        <f>U39+U40+U41</f>
        <v>11216270.77</v>
      </c>
      <c r="V38" s="122">
        <f>V39+V40+V41</f>
        <v>11216270.77</v>
      </c>
      <c r="W38" s="122">
        <f>W39+W40+W41</f>
        <v>11216270.77</v>
      </c>
      <c r="X38" s="120" t="s">
        <v>431</v>
      </c>
    </row>
    <row r="39" spans="1:24" ht="148.5" customHeight="1" x14ac:dyDescent="0.25">
      <c r="A39" s="120" t="s">
        <v>432</v>
      </c>
      <c r="B39" s="140" t="s">
        <v>122</v>
      </c>
      <c r="C39" s="140" t="s">
        <v>125</v>
      </c>
      <c r="D39" s="172" t="s">
        <v>678</v>
      </c>
      <c r="E39" s="140"/>
      <c r="F39" s="140"/>
      <c r="G39" s="140"/>
      <c r="H39" s="140"/>
      <c r="I39" s="140"/>
      <c r="J39" s="140"/>
      <c r="K39" s="140"/>
      <c r="L39" s="140"/>
      <c r="M39" s="140"/>
      <c r="N39" s="140"/>
      <c r="O39" s="140"/>
      <c r="P39" s="140"/>
      <c r="Q39" s="140"/>
      <c r="R39" s="140"/>
      <c r="S39" s="140" t="s">
        <v>38</v>
      </c>
      <c r="T39" s="139" t="s">
        <v>432</v>
      </c>
      <c r="U39" s="122">
        <f>П6ВСР!Z271</f>
        <v>10572778.77</v>
      </c>
      <c r="V39" s="122">
        <f>П6ВСР!AA271</f>
        <v>10572778.77</v>
      </c>
      <c r="W39" s="122">
        <f>П6ВСР!AB271</f>
        <v>10572778.77</v>
      </c>
      <c r="X39" s="120" t="s">
        <v>432</v>
      </c>
    </row>
    <row r="40" spans="1:24" ht="93" customHeight="1" x14ac:dyDescent="0.25">
      <c r="A40" s="120" t="s">
        <v>433</v>
      </c>
      <c r="B40" s="140" t="s">
        <v>122</v>
      </c>
      <c r="C40" s="140" t="s">
        <v>125</v>
      </c>
      <c r="D40" s="172" t="s">
        <v>678</v>
      </c>
      <c r="E40" s="140"/>
      <c r="F40" s="140"/>
      <c r="G40" s="140"/>
      <c r="H40" s="140"/>
      <c r="I40" s="140"/>
      <c r="J40" s="140"/>
      <c r="K40" s="140"/>
      <c r="L40" s="140"/>
      <c r="M40" s="140"/>
      <c r="N40" s="140"/>
      <c r="O40" s="140"/>
      <c r="P40" s="140"/>
      <c r="Q40" s="140"/>
      <c r="R40" s="140"/>
      <c r="S40" s="140" t="s">
        <v>290</v>
      </c>
      <c r="T40" s="139" t="s">
        <v>433</v>
      </c>
      <c r="U40" s="122">
        <f>П6ВСР!Z272</f>
        <v>641492</v>
      </c>
      <c r="V40" s="122">
        <f>П6ВСР!AA272</f>
        <v>641492</v>
      </c>
      <c r="W40" s="122">
        <f>П6ВСР!AB272</f>
        <v>641492</v>
      </c>
      <c r="X40" s="120" t="s">
        <v>433</v>
      </c>
    </row>
    <row r="41" spans="1:24" ht="55.9" customHeight="1" x14ac:dyDescent="0.25">
      <c r="A41" s="120" t="s">
        <v>434</v>
      </c>
      <c r="B41" s="140" t="s">
        <v>122</v>
      </c>
      <c r="C41" s="140" t="s">
        <v>125</v>
      </c>
      <c r="D41" s="172" t="s">
        <v>678</v>
      </c>
      <c r="E41" s="140"/>
      <c r="F41" s="140"/>
      <c r="G41" s="140"/>
      <c r="H41" s="140"/>
      <c r="I41" s="140"/>
      <c r="J41" s="140"/>
      <c r="K41" s="140"/>
      <c r="L41" s="140"/>
      <c r="M41" s="140"/>
      <c r="N41" s="140"/>
      <c r="O41" s="140"/>
      <c r="P41" s="140"/>
      <c r="Q41" s="140"/>
      <c r="R41" s="140"/>
      <c r="S41" s="140" t="s">
        <v>243</v>
      </c>
      <c r="T41" s="139" t="s">
        <v>434</v>
      </c>
      <c r="U41" s="122">
        <f>П6ВСР!Z273</f>
        <v>2000</v>
      </c>
      <c r="V41" s="122">
        <f>П6ВСР!AA273</f>
        <v>2000</v>
      </c>
      <c r="W41" s="122">
        <f>П6ВСР!AB273</f>
        <v>2000</v>
      </c>
      <c r="X41" s="120" t="s">
        <v>434</v>
      </c>
    </row>
    <row r="42" spans="1:24" ht="111.75" customHeight="1" x14ac:dyDescent="0.25">
      <c r="A42" s="120" t="s">
        <v>435</v>
      </c>
      <c r="B42" s="172" t="s">
        <v>122</v>
      </c>
      <c r="C42" s="172" t="s">
        <v>125</v>
      </c>
      <c r="D42" s="172" t="s">
        <v>680</v>
      </c>
      <c r="E42" s="172"/>
      <c r="F42" s="172"/>
      <c r="G42" s="172"/>
      <c r="H42" s="172"/>
      <c r="I42" s="172"/>
      <c r="J42" s="172"/>
      <c r="K42" s="172"/>
      <c r="L42" s="172"/>
      <c r="M42" s="172"/>
      <c r="N42" s="172"/>
      <c r="O42" s="172"/>
      <c r="P42" s="172"/>
      <c r="Q42" s="172"/>
      <c r="R42" s="172"/>
      <c r="S42" s="172"/>
      <c r="T42" s="162" t="s">
        <v>679</v>
      </c>
      <c r="U42" s="122">
        <f>U43</f>
        <v>576000</v>
      </c>
      <c r="V42" s="122">
        <f>V43</f>
        <v>576000</v>
      </c>
      <c r="W42" s="122">
        <f>W43</f>
        <v>576000</v>
      </c>
      <c r="X42" s="120" t="s">
        <v>435</v>
      </c>
    </row>
    <row r="43" spans="1:24" ht="213" customHeight="1" x14ac:dyDescent="0.25">
      <c r="A43" s="126" t="s">
        <v>436</v>
      </c>
      <c r="B43" s="140" t="s">
        <v>122</v>
      </c>
      <c r="C43" s="140" t="s">
        <v>125</v>
      </c>
      <c r="D43" s="172" t="s">
        <v>680</v>
      </c>
      <c r="E43" s="140"/>
      <c r="F43" s="140"/>
      <c r="G43" s="140"/>
      <c r="H43" s="140"/>
      <c r="I43" s="140"/>
      <c r="J43" s="140"/>
      <c r="K43" s="140"/>
      <c r="L43" s="140"/>
      <c r="M43" s="140"/>
      <c r="N43" s="140"/>
      <c r="O43" s="140"/>
      <c r="P43" s="140"/>
      <c r="Q43" s="140"/>
      <c r="R43" s="140"/>
      <c r="S43" s="140" t="s">
        <v>38</v>
      </c>
      <c r="T43" s="164" t="s">
        <v>436</v>
      </c>
      <c r="U43" s="122">
        <f>П6ВСР!Z275</f>
        <v>576000</v>
      </c>
      <c r="V43" s="122">
        <f>П6ВСР!AA275</f>
        <v>576000</v>
      </c>
      <c r="W43" s="122">
        <f>П6ВСР!AB275</f>
        <v>576000</v>
      </c>
      <c r="X43" s="126" t="s">
        <v>436</v>
      </c>
    </row>
    <row r="44" spans="1:24" ht="74.45" customHeight="1" x14ac:dyDescent="0.25">
      <c r="A44" s="120" t="s">
        <v>239</v>
      </c>
      <c r="B44" s="121" t="s">
        <v>122</v>
      </c>
      <c r="C44" s="121" t="s">
        <v>125</v>
      </c>
      <c r="D44" s="138" t="s">
        <v>548</v>
      </c>
      <c r="E44" s="121"/>
      <c r="F44" s="121"/>
      <c r="G44" s="121"/>
      <c r="H44" s="121"/>
      <c r="I44" s="121"/>
      <c r="J44" s="121"/>
      <c r="K44" s="121"/>
      <c r="L44" s="121"/>
      <c r="M44" s="121"/>
      <c r="N44" s="121"/>
      <c r="O44" s="121"/>
      <c r="P44" s="121"/>
      <c r="Q44" s="121"/>
      <c r="R44" s="121"/>
      <c r="S44" s="121"/>
      <c r="T44" s="120" t="s">
        <v>239</v>
      </c>
      <c r="U44" s="122">
        <f>U45</f>
        <v>554179.01</v>
      </c>
      <c r="V44" s="122">
        <f>V45</f>
        <v>554179.01</v>
      </c>
      <c r="W44" s="122">
        <f>W45</f>
        <v>554179.01</v>
      </c>
      <c r="X44" s="120" t="s">
        <v>239</v>
      </c>
    </row>
    <row r="45" spans="1:24" ht="204" customHeight="1" x14ac:dyDescent="0.25">
      <c r="A45" s="126" t="s">
        <v>302</v>
      </c>
      <c r="B45" s="124" t="s">
        <v>122</v>
      </c>
      <c r="C45" s="124" t="s">
        <v>125</v>
      </c>
      <c r="D45" s="138" t="s">
        <v>548</v>
      </c>
      <c r="E45" s="124"/>
      <c r="F45" s="124"/>
      <c r="G45" s="124"/>
      <c r="H45" s="124"/>
      <c r="I45" s="124"/>
      <c r="J45" s="124"/>
      <c r="K45" s="124"/>
      <c r="L45" s="124"/>
      <c r="M45" s="124"/>
      <c r="N45" s="124"/>
      <c r="O45" s="124"/>
      <c r="P45" s="124"/>
      <c r="Q45" s="124"/>
      <c r="R45" s="124"/>
      <c r="S45" s="124" t="s">
        <v>38</v>
      </c>
      <c r="T45" s="123" t="s">
        <v>302</v>
      </c>
      <c r="U45" s="122">
        <f>П6ВСР!Z40</f>
        <v>554179.01</v>
      </c>
      <c r="V45" s="122">
        <f>П6ВСР!AA40</f>
        <v>554179.01</v>
      </c>
      <c r="W45" s="122">
        <f>П6ВСР!AB40</f>
        <v>554179.01</v>
      </c>
      <c r="X45" s="126" t="s">
        <v>302</v>
      </c>
    </row>
    <row r="46" spans="1:24" ht="160.5" hidden="1" customHeight="1" x14ac:dyDescent="0.25">
      <c r="A46" s="126"/>
      <c r="B46" s="179" t="s">
        <v>122</v>
      </c>
      <c r="C46" s="179" t="s">
        <v>138</v>
      </c>
      <c r="D46" s="138" t="s">
        <v>799</v>
      </c>
      <c r="E46" s="124"/>
      <c r="F46" s="124"/>
      <c r="G46" s="124"/>
      <c r="H46" s="124"/>
      <c r="I46" s="124"/>
      <c r="J46" s="124"/>
      <c r="K46" s="124"/>
      <c r="L46" s="124"/>
      <c r="M46" s="124"/>
      <c r="N46" s="124"/>
      <c r="O46" s="124"/>
      <c r="P46" s="124"/>
      <c r="Q46" s="124"/>
      <c r="R46" s="124"/>
      <c r="S46" s="124"/>
      <c r="T46" s="350" t="s">
        <v>798</v>
      </c>
      <c r="U46" s="122">
        <f>U47</f>
        <v>0</v>
      </c>
      <c r="V46" s="122">
        <f>V47</f>
        <v>0</v>
      </c>
      <c r="W46" s="122">
        <f>W47</f>
        <v>0</v>
      </c>
      <c r="X46" s="126"/>
    </row>
    <row r="47" spans="1:24" ht="38.25" hidden="1" customHeight="1" x14ac:dyDescent="0.25">
      <c r="A47" s="126"/>
      <c r="B47" s="179" t="s">
        <v>122</v>
      </c>
      <c r="C47" s="179" t="s">
        <v>138</v>
      </c>
      <c r="D47" s="138" t="s">
        <v>799</v>
      </c>
      <c r="E47" s="124"/>
      <c r="F47" s="124"/>
      <c r="G47" s="124"/>
      <c r="H47" s="124"/>
      <c r="I47" s="124"/>
      <c r="J47" s="124"/>
      <c r="K47" s="124"/>
      <c r="L47" s="124"/>
      <c r="M47" s="124"/>
      <c r="N47" s="124"/>
      <c r="O47" s="124"/>
      <c r="P47" s="124"/>
      <c r="Q47" s="124"/>
      <c r="R47" s="124"/>
      <c r="S47" s="180" t="s">
        <v>243</v>
      </c>
      <c r="T47" s="197" t="s">
        <v>735</v>
      </c>
      <c r="U47" s="122">
        <f>П6ВСР!Z43</f>
        <v>0</v>
      </c>
      <c r="V47" s="122">
        <f>П6ВСР!AA43</f>
        <v>0</v>
      </c>
      <c r="W47" s="122">
        <f>П6ВСР!AB43</f>
        <v>0</v>
      </c>
      <c r="X47" s="126"/>
    </row>
    <row r="48" spans="1:24" ht="18.600000000000001" customHeight="1" x14ac:dyDescent="0.25">
      <c r="A48" s="120" t="s">
        <v>140</v>
      </c>
      <c r="B48" s="192" t="s">
        <v>122</v>
      </c>
      <c r="C48" s="192" t="s">
        <v>128</v>
      </c>
      <c r="D48" s="192"/>
      <c r="E48" s="192"/>
      <c r="F48" s="192"/>
      <c r="G48" s="192"/>
      <c r="H48" s="192"/>
      <c r="I48" s="192"/>
      <c r="J48" s="192"/>
      <c r="K48" s="192"/>
      <c r="L48" s="192"/>
      <c r="M48" s="192"/>
      <c r="N48" s="192"/>
      <c r="O48" s="192"/>
      <c r="P48" s="192"/>
      <c r="Q48" s="192"/>
      <c r="R48" s="192"/>
      <c r="S48" s="192"/>
      <c r="T48" s="190" t="s">
        <v>140</v>
      </c>
      <c r="U48" s="183">
        <f t="shared" ref="U48:W49" si="3">U49</f>
        <v>351931</v>
      </c>
      <c r="V48" s="183">
        <f t="shared" si="3"/>
        <v>351931</v>
      </c>
      <c r="W48" s="183">
        <f t="shared" si="3"/>
        <v>351931</v>
      </c>
      <c r="X48" s="120" t="s">
        <v>140</v>
      </c>
    </row>
    <row r="49" spans="1:24" ht="156.75" customHeight="1" x14ac:dyDescent="0.25">
      <c r="A49" s="120" t="s">
        <v>303</v>
      </c>
      <c r="B49" s="121" t="s">
        <v>122</v>
      </c>
      <c r="C49" s="121" t="s">
        <v>128</v>
      </c>
      <c r="D49" s="138" t="s">
        <v>549</v>
      </c>
      <c r="E49" s="121"/>
      <c r="F49" s="121"/>
      <c r="G49" s="121"/>
      <c r="H49" s="121"/>
      <c r="I49" s="121"/>
      <c r="J49" s="121"/>
      <c r="K49" s="121"/>
      <c r="L49" s="121"/>
      <c r="M49" s="121"/>
      <c r="N49" s="121"/>
      <c r="O49" s="121"/>
      <c r="P49" s="121"/>
      <c r="Q49" s="121"/>
      <c r="R49" s="121"/>
      <c r="S49" s="121"/>
      <c r="T49" s="162" t="s">
        <v>633</v>
      </c>
      <c r="U49" s="122">
        <f t="shared" si="3"/>
        <v>351931</v>
      </c>
      <c r="V49" s="122">
        <f t="shared" si="3"/>
        <v>351931</v>
      </c>
      <c r="W49" s="122">
        <f t="shared" si="3"/>
        <v>351931</v>
      </c>
      <c r="X49" s="120" t="s">
        <v>303</v>
      </c>
    </row>
    <row r="50" spans="1:24" ht="78" customHeight="1" x14ac:dyDescent="0.25">
      <c r="A50" s="120" t="s">
        <v>304</v>
      </c>
      <c r="B50" s="124" t="s">
        <v>122</v>
      </c>
      <c r="C50" s="124" t="s">
        <v>128</v>
      </c>
      <c r="D50" s="138" t="s">
        <v>549</v>
      </c>
      <c r="E50" s="124"/>
      <c r="F50" s="124"/>
      <c r="G50" s="124"/>
      <c r="H50" s="124"/>
      <c r="I50" s="124"/>
      <c r="J50" s="124"/>
      <c r="K50" s="124"/>
      <c r="L50" s="124"/>
      <c r="M50" s="124"/>
      <c r="N50" s="124"/>
      <c r="O50" s="124"/>
      <c r="P50" s="124"/>
      <c r="Q50" s="124"/>
      <c r="R50" s="124"/>
      <c r="S50" s="124" t="s">
        <v>243</v>
      </c>
      <c r="T50" s="139" t="s">
        <v>304</v>
      </c>
      <c r="U50" s="122">
        <f>П6ВСР!Z46</f>
        <v>351931</v>
      </c>
      <c r="V50" s="122">
        <f>П6ВСР!AA46</f>
        <v>351931</v>
      </c>
      <c r="W50" s="122">
        <f>П6ВСР!AB46</f>
        <v>351931</v>
      </c>
      <c r="X50" s="120" t="s">
        <v>304</v>
      </c>
    </row>
    <row r="51" spans="1:24" ht="36" customHeight="1" x14ac:dyDescent="0.25">
      <c r="A51" s="120" t="s">
        <v>141</v>
      </c>
      <c r="B51" s="192" t="s">
        <v>122</v>
      </c>
      <c r="C51" s="192" t="s">
        <v>130</v>
      </c>
      <c r="D51" s="192"/>
      <c r="E51" s="192"/>
      <c r="F51" s="192"/>
      <c r="G51" s="192"/>
      <c r="H51" s="192"/>
      <c r="I51" s="192"/>
      <c r="J51" s="192"/>
      <c r="K51" s="192"/>
      <c r="L51" s="192"/>
      <c r="M51" s="192"/>
      <c r="N51" s="192"/>
      <c r="O51" s="192"/>
      <c r="P51" s="192"/>
      <c r="Q51" s="192"/>
      <c r="R51" s="192"/>
      <c r="S51" s="192"/>
      <c r="T51" s="190" t="s">
        <v>141</v>
      </c>
      <c r="U51" s="183">
        <f>U52+U54+U58+U61+U75+U80+U67+U82+U63+U78+U65+U69+U72</f>
        <v>28012547.189999998</v>
      </c>
      <c r="V51" s="183">
        <f>V52+V54+V58+V61+V75+V80+V67+V82+V63+V78+V65+V69+V72</f>
        <v>28041189.960000001</v>
      </c>
      <c r="W51" s="183">
        <f>W52+W54+W58+W61+W75+W80+W67+W82+W63+W78+W65+W69+W72</f>
        <v>28380054.119999997</v>
      </c>
      <c r="X51" s="120" t="s">
        <v>141</v>
      </c>
    </row>
    <row r="52" spans="1:24" ht="123.75" hidden="1" customHeight="1" x14ac:dyDescent="0.25">
      <c r="A52" s="120" t="s">
        <v>305</v>
      </c>
      <c r="B52" s="121" t="s">
        <v>122</v>
      </c>
      <c r="C52" s="121" t="s">
        <v>130</v>
      </c>
      <c r="D52" s="138" t="s">
        <v>550</v>
      </c>
      <c r="E52" s="121"/>
      <c r="F52" s="121"/>
      <c r="G52" s="121"/>
      <c r="H52" s="121"/>
      <c r="I52" s="121"/>
      <c r="J52" s="121"/>
      <c r="K52" s="121"/>
      <c r="L52" s="121"/>
      <c r="M52" s="121"/>
      <c r="N52" s="121"/>
      <c r="O52" s="121"/>
      <c r="P52" s="121"/>
      <c r="Q52" s="121"/>
      <c r="R52" s="121"/>
      <c r="S52" s="121"/>
      <c r="T52" s="162" t="s">
        <v>634</v>
      </c>
      <c r="U52" s="122">
        <f>U53</f>
        <v>0</v>
      </c>
      <c r="V52" s="122">
        <f>V53</f>
        <v>0</v>
      </c>
      <c r="W52" s="122">
        <f>W53</f>
        <v>0</v>
      </c>
      <c r="X52" s="120" t="s">
        <v>305</v>
      </c>
    </row>
    <row r="53" spans="1:24" ht="129.75" hidden="1" customHeight="1" x14ac:dyDescent="0.25">
      <c r="A53" s="120" t="s">
        <v>306</v>
      </c>
      <c r="B53" s="124" t="s">
        <v>122</v>
      </c>
      <c r="C53" s="124" t="s">
        <v>130</v>
      </c>
      <c r="D53" s="138" t="s">
        <v>550</v>
      </c>
      <c r="E53" s="124"/>
      <c r="F53" s="124"/>
      <c r="G53" s="124"/>
      <c r="H53" s="124"/>
      <c r="I53" s="124"/>
      <c r="J53" s="124"/>
      <c r="K53" s="124"/>
      <c r="L53" s="124"/>
      <c r="M53" s="124"/>
      <c r="N53" s="124"/>
      <c r="O53" s="124"/>
      <c r="P53" s="124"/>
      <c r="Q53" s="124"/>
      <c r="R53" s="124"/>
      <c r="S53" s="124" t="s">
        <v>290</v>
      </c>
      <c r="T53" s="139" t="s">
        <v>306</v>
      </c>
      <c r="U53" s="122">
        <f>П6ВСР!Z49</f>
        <v>0</v>
      </c>
      <c r="V53" s="122">
        <f>П6ВСР!AA49</f>
        <v>0</v>
      </c>
      <c r="W53" s="122">
        <f>П6ВСР!AB49</f>
        <v>0</v>
      </c>
      <c r="X53" s="120" t="s">
        <v>306</v>
      </c>
    </row>
    <row r="54" spans="1:24" ht="190.5" customHeight="1" x14ac:dyDescent="0.25">
      <c r="A54" s="120" t="s">
        <v>495</v>
      </c>
      <c r="B54" s="172" t="s">
        <v>122</v>
      </c>
      <c r="C54" s="172" t="s">
        <v>130</v>
      </c>
      <c r="D54" s="172" t="s">
        <v>714</v>
      </c>
      <c r="E54" s="172"/>
      <c r="F54" s="172"/>
      <c r="G54" s="172"/>
      <c r="H54" s="172"/>
      <c r="I54" s="172"/>
      <c r="J54" s="172"/>
      <c r="K54" s="172"/>
      <c r="L54" s="172"/>
      <c r="M54" s="172"/>
      <c r="N54" s="172"/>
      <c r="O54" s="172"/>
      <c r="P54" s="172"/>
      <c r="Q54" s="172"/>
      <c r="R54" s="172"/>
      <c r="S54" s="172"/>
      <c r="T54" s="162" t="s">
        <v>713</v>
      </c>
      <c r="U54" s="122">
        <f>U55+U56+U57</f>
        <v>5824792.2800000003</v>
      </c>
      <c r="V54" s="122">
        <f>V55+V56+V57</f>
        <v>5824792.2800000003</v>
      </c>
      <c r="W54" s="122">
        <f>W55+W56+W57</f>
        <v>5824792.2800000003</v>
      </c>
      <c r="X54" s="120" t="s">
        <v>495</v>
      </c>
    </row>
    <row r="55" spans="1:24" ht="163.5" customHeight="1" x14ac:dyDescent="0.25">
      <c r="A55" s="126" t="s">
        <v>496</v>
      </c>
      <c r="B55" s="140" t="s">
        <v>122</v>
      </c>
      <c r="C55" s="140" t="s">
        <v>130</v>
      </c>
      <c r="D55" s="172" t="s">
        <v>714</v>
      </c>
      <c r="E55" s="140"/>
      <c r="F55" s="140"/>
      <c r="G55" s="140"/>
      <c r="H55" s="140"/>
      <c r="I55" s="140"/>
      <c r="J55" s="140"/>
      <c r="K55" s="140"/>
      <c r="L55" s="140"/>
      <c r="M55" s="140"/>
      <c r="N55" s="140"/>
      <c r="O55" s="140"/>
      <c r="P55" s="140"/>
      <c r="Q55" s="140"/>
      <c r="R55" s="140"/>
      <c r="S55" s="140" t="s">
        <v>38</v>
      </c>
      <c r="T55" s="164" t="s">
        <v>496</v>
      </c>
      <c r="U55" s="122">
        <f>П6ВСР!Z439</f>
        <v>5586537.2800000003</v>
      </c>
      <c r="V55" s="122">
        <f>П6ВСР!AA439</f>
        <v>5586537.2800000003</v>
      </c>
      <c r="W55" s="122">
        <f>П6ВСР!AB439</f>
        <v>5586537.2800000003</v>
      </c>
      <c r="X55" s="126" t="s">
        <v>496</v>
      </c>
    </row>
    <row r="56" spans="1:24" ht="111.75" customHeight="1" x14ac:dyDescent="0.25">
      <c r="A56" s="120" t="s">
        <v>497</v>
      </c>
      <c r="B56" s="140" t="s">
        <v>122</v>
      </c>
      <c r="C56" s="140" t="s">
        <v>130</v>
      </c>
      <c r="D56" s="172" t="s">
        <v>714</v>
      </c>
      <c r="E56" s="140"/>
      <c r="F56" s="140"/>
      <c r="G56" s="140"/>
      <c r="H56" s="140"/>
      <c r="I56" s="140"/>
      <c r="J56" s="140"/>
      <c r="K56" s="140"/>
      <c r="L56" s="140"/>
      <c r="M56" s="140"/>
      <c r="N56" s="140"/>
      <c r="O56" s="140"/>
      <c r="P56" s="140"/>
      <c r="Q56" s="140"/>
      <c r="R56" s="140"/>
      <c r="S56" s="140" t="s">
        <v>290</v>
      </c>
      <c r="T56" s="139" t="s">
        <v>497</v>
      </c>
      <c r="U56" s="122">
        <f>П6ВСР!Z440</f>
        <v>234874</v>
      </c>
      <c r="V56" s="122">
        <f>П6ВСР!AA440</f>
        <v>234874</v>
      </c>
      <c r="W56" s="122">
        <f>П6ВСР!AB440</f>
        <v>234874</v>
      </c>
      <c r="X56" s="120" t="s">
        <v>497</v>
      </c>
    </row>
    <row r="57" spans="1:24" ht="86.25" customHeight="1" x14ac:dyDescent="0.25">
      <c r="A57" s="120" t="s">
        <v>498</v>
      </c>
      <c r="B57" s="140" t="s">
        <v>122</v>
      </c>
      <c r="C57" s="140" t="s">
        <v>130</v>
      </c>
      <c r="D57" s="172" t="s">
        <v>714</v>
      </c>
      <c r="E57" s="140"/>
      <c r="F57" s="140"/>
      <c r="G57" s="140"/>
      <c r="H57" s="140"/>
      <c r="I57" s="140"/>
      <c r="J57" s="140"/>
      <c r="K57" s="140"/>
      <c r="L57" s="140"/>
      <c r="M57" s="140"/>
      <c r="N57" s="140"/>
      <c r="O57" s="140"/>
      <c r="P57" s="140"/>
      <c r="Q57" s="140"/>
      <c r="R57" s="140"/>
      <c r="S57" s="140" t="s">
        <v>243</v>
      </c>
      <c r="T57" s="139" t="s">
        <v>498</v>
      </c>
      <c r="U57" s="122">
        <f>П6ВСР!Z441</f>
        <v>3381</v>
      </c>
      <c r="V57" s="122">
        <f>П6ВСР!AA441</f>
        <v>3381</v>
      </c>
      <c r="W57" s="122">
        <f>П6ВСР!AB441</f>
        <v>3381</v>
      </c>
      <c r="X57" s="120" t="s">
        <v>498</v>
      </c>
    </row>
    <row r="58" spans="1:24" ht="204.75" customHeight="1" x14ac:dyDescent="0.25">
      <c r="A58" s="120" t="s">
        <v>499</v>
      </c>
      <c r="B58" s="172" t="s">
        <v>122</v>
      </c>
      <c r="C58" s="172" t="s">
        <v>130</v>
      </c>
      <c r="D58" s="172" t="s">
        <v>716</v>
      </c>
      <c r="E58" s="172"/>
      <c r="F58" s="172"/>
      <c r="G58" s="172"/>
      <c r="H58" s="172"/>
      <c r="I58" s="172"/>
      <c r="J58" s="172"/>
      <c r="K58" s="172"/>
      <c r="L58" s="172"/>
      <c r="M58" s="172"/>
      <c r="N58" s="172"/>
      <c r="O58" s="172"/>
      <c r="P58" s="172"/>
      <c r="Q58" s="172"/>
      <c r="R58" s="172"/>
      <c r="S58" s="172"/>
      <c r="T58" s="162" t="s">
        <v>715</v>
      </c>
      <c r="U58" s="122">
        <f>U59+U60</f>
        <v>3526325.07</v>
      </c>
      <c r="V58" s="122">
        <f>V59+V60</f>
        <v>3541989.53</v>
      </c>
      <c r="W58" s="122">
        <f>W59+W60</f>
        <v>3541989.53</v>
      </c>
      <c r="X58" s="120" t="s">
        <v>499</v>
      </c>
    </row>
    <row r="59" spans="1:24" ht="148.9" customHeight="1" x14ac:dyDescent="0.25">
      <c r="A59" s="120" t="s">
        <v>500</v>
      </c>
      <c r="B59" s="140" t="s">
        <v>122</v>
      </c>
      <c r="C59" s="140" t="s">
        <v>130</v>
      </c>
      <c r="D59" s="172" t="s">
        <v>716</v>
      </c>
      <c r="E59" s="140"/>
      <c r="F59" s="140"/>
      <c r="G59" s="140"/>
      <c r="H59" s="140"/>
      <c r="I59" s="140"/>
      <c r="J59" s="140"/>
      <c r="K59" s="140"/>
      <c r="L59" s="140"/>
      <c r="M59" s="140"/>
      <c r="N59" s="140"/>
      <c r="O59" s="140"/>
      <c r="P59" s="140"/>
      <c r="Q59" s="140"/>
      <c r="R59" s="140"/>
      <c r="S59" s="140" t="s">
        <v>290</v>
      </c>
      <c r="T59" s="139" t="s">
        <v>717</v>
      </c>
      <c r="U59" s="122">
        <f>П6ВСР!Z443</f>
        <v>3478199.07</v>
      </c>
      <c r="V59" s="122">
        <f>П6ВСР!AA443</f>
        <v>3493863.53</v>
      </c>
      <c r="W59" s="122">
        <f>П6ВСР!AB443</f>
        <v>3493863.53</v>
      </c>
      <c r="X59" s="120" t="s">
        <v>500</v>
      </c>
    </row>
    <row r="60" spans="1:24" ht="110.25" customHeight="1" x14ac:dyDescent="0.25">
      <c r="A60" s="120"/>
      <c r="B60" s="140" t="s">
        <v>122</v>
      </c>
      <c r="C60" s="140" t="s">
        <v>130</v>
      </c>
      <c r="D60" s="172" t="s">
        <v>716</v>
      </c>
      <c r="E60" s="140"/>
      <c r="F60" s="140"/>
      <c r="G60" s="140"/>
      <c r="H60" s="140"/>
      <c r="I60" s="140"/>
      <c r="J60" s="140"/>
      <c r="K60" s="140"/>
      <c r="L60" s="140"/>
      <c r="M60" s="140"/>
      <c r="N60" s="140"/>
      <c r="O60" s="140"/>
      <c r="P60" s="140"/>
      <c r="Q60" s="140"/>
      <c r="R60" s="140"/>
      <c r="S60" s="140" t="s">
        <v>243</v>
      </c>
      <c r="T60" s="139" t="s">
        <v>498</v>
      </c>
      <c r="U60" s="122">
        <f>П6ВСР!Z444</f>
        <v>48126</v>
      </c>
      <c r="V60" s="122">
        <f>П6ВСР!AA444</f>
        <v>48126</v>
      </c>
      <c r="W60" s="122">
        <f>П6ВСР!AB444</f>
        <v>48126</v>
      </c>
      <c r="X60" s="120"/>
    </row>
    <row r="61" spans="1:24" ht="187.5" customHeight="1" x14ac:dyDescent="0.25">
      <c r="A61" s="120" t="s">
        <v>307</v>
      </c>
      <c r="B61" s="121" t="s">
        <v>122</v>
      </c>
      <c r="C61" s="121" t="s">
        <v>130</v>
      </c>
      <c r="D61" s="138" t="s">
        <v>551</v>
      </c>
      <c r="E61" s="121"/>
      <c r="F61" s="121"/>
      <c r="G61" s="121"/>
      <c r="H61" s="121"/>
      <c r="I61" s="121"/>
      <c r="J61" s="121"/>
      <c r="K61" s="121"/>
      <c r="L61" s="121"/>
      <c r="M61" s="121"/>
      <c r="N61" s="121"/>
      <c r="O61" s="121"/>
      <c r="P61" s="121"/>
      <c r="Q61" s="121"/>
      <c r="R61" s="121"/>
      <c r="S61" s="121"/>
      <c r="T61" s="162" t="s">
        <v>635</v>
      </c>
      <c r="U61" s="122">
        <f>U62</f>
        <v>16930229.84</v>
      </c>
      <c r="V61" s="122">
        <f>V62</f>
        <v>16943208.149999999</v>
      </c>
      <c r="W61" s="122">
        <f>W62</f>
        <v>17282072.309999999</v>
      </c>
      <c r="X61" s="120" t="s">
        <v>307</v>
      </c>
    </row>
    <row r="62" spans="1:24" ht="135.75" customHeight="1" x14ac:dyDescent="0.25">
      <c r="A62" s="126" t="s">
        <v>308</v>
      </c>
      <c r="B62" s="124" t="s">
        <v>122</v>
      </c>
      <c r="C62" s="124" t="s">
        <v>130</v>
      </c>
      <c r="D62" s="263" t="s">
        <v>551</v>
      </c>
      <c r="E62" s="124"/>
      <c r="F62" s="124"/>
      <c r="G62" s="124"/>
      <c r="H62" s="124"/>
      <c r="I62" s="124"/>
      <c r="J62" s="124"/>
      <c r="K62" s="124"/>
      <c r="L62" s="124"/>
      <c r="M62" s="124"/>
      <c r="N62" s="124"/>
      <c r="O62" s="124"/>
      <c r="P62" s="124"/>
      <c r="Q62" s="124"/>
      <c r="R62" s="124"/>
      <c r="S62" s="124" t="s">
        <v>309</v>
      </c>
      <c r="T62" s="164" t="s">
        <v>308</v>
      </c>
      <c r="U62" s="122">
        <f>П6ВСР!Z51</f>
        <v>16930229.84</v>
      </c>
      <c r="V62" s="122">
        <f>П6ВСР!AA51</f>
        <v>16943208.149999999</v>
      </c>
      <c r="W62" s="122">
        <f>П6ВСР!AB51</f>
        <v>17282072.309999999</v>
      </c>
      <c r="X62" s="126" t="s">
        <v>308</v>
      </c>
    </row>
    <row r="63" spans="1:24" ht="1.5" hidden="1" customHeight="1" x14ac:dyDescent="0.25">
      <c r="A63" s="126"/>
      <c r="B63" s="124" t="s">
        <v>122</v>
      </c>
      <c r="C63" s="124" t="s">
        <v>130</v>
      </c>
      <c r="D63" s="263" t="s">
        <v>873</v>
      </c>
      <c r="E63" s="124"/>
      <c r="F63" s="124"/>
      <c r="G63" s="124"/>
      <c r="H63" s="124"/>
      <c r="I63" s="124"/>
      <c r="J63" s="124"/>
      <c r="K63" s="124"/>
      <c r="L63" s="124"/>
      <c r="M63" s="124"/>
      <c r="N63" s="124"/>
      <c r="O63" s="124"/>
      <c r="P63" s="124"/>
      <c r="Q63" s="124"/>
      <c r="R63" s="124"/>
      <c r="S63" s="124"/>
      <c r="T63" s="366" t="s">
        <v>872</v>
      </c>
      <c r="U63" s="122">
        <f>U64</f>
        <v>0</v>
      </c>
      <c r="V63" s="122">
        <f>V64</f>
        <v>0</v>
      </c>
      <c r="W63" s="122">
        <f>W64</f>
        <v>0</v>
      </c>
      <c r="X63" s="126"/>
    </row>
    <row r="64" spans="1:24" ht="108" hidden="1" customHeight="1" x14ac:dyDescent="0.25">
      <c r="A64" s="126"/>
      <c r="B64" s="124" t="s">
        <v>122</v>
      </c>
      <c r="C64" s="124" t="s">
        <v>130</v>
      </c>
      <c r="D64" s="263" t="s">
        <v>873</v>
      </c>
      <c r="E64" s="124"/>
      <c r="F64" s="124"/>
      <c r="G64" s="124"/>
      <c r="H64" s="124"/>
      <c r="I64" s="124"/>
      <c r="J64" s="124"/>
      <c r="K64" s="124"/>
      <c r="L64" s="124"/>
      <c r="M64" s="124"/>
      <c r="N64" s="124"/>
      <c r="O64" s="124"/>
      <c r="P64" s="124"/>
      <c r="Q64" s="124"/>
      <c r="R64" s="124"/>
      <c r="S64" s="124" t="s">
        <v>243</v>
      </c>
      <c r="T64" s="139" t="s">
        <v>874</v>
      </c>
      <c r="U64" s="122">
        <f>П6ВСР!Z446</f>
        <v>0</v>
      </c>
      <c r="V64" s="122">
        <v>0</v>
      </c>
      <c r="W64" s="122">
        <v>0</v>
      </c>
      <c r="X64" s="126"/>
    </row>
    <row r="65" spans="1:24" ht="164.25" hidden="1" customHeight="1" x14ac:dyDescent="0.25">
      <c r="A65" s="126"/>
      <c r="B65" s="124" t="s">
        <v>122</v>
      </c>
      <c r="C65" s="124" t="s">
        <v>130</v>
      </c>
      <c r="D65" s="263" t="s">
        <v>919</v>
      </c>
      <c r="E65" s="124"/>
      <c r="F65" s="124"/>
      <c r="G65" s="124"/>
      <c r="H65" s="124"/>
      <c r="I65" s="124"/>
      <c r="J65" s="124"/>
      <c r="K65" s="124"/>
      <c r="L65" s="124"/>
      <c r="M65" s="124"/>
      <c r="N65" s="124"/>
      <c r="O65" s="124"/>
      <c r="P65" s="124"/>
      <c r="Q65" s="124"/>
      <c r="R65" s="124"/>
      <c r="S65" s="124"/>
      <c r="T65" s="290" t="s">
        <v>917</v>
      </c>
      <c r="U65" s="122">
        <f>U66</f>
        <v>0</v>
      </c>
      <c r="V65" s="122">
        <v>0</v>
      </c>
      <c r="W65" s="122">
        <v>0</v>
      </c>
      <c r="X65" s="126"/>
    </row>
    <row r="66" spans="1:24" ht="108" hidden="1" customHeight="1" x14ac:dyDescent="0.25">
      <c r="A66" s="126"/>
      <c r="B66" s="124" t="s">
        <v>122</v>
      </c>
      <c r="C66" s="124" t="s">
        <v>130</v>
      </c>
      <c r="D66" s="263" t="s">
        <v>919</v>
      </c>
      <c r="E66" s="124"/>
      <c r="F66" s="124"/>
      <c r="G66" s="124"/>
      <c r="H66" s="124"/>
      <c r="I66" s="124"/>
      <c r="J66" s="124"/>
      <c r="K66" s="124"/>
      <c r="L66" s="124"/>
      <c r="M66" s="124"/>
      <c r="N66" s="124"/>
      <c r="O66" s="124"/>
      <c r="P66" s="124"/>
      <c r="Q66" s="124"/>
      <c r="R66" s="124"/>
      <c r="S66" s="124" t="s">
        <v>243</v>
      </c>
      <c r="T66" s="164" t="s">
        <v>918</v>
      </c>
      <c r="U66" s="122">
        <f>П6ВСР!Z53</f>
        <v>0</v>
      </c>
      <c r="V66" s="122">
        <v>0</v>
      </c>
      <c r="W66" s="122">
        <v>0</v>
      </c>
      <c r="X66" s="126"/>
    </row>
    <row r="67" spans="1:24" ht="135.75" hidden="1" customHeight="1" x14ac:dyDescent="0.25">
      <c r="A67" s="126"/>
      <c r="B67" s="180" t="s">
        <v>122</v>
      </c>
      <c r="C67" s="180" t="s">
        <v>130</v>
      </c>
      <c r="D67" s="263" t="s">
        <v>856</v>
      </c>
      <c r="E67" s="124"/>
      <c r="F67" s="124"/>
      <c r="G67" s="124"/>
      <c r="H67" s="124"/>
      <c r="I67" s="124"/>
      <c r="J67" s="124"/>
      <c r="K67" s="124"/>
      <c r="L67" s="124"/>
      <c r="M67" s="124"/>
      <c r="N67" s="124"/>
      <c r="O67" s="124"/>
      <c r="P67" s="124"/>
      <c r="Q67" s="124"/>
      <c r="R67" s="124"/>
      <c r="S67" s="124"/>
      <c r="T67" s="165" t="s">
        <v>858</v>
      </c>
      <c r="U67" s="122">
        <f>U68</f>
        <v>0</v>
      </c>
      <c r="V67" s="122">
        <f>V68</f>
        <v>0</v>
      </c>
      <c r="W67" s="122">
        <f>W68</f>
        <v>0</v>
      </c>
      <c r="X67" s="126"/>
    </row>
    <row r="68" spans="1:24" ht="72.75" hidden="1" customHeight="1" x14ac:dyDescent="0.25">
      <c r="A68" s="126"/>
      <c r="B68" s="180" t="s">
        <v>122</v>
      </c>
      <c r="C68" s="180" t="s">
        <v>130</v>
      </c>
      <c r="D68" s="263" t="s">
        <v>856</v>
      </c>
      <c r="E68" s="124"/>
      <c r="F68" s="124"/>
      <c r="G68" s="124"/>
      <c r="H68" s="124"/>
      <c r="I68" s="124"/>
      <c r="J68" s="124"/>
      <c r="K68" s="124"/>
      <c r="L68" s="124"/>
      <c r="M68" s="124"/>
      <c r="N68" s="124"/>
      <c r="O68" s="124"/>
      <c r="P68" s="124"/>
      <c r="Q68" s="124"/>
      <c r="R68" s="124"/>
      <c r="S68" s="180" t="s">
        <v>309</v>
      </c>
      <c r="T68" s="164" t="s">
        <v>859</v>
      </c>
      <c r="U68" s="122">
        <f>П6ВСР!Z55</f>
        <v>0</v>
      </c>
      <c r="V68" s="122">
        <v>0</v>
      </c>
      <c r="W68" s="122">
        <v>0</v>
      </c>
      <c r="X68" s="126"/>
    </row>
    <row r="69" spans="1:24" ht="183.75" customHeight="1" x14ac:dyDescent="0.25">
      <c r="A69" s="126"/>
      <c r="B69" s="180" t="s">
        <v>122</v>
      </c>
      <c r="C69" s="180" t="s">
        <v>130</v>
      </c>
      <c r="D69" s="263" t="s">
        <v>1173</v>
      </c>
      <c r="E69" s="124"/>
      <c r="F69" s="124"/>
      <c r="G69" s="124"/>
      <c r="H69" s="124"/>
      <c r="I69" s="124"/>
      <c r="J69" s="124"/>
      <c r="K69" s="124"/>
      <c r="L69" s="124"/>
      <c r="M69" s="124"/>
      <c r="N69" s="124"/>
      <c r="O69" s="124"/>
      <c r="P69" s="124"/>
      <c r="Q69" s="124"/>
      <c r="R69" s="124"/>
      <c r="S69" s="180"/>
      <c r="T69" s="357" t="s">
        <v>1183</v>
      </c>
      <c r="U69" s="122">
        <f>U70+U71</f>
        <v>573400</v>
      </c>
      <c r="V69" s="122">
        <f>V70+V71</f>
        <v>573400</v>
      </c>
      <c r="W69" s="122">
        <f>W70+W71</f>
        <v>573400</v>
      </c>
      <c r="X69" s="126"/>
    </row>
    <row r="70" spans="1:24" ht="99" customHeight="1" x14ac:dyDescent="0.25">
      <c r="A70" s="126"/>
      <c r="B70" s="180" t="s">
        <v>122</v>
      </c>
      <c r="C70" s="180" t="s">
        <v>130</v>
      </c>
      <c r="D70" s="263" t="s">
        <v>1173</v>
      </c>
      <c r="E70" s="124"/>
      <c r="F70" s="124"/>
      <c r="G70" s="124"/>
      <c r="H70" s="124"/>
      <c r="I70" s="124"/>
      <c r="J70" s="124"/>
      <c r="K70" s="124"/>
      <c r="L70" s="124"/>
      <c r="M70" s="124"/>
      <c r="N70" s="124"/>
      <c r="O70" s="124"/>
      <c r="P70" s="124"/>
      <c r="Q70" s="124"/>
      <c r="R70" s="124"/>
      <c r="S70" s="124" t="s">
        <v>38</v>
      </c>
      <c r="T70" s="164" t="s">
        <v>815</v>
      </c>
      <c r="U70" s="122">
        <f>П6ВСР!Z57</f>
        <v>539687</v>
      </c>
      <c r="V70" s="122">
        <f>П6ВСР!AA57</f>
        <v>539687</v>
      </c>
      <c r="W70" s="122">
        <f>П6ВСР!AB57</f>
        <v>539687</v>
      </c>
      <c r="X70" s="126"/>
    </row>
    <row r="71" spans="1:24" ht="47.25" customHeight="1" x14ac:dyDescent="0.25">
      <c r="A71" s="126"/>
      <c r="B71" s="180" t="s">
        <v>122</v>
      </c>
      <c r="C71" s="180" t="s">
        <v>130</v>
      </c>
      <c r="D71" s="263" t="s">
        <v>1173</v>
      </c>
      <c r="E71" s="124"/>
      <c r="F71" s="124"/>
      <c r="G71" s="124"/>
      <c r="H71" s="124"/>
      <c r="I71" s="124"/>
      <c r="J71" s="124"/>
      <c r="K71" s="124"/>
      <c r="L71" s="124"/>
      <c r="M71" s="124"/>
      <c r="N71" s="124"/>
      <c r="O71" s="124"/>
      <c r="P71" s="124"/>
      <c r="Q71" s="124"/>
      <c r="R71" s="124"/>
      <c r="S71" s="124" t="s">
        <v>290</v>
      </c>
      <c r="T71" s="164" t="s">
        <v>587</v>
      </c>
      <c r="U71" s="122">
        <f>П6ВСР!Z58</f>
        <v>33713</v>
      </c>
      <c r="V71" s="122">
        <f>П6ВСР!AA58</f>
        <v>33713</v>
      </c>
      <c r="W71" s="122">
        <f>П6ВСР!AB58</f>
        <v>33713</v>
      </c>
      <c r="X71" s="126"/>
    </row>
    <row r="72" spans="1:24" ht="270.75" customHeight="1" x14ac:dyDescent="0.25">
      <c r="A72" s="126"/>
      <c r="B72" s="180" t="s">
        <v>122</v>
      </c>
      <c r="C72" s="180" t="s">
        <v>130</v>
      </c>
      <c r="D72" s="263" t="s">
        <v>1174</v>
      </c>
      <c r="E72" s="124"/>
      <c r="F72" s="124"/>
      <c r="G72" s="124"/>
      <c r="H72" s="124"/>
      <c r="I72" s="124"/>
      <c r="J72" s="124"/>
      <c r="K72" s="124"/>
      <c r="L72" s="124"/>
      <c r="M72" s="124"/>
      <c r="N72" s="124"/>
      <c r="O72" s="124"/>
      <c r="P72" s="124"/>
      <c r="Q72" s="124"/>
      <c r="R72" s="124"/>
      <c r="S72" s="180"/>
      <c r="T72" s="356" t="s">
        <v>1151</v>
      </c>
      <c r="U72" s="122">
        <f>U73+U74</f>
        <v>573400</v>
      </c>
      <c r="V72" s="122">
        <f>V73+V74</f>
        <v>573400</v>
      </c>
      <c r="W72" s="122">
        <f>W73+W74</f>
        <v>573400</v>
      </c>
      <c r="X72" s="126"/>
    </row>
    <row r="73" spans="1:24" ht="102.75" customHeight="1" x14ac:dyDescent="0.25">
      <c r="A73" s="126"/>
      <c r="B73" s="180" t="s">
        <v>122</v>
      </c>
      <c r="C73" s="180" t="s">
        <v>130</v>
      </c>
      <c r="D73" s="263" t="s">
        <v>1174</v>
      </c>
      <c r="E73" s="124"/>
      <c r="F73" s="124"/>
      <c r="G73" s="124"/>
      <c r="H73" s="124"/>
      <c r="I73" s="124"/>
      <c r="J73" s="124"/>
      <c r="K73" s="124"/>
      <c r="L73" s="124"/>
      <c r="M73" s="124"/>
      <c r="N73" s="124"/>
      <c r="O73" s="124"/>
      <c r="P73" s="124"/>
      <c r="Q73" s="124"/>
      <c r="R73" s="124"/>
      <c r="S73" s="180"/>
      <c r="T73" s="164" t="s">
        <v>816</v>
      </c>
      <c r="U73" s="122">
        <f>П6ВСР!Z60</f>
        <v>540519.57999999996</v>
      </c>
      <c r="V73" s="122">
        <f>П6ВСР!AA60</f>
        <v>540519.57999999996</v>
      </c>
      <c r="W73" s="122">
        <f>П6ВСР!AB60</f>
        <v>540519.57999999996</v>
      </c>
      <c r="X73" s="126"/>
    </row>
    <row r="74" spans="1:24" ht="72.75" customHeight="1" x14ac:dyDescent="0.25">
      <c r="A74" s="126"/>
      <c r="B74" s="180" t="s">
        <v>122</v>
      </c>
      <c r="C74" s="180" t="s">
        <v>130</v>
      </c>
      <c r="D74" s="263" t="s">
        <v>1174</v>
      </c>
      <c r="E74" s="124"/>
      <c r="F74" s="124"/>
      <c r="G74" s="124"/>
      <c r="H74" s="124"/>
      <c r="I74" s="124"/>
      <c r="J74" s="124"/>
      <c r="K74" s="124"/>
      <c r="L74" s="124"/>
      <c r="M74" s="124"/>
      <c r="N74" s="124"/>
      <c r="O74" s="124"/>
      <c r="P74" s="124"/>
      <c r="Q74" s="124"/>
      <c r="R74" s="124"/>
      <c r="S74" s="180"/>
      <c r="T74" s="164" t="s">
        <v>587</v>
      </c>
      <c r="U74" s="122">
        <f>П6ВСР!Z61</f>
        <v>32880.42</v>
      </c>
      <c r="V74" s="122">
        <f>П6ВСР!AA61</f>
        <v>32880.42</v>
      </c>
      <c r="W74" s="122">
        <f>П6ВСР!AB61</f>
        <v>32880.42</v>
      </c>
      <c r="X74" s="126"/>
    </row>
    <row r="75" spans="1:24" ht="219.75" customHeight="1" x14ac:dyDescent="0.25">
      <c r="A75" s="126" t="s">
        <v>231</v>
      </c>
      <c r="B75" s="138" t="s">
        <v>122</v>
      </c>
      <c r="C75" s="138" t="s">
        <v>130</v>
      </c>
      <c r="D75" s="138" t="s">
        <v>625</v>
      </c>
      <c r="E75" s="138"/>
      <c r="F75" s="138"/>
      <c r="G75" s="138"/>
      <c r="H75" s="138"/>
      <c r="I75" s="138"/>
      <c r="J75" s="138"/>
      <c r="K75" s="138"/>
      <c r="L75" s="138"/>
      <c r="M75" s="138"/>
      <c r="N75" s="138"/>
      <c r="O75" s="138"/>
      <c r="P75" s="138"/>
      <c r="Q75" s="138"/>
      <c r="R75" s="138"/>
      <c r="S75" s="138"/>
      <c r="T75" s="165" t="s">
        <v>813</v>
      </c>
      <c r="U75" s="122">
        <f>U76+U77</f>
        <v>584400</v>
      </c>
      <c r="V75" s="122">
        <f>V76+V77</f>
        <v>584400</v>
      </c>
      <c r="W75" s="122">
        <f>W76+W77</f>
        <v>584400</v>
      </c>
      <c r="X75" s="126" t="s">
        <v>231</v>
      </c>
    </row>
    <row r="76" spans="1:24" ht="103.5" customHeight="1" x14ac:dyDescent="0.25">
      <c r="A76" s="126" t="s">
        <v>310</v>
      </c>
      <c r="B76" s="144" t="s">
        <v>122</v>
      </c>
      <c r="C76" s="144" t="s">
        <v>130</v>
      </c>
      <c r="D76" s="138" t="s">
        <v>625</v>
      </c>
      <c r="E76" s="144"/>
      <c r="F76" s="144"/>
      <c r="G76" s="144"/>
      <c r="H76" s="144"/>
      <c r="I76" s="144"/>
      <c r="J76" s="144"/>
      <c r="K76" s="144"/>
      <c r="L76" s="144"/>
      <c r="M76" s="144"/>
      <c r="N76" s="144"/>
      <c r="O76" s="144"/>
      <c r="P76" s="144"/>
      <c r="Q76" s="144"/>
      <c r="R76" s="144"/>
      <c r="S76" s="144" t="s">
        <v>38</v>
      </c>
      <c r="T76" s="164" t="s">
        <v>815</v>
      </c>
      <c r="U76" s="122">
        <f>П6ВСР!Z63</f>
        <v>538300</v>
      </c>
      <c r="V76" s="122">
        <f>П6ВСР!AA63</f>
        <v>538300</v>
      </c>
      <c r="W76" s="122">
        <f>П6ВСР!AB63</f>
        <v>538300</v>
      </c>
      <c r="X76" s="126" t="s">
        <v>310</v>
      </c>
    </row>
    <row r="77" spans="1:24" ht="63.75" customHeight="1" x14ac:dyDescent="0.25">
      <c r="A77" s="126" t="s">
        <v>311</v>
      </c>
      <c r="B77" s="144" t="s">
        <v>122</v>
      </c>
      <c r="C77" s="144" t="s">
        <v>130</v>
      </c>
      <c r="D77" s="138" t="s">
        <v>625</v>
      </c>
      <c r="E77" s="144"/>
      <c r="F77" s="144"/>
      <c r="G77" s="144"/>
      <c r="H77" s="144"/>
      <c r="I77" s="144"/>
      <c r="J77" s="144"/>
      <c r="K77" s="144"/>
      <c r="L77" s="144"/>
      <c r="M77" s="144"/>
      <c r="N77" s="144"/>
      <c r="O77" s="144"/>
      <c r="P77" s="144"/>
      <c r="Q77" s="144"/>
      <c r="R77" s="144"/>
      <c r="S77" s="144" t="s">
        <v>290</v>
      </c>
      <c r="T77" s="164" t="s">
        <v>587</v>
      </c>
      <c r="U77" s="122">
        <f>П6ВСР!Z64</f>
        <v>46100</v>
      </c>
      <c r="V77" s="122">
        <f>П6ВСР!AA64</f>
        <v>46100</v>
      </c>
      <c r="W77" s="122">
        <f>П6ВСР!AB64</f>
        <v>46100</v>
      </c>
      <c r="X77" s="126" t="s">
        <v>311</v>
      </c>
    </row>
    <row r="78" spans="1:24" ht="87" hidden="1" customHeight="1" x14ac:dyDescent="0.25">
      <c r="A78" s="126"/>
      <c r="B78" s="144" t="s">
        <v>122</v>
      </c>
      <c r="C78" s="144" t="s">
        <v>130</v>
      </c>
      <c r="D78" s="263" t="s">
        <v>880</v>
      </c>
      <c r="E78" s="144"/>
      <c r="F78" s="144"/>
      <c r="G78" s="144"/>
      <c r="H78" s="144"/>
      <c r="I78" s="144"/>
      <c r="J78" s="144"/>
      <c r="K78" s="144"/>
      <c r="L78" s="144"/>
      <c r="M78" s="144"/>
      <c r="N78" s="144"/>
      <c r="O78" s="144"/>
      <c r="P78" s="144"/>
      <c r="Q78" s="144"/>
      <c r="R78" s="144"/>
      <c r="S78" s="144"/>
      <c r="T78" s="165" t="s">
        <v>878</v>
      </c>
      <c r="U78" s="122">
        <f>U79</f>
        <v>0</v>
      </c>
      <c r="V78" s="122">
        <v>0</v>
      </c>
      <c r="W78" s="122">
        <v>0</v>
      </c>
      <c r="X78" s="126"/>
    </row>
    <row r="79" spans="1:24" ht="54" hidden="1" customHeight="1" x14ac:dyDescent="0.25">
      <c r="A79" s="126"/>
      <c r="B79" s="144" t="s">
        <v>122</v>
      </c>
      <c r="C79" s="144" t="s">
        <v>130</v>
      </c>
      <c r="D79" s="263" t="s">
        <v>880</v>
      </c>
      <c r="E79" s="144"/>
      <c r="F79" s="144"/>
      <c r="G79" s="144"/>
      <c r="H79" s="144"/>
      <c r="I79" s="144"/>
      <c r="J79" s="144"/>
      <c r="K79" s="144"/>
      <c r="L79" s="144"/>
      <c r="M79" s="144"/>
      <c r="N79" s="144"/>
      <c r="O79" s="144"/>
      <c r="P79" s="144"/>
      <c r="Q79" s="144"/>
      <c r="R79" s="144"/>
      <c r="S79" s="144" t="s">
        <v>290</v>
      </c>
      <c r="T79" s="164" t="s">
        <v>879</v>
      </c>
      <c r="U79" s="122">
        <f>П6ВСР!Z66</f>
        <v>0</v>
      </c>
      <c r="V79" s="122">
        <v>0</v>
      </c>
      <c r="W79" s="122">
        <v>0</v>
      </c>
      <c r="X79" s="126"/>
    </row>
    <row r="80" spans="1:24" ht="66" hidden="1" customHeight="1" x14ac:dyDescent="0.25">
      <c r="A80" s="126"/>
      <c r="B80" s="144" t="s">
        <v>122</v>
      </c>
      <c r="C80" s="144" t="s">
        <v>130</v>
      </c>
      <c r="D80" s="138" t="s">
        <v>732</v>
      </c>
      <c r="E80" s="144"/>
      <c r="F80" s="144"/>
      <c r="G80" s="144"/>
      <c r="H80" s="144"/>
      <c r="I80" s="144"/>
      <c r="J80" s="144"/>
      <c r="K80" s="144"/>
      <c r="L80" s="144"/>
      <c r="M80" s="144"/>
      <c r="N80" s="144"/>
      <c r="O80" s="144"/>
      <c r="P80" s="144"/>
      <c r="Q80" s="144"/>
      <c r="R80" s="144"/>
      <c r="S80" s="144"/>
      <c r="T80" s="184" t="s">
        <v>731</v>
      </c>
      <c r="U80" s="122">
        <f>U81</f>
        <v>0</v>
      </c>
      <c r="V80" s="122">
        <f>V81</f>
        <v>0</v>
      </c>
      <c r="W80" s="122">
        <f>W81</f>
        <v>0</v>
      </c>
      <c r="X80" s="126"/>
    </row>
    <row r="81" spans="1:24" ht="84" hidden="1" customHeight="1" x14ac:dyDescent="0.25">
      <c r="A81" s="126"/>
      <c r="B81" s="144" t="s">
        <v>122</v>
      </c>
      <c r="C81" s="144" t="s">
        <v>130</v>
      </c>
      <c r="D81" s="138" t="s">
        <v>732</v>
      </c>
      <c r="E81" s="144"/>
      <c r="F81" s="144"/>
      <c r="G81" s="144"/>
      <c r="H81" s="144"/>
      <c r="I81" s="144"/>
      <c r="J81" s="144"/>
      <c r="K81" s="144"/>
      <c r="L81" s="144"/>
      <c r="M81" s="144"/>
      <c r="N81" s="144"/>
      <c r="O81" s="144"/>
      <c r="P81" s="144"/>
      <c r="Q81" s="144"/>
      <c r="R81" s="144"/>
      <c r="S81" s="144" t="s">
        <v>366</v>
      </c>
      <c r="T81" s="184" t="s">
        <v>733</v>
      </c>
      <c r="U81" s="122">
        <f>П6ВСР!Z68</f>
        <v>0</v>
      </c>
      <c r="V81" s="122">
        <f>П6ВСР!AA68</f>
        <v>0</v>
      </c>
      <c r="W81" s="122">
        <f>П6ВСР!AB68</f>
        <v>0</v>
      </c>
      <c r="X81" s="126"/>
    </row>
    <row r="82" spans="1:24" ht="43.5" hidden="1" customHeight="1" x14ac:dyDescent="0.25">
      <c r="A82" s="126"/>
      <c r="B82" s="144" t="s">
        <v>122</v>
      </c>
      <c r="C82" s="144" t="s">
        <v>130</v>
      </c>
      <c r="D82" s="263" t="s">
        <v>864</v>
      </c>
      <c r="E82" s="144"/>
      <c r="F82" s="144"/>
      <c r="G82" s="144"/>
      <c r="H82" s="144"/>
      <c r="I82" s="144"/>
      <c r="J82" s="144"/>
      <c r="K82" s="144"/>
      <c r="L82" s="144"/>
      <c r="M82" s="144"/>
      <c r="N82" s="144"/>
      <c r="O82" s="144"/>
      <c r="P82" s="144"/>
      <c r="Q82" s="144"/>
      <c r="R82" s="144"/>
      <c r="S82" s="144"/>
      <c r="T82" s="269" t="s">
        <v>141</v>
      </c>
      <c r="U82" s="122">
        <f>U83</f>
        <v>0</v>
      </c>
      <c r="V82" s="122">
        <v>0</v>
      </c>
      <c r="W82" s="122">
        <v>0</v>
      </c>
      <c r="X82" s="126"/>
    </row>
    <row r="83" spans="1:24" ht="84" hidden="1" customHeight="1" x14ac:dyDescent="0.25">
      <c r="A83" s="126"/>
      <c r="B83" s="144" t="s">
        <v>122</v>
      </c>
      <c r="C83" s="144" t="s">
        <v>130</v>
      </c>
      <c r="D83" s="263" t="s">
        <v>864</v>
      </c>
      <c r="E83" s="144"/>
      <c r="F83" s="144"/>
      <c r="G83" s="144"/>
      <c r="H83" s="144"/>
      <c r="I83" s="144"/>
      <c r="J83" s="144"/>
      <c r="K83" s="144"/>
      <c r="L83" s="144"/>
      <c r="M83" s="144"/>
      <c r="N83" s="144"/>
      <c r="O83" s="144"/>
      <c r="P83" s="144"/>
      <c r="Q83" s="144"/>
      <c r="R83" s="144"/>
      <c r="S83" s="144" t="s">
        <v>243</v>
      </c>
      <c r="T83" s="164" t="s">
        <v>863</v>
      </c>
      <c r="U83" s="122">
        <f>П6ВСР!Z279</f>
        <v>0</v>
      </c>
      <c r="V83" s="122">
        <v>0</v>
      </c>
      <c r="W83" s="122">
        <v>0</v>
      </c>
      <c r="X83" s="126"/>
    </row>
    <row r="84" spans="1:24" ht="55.9" customHeight="1" x14ac:dyDescent="0.25">
      <c r="A84" s="118" t="s">
        <v>312</v>
      </c>
      <c r="B84" s="129" t="s">
        <v>123</v>
      </c>
      <c r="C84" s="129" t="s">
        <v>133</v>
      </c>
      <c r="D84" s="129"/>
      <c r="E84" s="129"/>
      <c r="F84" s="129"/>
      <c r="G84" s="129"/>
      <c r="H84" s="129"/>
      <c r="I84" s="129"/>
      <c r="J84" s="129"/>
      <c r="K84" s="129"/>
      <c r="L84" s="129"/>
      <c r="M84" s="129"/>
      <c r="N84" s="129"/>
      <c r="O84" s="129"/>
      <c r="P84" s="129"/>
      <c r="Q84" s="129"/>
      <c r="R84" s="129"/>
      <c r="S84" s="129"/>
      <c r="T84" s="118" t="s">
        <v>312</v>
      </c>
      <c r="U84" s="119">
        <f>U85+U96</f>
        <v>8493253.5999999996</v>
      </c>
      <c r="V84" s="119">
        <f>V85+V96</f>
        <v>3514339.99</v>
      </c>
      <c r="W84" s="119">
        <f>W85+W96</f>
        <v>3514339.99</v>
      </c>
      <c r="X84" s="118" t="s">
        <v>312</v>
      </c>
    </row>
    <row r="85" spans="1:24" ht="74.45" customHeight="1" x14ac:dyDescent="0.25">
      <c r="A85" s="120" t="s">
        <v>251</v>
      </c>
      <c r="B85" s="121" t="s">
        <v>123</v>
      </c>
      <c r="C85" s="121" t="s">
        <v>127</v>
      </c>
      <c r="D85" s="121"/>
      <c r="E85" s="121"/>
      <c r="F85" s="121"/>
      <c r="G85" s="121"/>
      <c r="H85" s="121"/>
      <c r="I85" s="121"/>
      <c r="J85" s="121"/>
      <c r="K85" s="121"/>
      <c r="L85" s="121"/>
      <c r="M85" s="121"/>
      <c r="N85" s="121"/>
      <c r="O85" s="121"/>
      <c r="P85" s="121"/>
      <c r="Q85" s="121"/>
      <c r="R85" s="121"/>
      <c r="S85" s="121"/>
      <c r="T85" s="120" t="s">
        <v>251</v>
      </c>
      <c r="U85" s="122">
        <f>U86+U88+U92+U94+U90</f>
        <v>8393253.5999999996</v>
      </c>
      <c r="V85" s="122">
        <f>V86+V88+V92+V94+V90</f>
        <v>3414339.99</v>
      </c>
      <c r="W85" s="122">
        <f>W86+W88+W92+W94+W90</f>
        <v>3414339.99</v>
      </c>
      <c r="X85" s="120" t="s">
        <v>251</v>
      </c>
    </row>
    <row r="86" spans="1:24" ht="200.25" customHeight="1" x14ac:dyDescent="0.25">
      <c r="A86" s="120" t="s">
        <v>501</v>
      </c>
      <c r="B86" s="172" t="s">
        <v>123</v>
      </c>
      <c r="C86" s="172" t="s">
        <v>127</v>
      </c>
      <c r="D86" s="172" t="s">
        <v>719</v>
      </c>
      <c r="E86" s="172"/>
      <c r="F86" s="172"/>
      <c r="G86" s="172"/>
      <c r="H86" s="172"/>
      <c r="I86" s="172"/>
      <c r="J86" s="172"/>
      <c r="K86" s="172"/>
      <c r="L86" s="172"/>
      <c r="M86" s="172"/>
      <c r="N86" s="172"/>
      <c r="O86" s="172"/>
      <c r="P86" s="172"/>
      <c r="Q86" s="172"/>
      <c r="R86" s="172"/>
      <c r="S86" s="172"/>
      <c r="T86" s="162" t="s">
        <v>718</v>
      </c>
      <c r="U86" s="122">
        <f>U87</f>
        <v>2893253.6</v>
      </c>
      <c r="V86" s="122">
        <f>V87</f>
        <v>2914339.99</v>
      </c>
      <c r="W86" s="122">
        <f>W87</f>
        <v>2914339.99</v>
      </c>
      <c r="X86" s="120" t="s">
        <v>501</v>
      </c>
    </row>
    <row r="87" spans="1:24" ht="130.35" customHeight="1" x14ac:dyDescent="0.25">
      <c r="A87" s="120" t="s">
        <v>502</v>
      </c>
      <c r="B87" s="140" t="s">
        <v>123</v>
      </c>
      <c r="C87" s="140" t="s">
        <v>127</v>
      </c>
      <c r="D87" s="172" t="s">
        <v>719</v>
      </c>
      <c r="E87" s="140"/>
      <c r="F87" s="140"/>
      <c r="G87" s="140"/>
      <c r="H87" s="140"/>
      <c r="I87" s="140"/>
      <c r="J87" s="140"/>
      <c r="K87" s="140"/>
      <c r="L87" s="140"/>
      <c r="M87" s="140"/>
      <c r="N87" s="140"/>
      <c r="O87" s="140"/>
      <c r="P87" s="140"/>
      <c r="Q87" s="140"/>
      <c r="R87" s="140"/>
      <c r="S87" s="140" t="s">
        <v>309</v>
      </c>
      <c r="T87" s="139" t="s">
        <v>502</v>
      </c>
      <c r="U87" s="122">
        <f>П6ВСР!Z450</f>
        <v>2893253.6</v>
      </c>
      <c r="V87" s="122">
        <f>П6ВСР!AA450</f>
        <v>2914339.99</v>
      </c>
      <c r="W87" s="122">
        <f>П6ВСР!AB450</f>
        <v>2914339.99</v>
      </c>
      <c r="X87" s="120" t="s">
        <v>502</v>
      </c>
    </row>
    <row r="88" spans="1:24" ht="216" customHeight="1" x14ac:dyDescent="0.25">
      <c r="A88" s="120" t="s">
        <v>313</v>
      </c>
      <c r="B88" s="121" t="s">
        <v>123</v>
      </c>
      <c r="C88" s="121" t="s">
        <v>127</v>
      </c>
      <c r="D88" s="138" t="s">
        <v>552</v>
      </c>
      <c r="E88" s="121"/>
      <c r="F88" s="121"/>
      <c r="G88" s="121"/>
      <c r="H88" s="121"/>
      <c r="I88" s="121"/>
      <c r="J88" s="121"/>
      <c r="K88" s="121"/>
      <c r="L88" s="121"/>
      <c r="M88" s="121"/>
      <c r="N88" s="121"/>
      <c r="O88" s="121"/>
      <c r="P88" s="121"/>
      <c r="Q88" s="121"/>
      <c r="R88" s="121"/>
      <c r="S88" s="121"/>
      <c r="T88" s="162" t="s">
        <v>636</v>
      </c>
      <c r="U88" s="122">
        <f>U89</f>
        <v>5100000</v>
      </c>
      <c r="V88" s="122">
        <f>V89</f>
        <v>100000</v>
      </c>
      <c r="W88" s="122">
        <f>W89</f>
        <v>100000</v>
      </c>
      <c r="X88" s="120" t="s">
        <v>313</v>
      </c>
    </row>
    <row r="89" spans="1:24" ht="102.75" customHeight="1" x14ac:dyDescent="0.25">
      <c r="A89" s="120" t="s">
        <v>314</v>
      </c>
      <c r="B89" s="124" t="s">
        <v>123</v>
      </c>
      <c r="C89" s="124" t="s">
        <v>127</v>
      </c>
      <c r="D89" s="138" t="s">
        <v>552</v>
      </c>
      <c r="E89" s="124"/>
      <c r="F89" s="124"/>
      <c r="G89" s="124"/>
      <c r="H89" s="124"/>
      <c r="I89" s="124"/>
      <c r="J89" s="124"/>
      <c r="K89" s="124"/>
      <c r="L89" s="124"/>
      <c r="M89" s="124"/>
      <c r="N89" s="124"/>
      <c r="O89" s="124"/>
      <c r="P89" s="124"/>
      <c r="Q89" s="124"/>
      <c r="R89" s="124"/>
      <c r="S89" s="124" t="s">
        <v>290</v>
      </c>
      <c r="T89" s="162" t="s">
        <v>314</v>
      </c>
      <c r="U89" s="122">
        <f>П6ВСР!Z72</f>
        <v>5100000</v>
      </c>
      <c r="V89" s="122">
        <f>П6ВСР!AA72</f>
        <v>100000</v>
      </c>
      <c r="W89" s="122">
        <f>П6ВСР!AB72</f>
        <v>100000</v>
      </c>
      <c r="X89" s="120" t="s">
        <v>314</v>
      </c>
    </row>
    <row r="90" spans="1:24" ht="332.25" customHeight="1" x14ac:dyDescent="0.25">
      <c r="A90" s="120"/>
      <c r="B90" s="124" t="s">
        <v>123</v>
      </c>
      <c r="C90" s="124" t="s">
        <v>127</v>
      </c>
      <c r="D90" s="263" t="s">
        <v>896</v>
      </c>
      <c r="E90" s="124"/>
      <c r="F90" s="124"/>
      <c r="G90" s="124"/>
      <c r="H90" s="124"/>
      <c r="I90" s="124"/>
      <c r="J90" s="124"/>
      <c r="K90" s="124"/>
      <c r="L90" s="124"/>
      <c r="M90" s="124"/>
      <c r="N90" s="124"/>
      <c r="O90" s="124"/>
      <c r="P90" s="124"/>
      <c r="Q90" s="124"/>
      <c r="R90" s="124"/>
      <c r="S90" s="124"/>
      <c r="T90" s="162" t="s">
        <v>894</v>
      </c>
      <c r="U90" s="122">
        <f>U91</f>
        <v>350000</v>
      </c>
      <c r="V90" s="122">
        <f>V91</f>
        <v>350000</v>
      </c>
      <c r="W90" s="122">
        <f>W91</f>
        <v>350000</v>
      </c>
      <c r="X90" s="120"/>
    </row>
    <row r="91" spans="1:24" ht="102.75" customHeight="1" x14ac:dyDescent="0.25">
      <c r="A91" s="120"/>
      <c r="B91" s="124" t="s">
        <v>123</v>
      </c>
      <c r="C91" s="124" t="s">
        <v>127</v>
      </c>
      <c r="D91" s="263" t="s">
        <v>896</v>
      </c>
      <c r="E91" s="124"/>
      <c r="F91" s="124"/>
      <c r="G91" s="124"/>
      <c r="H91" s="124"/>
      <c r="I91" s="124"/>
      <c r="J91" s="124"/>
      <c r="K91" s="124"/>
      <c r="L91" s="124"/>
      <c r="M91" s="124"/>
      <c r="N91" s="124"/>
      <c r="O91" s="124"/>
      <c r="P91" s="124"/>
      <c r="Q91" s="124"/>
      <c r="R91" s="124"/>
      <c r="S91" s="124" t="s">
        <v>290</v>
      </c>
      <c r="T91" s="139" t="s">
        <v>895</v>
      </c>
      <c r="U91" s="122">
        <f>П6ВСР!Z74</f>
        <v>350000</v>
      </c>
      <c r="V91" s="122">
        <f>П6ВСР!AA74</f>
        <v>350000</v>
      </c>
      <c r="W91" s="122">
        <f>П6ВСР!AB74</f>
        <v>350000</v>
      </c>
      <c r="X91" s="120"/>
    </row>
    <row r="92" spans="1:24" ht="186" customHeight="1" x14ac:dyDescent="0.25">
      <c r="A92" s="120" t="s">
        <v>315</v>
      </c>
      <c r="B92" s="121" t="s">
        <v>123</v>
      </c>
      <c r="C92" s="121" t="s">
        <v>127</v>
      </c>
      <c r="D92" s="138" t="s">
        <v>553</v>
      </c>
      <c r="E92" s="121"/>
      <c r="F92" s="121"/>
      <c r="G92" s="121"/>
      <c r="H92" s="121"/>
      <c r="I92" s="121"/>
      <c r="J92" s="121"/>
      <c r="K92" s="121"/>
      <c r="L92" s="121"/>
      <c r="M92" s="121"/>
      <c r="N92" s="121"/>
      <c r="O92" s="121"/>
      <c r="P92" s="121"/>
      <c r="Q92" s="121"/>
      <c r="R92" s="121"/>
      <c r="S92" s="121"/>
      <c r="T92" s="162" t="s">
        <v>637</v>
      </c>
      <c r="U92" s="122">
        <f>U93</f>
        <v>50000</v>
      </c>
      <c r="V92" s="122">
        <f>V93</f>
        <v>50000</v>
      </c>
      <c r="W92" s="122">
        <f>W93</f>
        <v>50000</v>
      </c>
      <c r="X92" s="120" t="s">
        <v>315</v>
      </c>
    </row>
    <row r="93" spans="1:24" ht="93" customHeight="1" x14ac:dyDescent="0.25">
      <c r="A93" s="120" t="s">
        <v>316</v>
      </c>
      <c r="B93" s="124" t="s">
        <v>123</v>
      </c>
      <c r="C93" s="124" t="s">
        <v>127</v>
      </c>
      <c r="D93" s="138" t="s">
        <v>553</v>
      </c>
      <c r="E93" s="124"/>
      <c r="F93" s="124"/>
      <c r="G93" s="124"/>
      <c r="H93" s="124"/>
      <c r="I93" s="124"/>
      <c r="J93" s="124"/>
      <c r="K93" s="124"/>
      <c r="L93" s="124"/>
      <c r="M93" s="124"/>
      <c r="N93" s="124"/>
      <c r="O93" s="124"/>
      <c r="P93" s="124"/>
      <c r="Q93" s="124"/>
      <c r="R93" s="124"/>
      <c r="S93" s="124" t="s">
        <v>290</v>
      </c>
      <c r="T93" s="162" t="s">
        <v>316</v>
      </c>
      <c r="U93" s="122">
        <f>П6ВСР!Z76</f>
        <v>50000</v>
      </c>
      <c r="V93" s="122">
        <f>П6ВСР!AA76</f>
        <v>50000</v>
      </c>
      <c r="W93" s="122">
        <f>П6ВСР!AB76</f>
        <v>50000</v>
      </c>
      <c r="X93" s="120" t="s">
        <v>316</v>
      </c>
    </row>
    <row r="94" spans="1:24" ht="212.25" hidden="1" customHeight="1" x14ac:dyDescent="0.25">
      <c r="A94" s="126" t="s">
        <v>241</v>
      </c>
      <c r="B94" s="121" t="s">
        <v>123</v>
      </c>
      <c r="C94" s="121" t="s">
        <v>127</v>
      </c>
      <c r="D94" s="138" t="s">
        <v>554</v>
      </c>
      <c r="E94" s="121"/>
      <c r="F94" s="121"/>
      <c r="G94" s="121"/>
      <c r="H94" s="121"/>
      <c r="I94" s="121"/>
      <c r="J94" s="121"/>
      <c r="K94" s="121"/>
      <c r="L94" s="121"/>
      <c r="M94" s="121"/>
      <c r="N94" s="121"/>
      <c r="O94" s="121"/>
      <c r="P94" s="121"/>
      <c r="Q94" s="121"/>
      <c r="R94" s="121"/>
      <c r="S94" s="121"/>
      <c r="T94" s="126" t="s">
        <v>241</v>
      </c>
      <c r="U94" s="122">
        <f>U95</f>
        <v>0</v>
      </c>
      <c r="V94" s="122">
        <f>V95</f>
        <v>0</v>
      </c>
      <c r="W94" s="122">
        <f>W95</f>
        <v>0</v>
      </c>
      <c r="X94" s="126" t="s">
        <v>241</v>
      </c>
    </row>
    <row r="95" spans="1:24" ht="247.5" hidden="1" customHeight="1" x14ac:dyDescent="0.25">
      <c r="A95" s="126" t="s">
        <v>317</v>
      </c>
      <c r="B95" s="124" t="s">
        <v>123</v>
      </c>
      <c r="C95" s="124" t="s">
        <v>127</v>
      </c>
      <c r="D95" s="138" t="s">
        <v>554</v>
      </c>
      <c r="E95" s="124"/>
      <c r="F95" s="124"/>
      <c r="G95" s="124"/>
      <c r="H95" s="124"/>
      <c r="I95" s="124"/>
      <c r="J95" s="124"/>
      <c r="K95" s="124"/>
      <c r="L95" s="124"/>
      <c r="M95" s="124"/>
      <c r="N95" s="124"/>
      <c r="O95" s="124"/>
      <c r="P95" s="124"/>
      <c r="Q95" s="124"/>
      <c r="R95" s="124"/>
      <c r="S95" s="124" t="s">
        <v>290</v>
      </c>
      <c r="T95" s="123" t="s">
        <v>317</v>
      </c>
      <c r="U95" s="122">
        <f>П6ВСР!Z78</f>
        <v>0</v>
      </c>
      <c r="V95" s="122">
        <f>П6ВСР!AA78</f>
        <v>0</v>
      </c>
      <c r="W95" s="122">
        <f>П6ВСР!AB78</f>
        <v>0</v>
      </c>
      <c r="X95" s="126" t="s">
        <v>317</v>
      </c>
    </row>
    <row r="96" spans="1:24" ht="39" customHeight="1" x14ac:dyDescent="0.25">
      <c r="A96" s="126"/>
      <c r="B96" s="143" t="s">
        <v>123</v>
      </c>
      <c r="C96" s="143" t="s">
        <v>143</v>
      </c>
      <c r="D96" s="138"/>
      <c r="E96" s="124"/>
      <c r="F96" s="124"/>
      <c r="G96" s="124"/>
      <c r="H96" s="124"/>
      <c r="I96" s="124"/>
      <c r="J96" s="124"/>
      <c r="K96" s="124"/>
      <c r="L96" s="124"/>
      <c r="M96" s="124"/>
      <c r="N96" s="124"/>
      <c r="O96" s="124"/>
      <c r="P96" s="124"/>
      <c r="Q96" s="124"/>
      <c r="R96" s="124"/>
      <c r="S96" s="124"/>
      <c r="T96" s="142" t="s">
        <v>144</v>
      </c>
      <c r="U96" s="122">
        <f t="shared" ref="U96:W97" si="4">U97</f>
        <v>100000</v>
      </c>
      <c r="V96" s="122">
        <f t="shared" si="4"/>
        <v>100000</v>
      </c>
      <c r="W96" s="122">
        <f t="shared" si="4"/>
        <v>100000</v>
      </c>
      <c r="X96" s="126"/>
    </row>
    <row r="97" spans="1:24" ht="106.5" customHeight="1" x14ac:dyDescent="0.25">
      <c r="A97" s="126"/>
      <c r="B97" s="144" t="s">
        <v>123</v>
      </c>
      <c r="C97" s="144" t="s">
        <v>143</v>
      </c>
      <c r="D97" s="138" t="s">
        <v>556</v>
      </c>
      <c r="E97" s="144"/>
      <c r="F97" s="144"/>
      <c r="G97" s="144"/>
      <c r="H97" s="144"/>
      <c r="I97" s="144"/>
      <c r="J97" s="144"/>
      <c r="K97" s="144"/>
      <c r="L97" s="144"/>
      <c r="M97" s="144"/>
      <c r="N97" s="144"/>
      <c r="O97" s="144"/>
      <c r="P97" s="144"/>
      <c r="Q97" s="144"/>
      <c r="R97" s="144"/>
      <c r="S97" s="144"/>
      <c r="T97" s="165" t="s">
        <v>555</v>
      </c>
      <c r="U97" s="122">
        <f t="shared" si="4"/>
        <v>100000</v>
      </c>
      <c r="V97" s="122">
        <f t="shared" si="4"/>
        <v>100000</v>
      </c>
      <c r="W97" s="122">
        <f t="shared" si="4"/>
        <v>100000</v>
      </c>
      <c r="X97" s="126"/>
    </row>
    <row r="98" spans="1:24" ht="90" customHeight="1" x14ac:dyDescent="0.25">
      <c r="A98" s="126"/>
      <c r="B98" s="144" t="s">
        <v>123</v>
      </c>
      <c r="C98" s="144" t="s">
        <v>143</v>
      </c>
      <c r="D98" s="138" t="s">
        <v>556</v>
      </c>
      <c r="E98" s="144"/>
      <c r="F98" s="144"/>
      <c r="G98" s="144"/>
      <c r="H98" s="144"/>
      <c r="I98" s="144"/>
      <c r="J98" s="144"/>
      <c r="K98" s="144"/>
      <c r="L98" s="144"/>
      <c r="M98" s="144"/>
      <c r="N98" s="144"/>
      <c r="O98" s="144"/>
      <c r="P98" s="144"/>
      <c r="Q98" s="144"/>
      <c r="R98" s="144"/>
      <c r="S98" s="144" t="s">
        <v>290</v>
      </c>
      <c r="T98" s="164" t="s">
        <v>836</v>
      </c>
      <c r="U98" s="122">
        <f>П6ВСР!Z81</f>
        <v>100000</v>
      </c>
      <c r="V98" s="122">
        <f>П6ВСР!AA81</f>
        <v>100000</v>
      </c>
      <c r="W98" s="122">
        <f>П6ВСР!AB81</f>
        <v>100000</v>
      </c>
      <c r="X98" s="126"/>
    </row>
    <row r="99" spans="1:24" ht="18.600000000000001" customHeight="1" x14ac:dyDescent="0.25">
      <c r="A99" s="118" t="s">
        <v>318</v>
      </c>
      <c r="B99" s="129" t="s">
        <v>136</v>
      </c>
      <c r="C99" s="129" t="s">
        <v>133</v>
      </c>
      <c r="D99" s="129"/>
      <c r="E99" s="129"/>
      <c r="F99" s="129"/>
      <c r="G99" s="129"/>
      <c r="H99" s="129"/>
      <c r="I99" s="129"/>
      <c r="J99" s="129"/>
      <c r="K99" s="129"/>
      <c r="L99" s="129"/>
      <c r="M99" s="129"/>
      <c r="N99" s="129"/>
      <c r="O99" s="129"/>
      <c r="P99" s="129"/>
      <c r="Q99" s="129"/>
      <c r="R99" s="129"/>
      <c r="S99" s="129"/>
      <c r="T99" s="118" t="s">
        <v>318</v>
      </c>
      <c r="U99" s="119">
        <f>U100+U123+U128+U151+U160</f>
        <v>23059292.449999999</v>
      </c>
      <c r="V99" s="119">
        <f>V100+V123+V128+V151+V160</f>
        <v>25437288.960000001</v>
      </c>
      <c r="W99" s="119">
        <f>W100+W123+W128+W151+W160</f>
        <v>25437288.960000001</v>
      </c>
      <c r="X99" s="118" t="s">
        <v>318</v>
      </c>
    </row>
    <row r="100" spans="1:24" ht="18.600000000000001" customHeight="1" x14ac:dyDescent="0.25">
      <c r="A100" s="120" t="s">
        <v>147</v>
      </c>
      <c r="B100" s="121" t="s">
        <v>136</v>
      </c>
      <c r="C100" s="121" t="s">
        <v>124</v>
      </c>
      <c r="D100" s="121"/>
      <c r="E100" s="121"/>
      <c r="F100" s="121"/>
      <c r="G100" s="121"/>
      <c r="H100" s="121"/>
      <c r="I100" s="121"/>
      <c r="J100" s="121"/>
      <c r="K100" s="121"/>
      <c r="L100" s="121"/>
      <c r="M100" s="121"/>
      <c r="N100" s="121"/>
      <c r="O100" s="121"/>
      <c r="P100" s="121"/>
      <c r="Q100" s="121"/>
      <c r="R100" s="121"/>
      <c r="S100" s="121"/>
      <c r="T100" s="120" t="s">
        <v>147</v>
      </c>
      <c r="U100" s="122">
        <f>U101+U103+U105+U107+U113+U115+U117+U119+U121+U109+U111</f>
        <v>246900</v>
      </c>
      <c r="V100" s="122">
        <f>V101+V103+V105+V107+V113+V115+V117+V119+V121+V109+V111</f>
        <v>246900</v>
      </c>
      <c r="W100" s="122">
        <f>W101+W103+W105+W107+W113+W115+W117+W119+W121+W109+W111</f>
        <v>246900</v>
      </c>
      <c r="X100" s="120" t="s">
        <v>147</v>
      </c>
    </row>
    <row r="101" spans="1:24" ht="147" hidden="1" customHeight="1" x14ac:dyDescent="0.25">
      <c r="A101" s="120" t="s">
        <v>319</v>
      </c>
      <c r="B101" s="121" t="s">
        <v>136</v>
      </c>
      <c r="C101" s="121" t="s">
        <v>124</v>
      </c>
      <c r="D101" s="138" t="s">
        <v>557</v>
      </c>
      <c r="E101" s="121"/>
      <c r="F101" s="121"/>
      <c r="G101" s="121"/>
      <c r="H101" s="121"/>
      <c r="I101" s="121"/>
      <c r="J101" s="121"/>
      <c r="K101" s="121"/>
      <c r="L101" s="121"/>
      <c r="M101" s="121"/>
      <c r="N101" s="121"/>
      <c r="O101" s="121"/>
      <c r="P101" s="121"/>
      <c r="Q101" s="121"/>
      <c r="R101" s="121"/>
      <c r="S101" s="121"/>
      <c r="T101" s="162" t="s">
        <v>638</v>
      </c>
      <c r="U101" s="122">
        <f>U102</f>
        <v>0</v>
      </c>
      <c r="V101" s="122">
        <f>V102</f>
        <v>0</v>
      </c>
      <c r="W101" s="122">
        <f>W102</f>
        <v>0</v>
      </c>
      <c r="X101" s="120" t="s">
        <v>319</v>
      </c>
    </row>
    <row r="102" spans="1:24" ht="108.75" hidden="1" customHeight="1" x14ac:dyDescent="0.25">
      <c r="A102" s="120" t="s">
        <v>320</v>
      </c>
      <c r="B102" s="124" t="s">
        <v>136</v>
      </c>
      <c r="C102" s="124" t="s">
        <v>124</v>
      </c>
      <c r="D102" s="138" t="s">
        <v>557</v>
      </c>
      <c r="E102" s="124"/>
      <c r="F102" s="124"/>
      <c r="G102" s="124"/>
      <c r="H102" s="124"/>
      <c r="I102" s="124"/>
      <c r="J102" s="124"/>
      <c r="K102" s="124"/>
      <c r="L102" s="124"/>
      <c r="M102" s="124"/>
      <c r="N102" s="124"/>
      <c r="O102" s="124"/>
      <c r="P102" s="124"/>
      <c r="Q102" s="124"/>
      <c r="R102" s="124"/>
      <c r="S102" s="124" t="s">
        <v>290</v>
      </c>
      <c r="T102" s="139" t="s">
        <v>320</v>
      </c>
      <c r="U102" s="122">
        <f>П6ВСР!Z85</f>
        <v>0</v>
      </c>
      <c r="V102" s="122">
        <f>П6ВСР!AA85</f>
        <v>0</v>
      </c>
      <c r="W102" s="122">
        <f>П6ВСР!AB85</f>
        <v>0</v>
      </c>
      <c r="X102" s="120" t="s">
        <v>320</v>
      </c>
    </row>
    <row r="103" spans="1:24" ht="135.75" hidden="1" customHeight="1" x14ac:dyDescent="0.25">
      <c r="A103" s="120" t="s">
        <v>321</v>
      </c>
      <c r="B103" s="121" t="s">
        <v>136</v>
      </c>
      <c r="C103" s="121" t="s">
        <v>124</v>
      </c>
      <c r="D103" s="138" t="s">
        <v>558</v>
      </c>
      <c r="E103" s="121"/>
      <c r="F103" s="121"/>
      <c r="G103" s="121"/>
      <c r="H103" s="121"/>
      <c r="I103" s="121"/>
      <c r="J103" s="121"/>
      <c r="K103" s="121"/>
      <c r="L103" s="121"/>
      <c r="M103" s="121"/>
      <c r="N103" s="121"/>
      <c r="O103" s="121"/>
      <c r="P103" s="121"/>
      <c r="Q103" s="121"/>
      <c r="R103" s="121"/>
      <c r="S103" s="121"/>
      <c r="T103" s="162" t="s">
        <v>639</v>
      </c>
      <c r="U103" s="122">
        <f>U104</f>
        <v>0</v>
      </c>
      <c r="V103" s="122">
        <f>V104</f>
        <v>0</v>
      </c>
      <c r="W103" s="122">
        <f>W104</f>
        <v>0</v>
      </c>
      <c r="X103" s="120" t="s">
        <v>321</v>
      </c>
    </row>
    <row r="104" spans="1:24" ht="81" hidden="1" customHeight="1" x14ac:dyDescent="0.25">
      <c r="A104" s="120" t="s">
        <v>322</v>
      </c>
      <c r="B104" s="124" t="s">
        <v>136</v>
      </c>
      <c r="C104" s="124" t="s">
        <v>124</v>
      </c>
      <c r="D104" s="138" t="s">
        <v>558</v>
      </c>
      <c r="E104" s="124"/>
      <c r="F104" s="124"/>
      <c r="G104" s="124"/>
      <c r="H104" s="124"/>
      <c r="I104" s="124"/>
      <c r="J104" s="124"/>
      <c r="K104" s="124"/>
      <c r="L104" s="124"/>
      <c r="M104" s="124"/>
      <c r="N104" s="124"/>
      <c r="O104" s="124"/>
      <c r="P104" s="124"/>
      <c r="Q104" s="124"/>
      <c r="R104" s="124"/>
      <c r="S104" s="180" t="s">
        <v>243</v>
      </c>
      <c r="T104" s="139" t="s">
        <v>823</v>
      </c>
      <c r="U104" s="122">
        <f>П6ВСР!Z87</f>
        <v>0</v>
      </c>
      <c r="V104" s="122">
        <f>П6ВСР!AA87</f>
        <v>0</v>
      </c>
      <c r="W104" s="122">
        <f>П6ВСР!AB87</f>
        <v>0</v>
      </c>
      <c r="X104" s="120" t="s">
        <v>322</v>
      </c>
    </row>
    <row r="105" spans="1:24" ht="148.5" customHeight="1" x14ac:dyDescent="0.25">
      <c r="A105" s="120" t="s">
        <v>323</v>
      </c>
      <c r="B105" s="121" t="s">
        <v>136</v>
      </c>
      <c r="C105" s="121" t="s">
        <v>124</v>
      </c>
      <c r="D105" s="138" t="s">
        <v>559</v>
      </c>
      <c r="E105" s="121"/>
      <c r="F105" s="121"/>
      <c r="G105" s="121"/>
      <c r="H105" s="121"/>
      <c r="I105" s="121"/>
      <c r="J105" s="121"/>
      <c r="K105" s="121"/>
      <c r="L105" s="121"/>
      <c r="M105" s="121"/>
      <c r="N105" s="121"/>
      <c r="O105" s="121"/>
      <c r="P105" s="121"/>
      <c r="Q105" s="121"/>
      <c r="R105" s="121"/>
      <c r="S105" s="121"/>
      <c r="T105" s="162" t="s">
        <v>640</v>
      </c>
      <c r="U105" s="122">
        <f>U106</f>
        <v>100000</v>
      </c>
      <c r="V105" s="122">
        <f>V106</f>
        <v>100000</v>
      </c>
      <c r="W105" s="122">
        <f>W106</f>
        <v>100000</v>
      </c>
      <c r="X105" s="120" t="s">
        <v>323</v>
      </c>
    </row>
    <row r="106" spans="1:24" ht="130.35" customHeight="1" x14ac:dyDescent="0.25">
      <c r="A106" s="120" t="s">
        <v>324</v>
      </c>
      <c r="B106" s="124" t="s">
        <v>136</v>
      </c>
      <c r="C106" s="124" t="s">
        <v>124</v>
      </c>
      <c r="D106" s="138" t="s">
        <v>559</v>
      </c>
      <c r="E106" s="124"/>
      <c r="F106" s="124"/>
      <c r="G106" s="124"/>
      <c r="H106" s="124"/>
      <c r="I106" s="124"/>
      <c r="J106" s="124"/>
      <c r="K106" s="124"/>
      <c r="L106" s="124"/>
      <c r="M106" s="124"/>
      <c r="N106" s="124"/>
      <c r="O106" s="124"/>
      <c r="P106" s="124"/>
      <c r="Q106" s="124"/>
      <c r="R106" s="124"/>
      <c r="S106" s="124" t="s">
        <v>290</v>
      </c>
      <c r="T106" s="139" t="s">
        <v>324</v>
      </c>
      <c r="U106" s="122">
        <f>П6ВСР!Z89</f>
        <v>100000</v>
      </c>
      <c r="V106" s="122">
        <f>П6ВСР!AA89</f>
        <v>100000</v>
      </c>
      <c r="W106" s="122">
        <f>П6ВСР!AB89</f>
        <v>100000</v>
      </c>
      <c r="X106" s="120" t="s">
        <v>324</v>
      </c>
    </row>
    <row r="107" spans="1:24" ht="110.25" customHeight="1" x14ac:dyDescent="0.25">
      <c r="A107" s="120" t="s">
        <v>325</v>
      </c>
      <c r="B107" s="121" t="s">
        <v>136</v>
      </c>
      <c r="C107" s="121" t="s">
        <v>124</v>
      </c>
      <c r="D107" s="138" t="s">
        <v>560</v>
      </c>
      <c r="E107" s="121"/>
      <c r="F107" s="121"/>
      <c r="G107" s="121"/>
      <c r="H107" s="121"/>
      <c r="I107" s="121"/>
      <c r="J107" s="121"/>
      <c r="K107" s="121"/>
      <c r="L107" s="121"/>
      <c r="M107" s="121"/>
      <c r="N107" s="121"/>
      <c r="O107" s="121"/>
      <c r="P107" s="121"/>
      <c r="Q107" s="121"/>
      <c r="R107" s="121"/>
      <c r="S107" s="121"/>
      <c r="T107" s="162" t="s">
        <v>641</v>
      </c>
      <c r="U107" s="122">
        <f>U108</f>
        <v>25000</v>
      </c>
      <c r="V107" s="122">
        <f>V108</f>
        <v>25000</v>
      </c>
      <c r="W107" s="122">
        <f>W108</f>
        <v>25000</v>
      </c>
      <c r="X107" s="120" t="s">
        <v>325</v>
      </c>
    </row>
    <row r="108" spans="1:24" ht="93" customHeight="1" x14ac:dyDescent="0.25">
      <c r="A108" s="120" t="s">
        <v>326</v>
      </c>
      <c r="B108" s="124" t="s">
        <v>136</v>
      </c>
      <c r="C108" s="124" t="s">
        <v>124</v>
      </c>
      <c r="D108" s="138" t="s">
        <v>560</v>
      </c>
      <c r="E108" s="140"/>
      <c r="F108" s="140"/>
      <c r="G108" s="140"/>
      <c r="H108" s="140"/>
      <c r="I108" s="140"/>
      <c r="J108" s="140"/>
      <c r="K108" s="140"/>
      <c r="L108" s="140"/>
      <c r="M108" s="140"/>
      <c r="N108" s="140"/>
      <c r="O108" s="140"/>
      <c r="P108" s="140"/>
      <c r="Q108" s="140"/>
      <c r="R108" s="140"/>
      <c r="S108" s="140" t="s">
        <v>290</v>
      </c>
      <c r="T108" s="139" t="s">
        <v>326</v>
      </c>
      <c r="U108" s="122">
        <f>П6ВСР!Z91</f>
        <v>25000</v>
      </c>
      <c r="V108" s="122">
        <f>П6ВСР!AA91</f>
        <v>25000</v>
      </c>
      <c r="W108" s="122">
        <f>П6ВСР!AB91</f>
        <v>25000</v>
      </c>
      <c r="X108" s="120" t="s">
        <v>326</v>
      </c>
    </row>
    <row r="109" spans="1:24" s="317" customFormat="1" ht="153" customHeight="1" x14ac:dyDescent="0.25">
      <c r="A109" s="256"/>
      <c r="B109" s="140" t="s">
        <v>136</v>
      </c>
      <c r="C109" s="140" t="s">
        <v>124</v>
      </c>
      <c r="D109" s="263" t="s">
        <v>1033</v>
      </c>
      <c r="E109" s="140"/>
      <c r="F109" s="140"/>
      <c r="G109" s="140"/>
      <c r="H109" s="140"/>
      <c r="I109" s="140"/>
      <c r="J109" s="140"/>
      <c r="K109" s="140"/>
      <c r="L109" s="140"/>
      <c r="M109" s="140"/>
      <c r="N109" s="140"/>
      <c r="O109" s="140"/>
      <c r="P109" s="140"/>
      <c r="Q109" s="140"/>
      <c r="R109" s="140"/>
      <c r="S109" s="140"/>
      <c r="T109" s="139" t="s">
        <v>641</v>
      </c>
      <c r="U109" s="247">
        <f>U110</f>
        <v>100000</v>
      </c>
      <c r="V109" s="247">
        <f t="shared" ref="V109:X109" si="5">V110</f>
        <v>100000</v>
      </c>
      <c r="W109" s="247">
        <f t="shared" si="5"/>
        <v>100000</v>
      </c>
      <c r="X109" s="261">
        <f t="shared" si="5"/>
        <v>0</v>
      </c>
    </row>
    <row r="110" spans="1:24" s="317" customFormat="1" ht="129" customHeight="1" x14ac:dyDescent="0.25">
      <c r="A110" s="256"/>
      <c r="B110" s="140" t="s">
        <v>136</v>
      </c>
      <c r="C110" s="140" t="s">
        <v>124</v>
      </c>
      <c r="D110" s="263" t="s">
        <v>1033</v>
      </c>
      <c r="E110" s="140"/>
      <c r="F110" s="140"/>
      <c r="G110" s="140"/>
      <c r="H110" s="140"/>
      <c r="I110" s="140"/>
      <c r="J110" s="140"/>
      <c r="K110" s="140"/>
      <c r="L110" s="140"/>
      <c r="M110" s="140"/>
      <c r="N110" s="140"/>
      <c r="O110" s="140"/>
      <c r="P110" s="140"/>
      <c r="Q110" s="140"/>
      <c r="R110" s="140"/>
      <c r="S110" s="140" t="s">
        <v>290</v>
      </c>
      <c r="T110" s="139" t="s">
        <v>1000</v>
      </c>
      <c r="U110" s="247">
        <f>П6ВСР!Z93</f>
        <v>100000</v>
      </c>
      <c r="V110" s="247">
        <f>П6ВСР!AA93</f>
        <v>100000</v>
      </c>
      <c r="W110" s="247">
        <f>П6ВСР!AB93</f>
        <v>100000</v>
      </c>
      <c r="X110" s="256"/>
    </row>
    <row r="111" spans="1:24" s="317" customFormat="1" ht="131.25" hidden="1" customHeight="1" x14ac:dyDescent="0.25">
      <c r="A111" s="256"/>
      <c r="B111" s="140" t="s">
        <v>136</v>
      </c>
      <c r="C111" s="140" t="s">
        <v>124</v>
      </c>
      <c r="D111" s="263" t="s">
        <v>1032</v>
      </c>
      <c r="E111" s="140"/>
      <c r="F111" s="140"/>
      <c r="G111" s="140"/>
      <c r="H111" s="140"/>
      <c r="I111" s="140"/>
      <c r="J111" s="140"/>
      <c r="K111" s="140"/>
      <c r="L111" s="140"/>
      <c r="M111" s="140"/>
      <c r="N111" s="140"/>
      <c r="O111" s="140"/>
      <c r="P111" s="140"/>
      <c r="Q111" s="140"/>
      <c r="R111" s="140"/>
      <c r="S111" s="140"/>
      <c r="T111" s="139" t="s">
        <v>641</v>
      </c>
      <c r="U111" s="247">
        <f>U112</f>
        <v>0</v>
      </c>
      <c r="V111" s="247">
        <f t="shared" ref="V111:W111" si="6">V112</f>
        <v>0</v>
      </c>
      <c r="W111" s="247">
        <f t="shared" si="6"/>
        <v>0</v>
      </c>
      <c r="X111" s="256"/>
    </row>
    <row r="112" spans="1:24" s="317" customFormat="1" ht="131.25" hidden="1" customHeight="1" x14ac:dyDescent="0.25">
      <c r="A112" s="256"/>
      <c r="B112" s="140" t="s">
        <v>136</v>
      </c>
      <c r="C112" s="140" t="s">
        <v>124</v>
      </c>
      <c r="D112" s="263" t="s">
        <v>1032</v>
      </c>
      <c r="E112" s="140"/>
      <c r="F112" s="140"/>
      <c r="G112" s="140"/>
      <c r="H112" s="140"/>
      <c r="I112" s="140"/>
      <c r="J112" s="140"/>
      <c r="K112" s="140"/>
      <c r="L112" s="140"/>
      <c r="M112" s="140"/>
      <c r="N112" s="140"/>
      <c r="O112" s="140"/>
      <c r="P112" s="140"/>
      <c r="Q112" s="140"/>
      <c r="R112" s="140"/>
      <c r="S112" s="140" t="s">
        <v>290</v>
      </c>
      <c r="T112" s="139" t="s">
        <v>1001</v>
      </c>
      <c r="U112" s="247">
        <f>П6ВСР!Z95</f>
        <v>0</v>
      </c>
      <c r="V112" s="247">
        <v>0</v>
      </c>
      <c r="W112" s="247">
        <v>0</v>
      </c>
      <c r="X112" s="256"/>
    </row>
    <row r="113" spans="1:24" ht="124.5" hidden="1" customHeight="1" x14ac:dyDescent="0.25">
      <c r="A113" s="120" t="s">
        <v>327</v>
      </c>
      <c r="B113" s="121" t="s">
        <v>136</v>
      </c>
      <c r="C113" s="121" t="s">
        <v>124</v>
      </c>
      <c r="D113" s="138" t="s">
        <v>561</v>
      </c>
      <c r="E113" s="121"/>
      <c r="F113" s="121"/>
      <c r="G113" s="121"/>
      <c r="H113" s="121"/>
      <c r="I113" s="121"/>
      <c r="J113" s="121"/>
      <c r="K113" s="121"/>
      <c r="L113" s="121"/>
      <c r="M113" s="121"/>
      <c r="N113" s="121"/>
      <c r="O113" s="121"/>
      <c r="P113" s="121"/>
      <c r="Q113" s="121"/>
      <c r="R113" s="121"/>
      <c r="S113" s="121"/>
      <c r="T113" s="162" t="s">
        <v>642</v>
      </c>
      <c r="U113" s="122">
        <f>U114</f>
        <v>0</v>
      </c>
      <c r="V113" s="122">
        <f>V114</f>
        <v>0</v>
      </c>
      <c r="W113" s="122">
        <f>W114</f>
        <v>0</v>
      </c>
      <c r="X113" s="120" t="s">
        <v>327</v>
      </c>
    </row>
    <row r="114" spans="1:24" ht="93" hidden="1" customHeight="1" x14ac:dyDescent="0.25">
      <c r="A114" s="120" t="s">
        <v>328</v>
      </c>
      <c r="B114" s="124" t="s">
        <v>136</v>
      </c>
      <c r="C114" s="124" t="s">
        <v>124</v>
      </c>
      <c r="D114" s="138" t="s">
        <v>561</v>
      </c>
      <c r="E114" s="140"/>
      <c r="F114" s="140"/>
      <c r="G114" s="140"/>
      <c r="H114" s="140"/>
      <c r="I114" s="140"/>
      <c r="J114" s="140"/>
      <c r="K114" s="140"/>
      <c r="L114" s="140"/>
      <c r="M114" s="140"/>
      <c r="N114" s="140"/>
      <c r="O114" s="140"/>
      <c r="P114" s="140"/>
      <c r="Q114" s="140"/>
      <c r="R114" s="140"/>
      <c r="S114" s="140" t="s">
        <v>290</v>
      </c>
      <c r="T114" s="139" t="s">
        <v>328</v>
      </c>
      <c r="U114" s="122">
        <f>П6ВСР!Z97</f>
        <v>0</v>
      </c>
      <c r="V114" s="122">
        <f>П6ВСР!AA97</f>
        <v>0</v>
      </c>
      <c r="W114" s="122">
        <f>П6ВСР!AB97</f>
        <v>0</v>
      </c>
      <c r="X114" s="120" t="s">
        <v>328</v>
      </c>
    </row>
    <row r="115" spans="1:24" ht="0.75" customHeight="1" x14ac:dyDescent="0.25">
      <c r="A115" s="120" t="s">
        <v>329</v>
      </c>
      <c r="B115" s="121" t="s">
        <v>136</v>
      </c>
      <c r="C115" s="121" t="s">
        <v>124</v>
      </c>
      <c r="D115" s="138" t="s">
        <v>562</v>
      </c>
      <c r="E115" s="121"/>
      <c r="F115" s="121"/>
      <c r="G115" s="121"/>
      <c r="H115" s="121"/>
      <c r="I115" s="121"/>
      <c r="J115" s="121"/>
      <c r="K115" s="121"/>
      <c r="L115" s="121"/>
      <c r="M115" s="121"/>
      <c r="N115" s="121"/>
      <c r="O115" s="121"/>
      <c r="P115" s="121"/>
      <c r="Q115" s="121"/>
      <c r="R115" s="121"/>
      <c r="S115" s="121"/>
      <c r="T115" s="162" t="s">
        <v>643</v>
      </c>
      <c r="U115" s="122">
        <f>U116</f>
        <v>0</v>
      </c>
      <c r="V115" s="122">
        <f>V116</f>
        <v>0</v>
      </c>
      <c r="W115" s="122">
        <f>W116</f>
        <v>0</v>
      </c>
      <c r="X115" s="120" t="s">
        <v>329</v>
      </c>
    </row>
    <row r="116" spans="1:24" ht="129.75" hidden="1" customHeight="1" x14ac:dyDescent="0.25">
      <c r="A116" s="120" t="s">
        <v>330</v>
      </c>
      <c r="B116" s="124" t="s">
        <v>136</v>
      </c>
      <c r="C116" s="124" t="s">
        <v>124</v>
      </c>
      <c r="D116" s="138" t="s">
        <v>562</v>
      </c>
      <c r="E116" s="140"/>
      <c r="F116" s="140"/>
      <c r="G116" s="140"/>
      <c r="H116" s="140"/>
      <c r="I116" s="140"/>
      <c r="J116" s="140"/>
      <c r="K116" s="140"/>
      <c r="L116" s="140"/>
      <c r="M116" s="140"/>
      <c r="N116" s="140"/>
      <c r="O116" s="140"/>
      <c r="P116" s="140"/>
      <c r="Q116" s="140"/>
      <c r="R116" s="140"/>
      <c r="S116" s="140" t="s">
        <v>290</v>
      </c>
      <c r="T116" s="139" t="s">
        <v>330</v>
      </c>
      <c r="U116" s="122">
        <f>П6ВСР!Z99</f>
        <v>0</v>
      </c>
      <c r="V116" s="122">
        <f>П6ВСР!AA99</f>
        <v>0</v>
      </c>
      <c r="W116" s="122">
        <f>П6ВСР!AB99</f>
        <v>0</v>
      </c>
      <c r="X116" s="120" t="s">
        <v>330</v>
      </c>
    </row>
    <row r="117" spans="1:24" ht="183" customHeight="1" x14ac:dyDescent="0.25">
      <c r="A117" s="120" t="s">
        <v>331</v>
      </c>
      <c r="B117" s="121" t="s">
        <v>136</v>
      </c>
      <c r="C117" s="121" t="s">
        <v>124</v>
      </c>
      <c r="D117" s="124" t="s">
        <v>730</v>
      </c>
      <c r="E117" s="121"/>
      <c r="F117" s="121"/>
      <c r="G117" s="121"/>
      <c r="H117" s="121"/>
      <c r="I117" s="121"/>
      <c r="J117" s="121"/>
      <c r="K117" s="121"/>
      <c r="L117" s="121"/>
      <c r="M117" s="121"/>
      <c r="N117" s="121"/>
      <c r="O117" s="121"/>
      <c r="P117" s="121"/>
      <c r="Q117" s="121"/>
      <c r="R117" s="121"/>
      <c r="S117" s="121"/>
      <c r="T117" s="357" t="s">
        <v>1150</v>
      </c>
      <c r="U117" s="122">
        <f>U118</f>
        <v>21900</v>
      </c>
      <c r="V117" s="122">
        <f>V118</f>
        <v>21900</v>
      </c>
      <c r="W117" s="122">
        <f>W118</f>
        <v>21900</v>
      </c>
      <c r="X117" s="120" t="s">
        <v>331</v>
      </c>
    </row>
    <row r="118" spans="1:24" ht="123" customHeight="1" x14ac:dyDescent="0.25">
      <c r="A118" s="120" t="s">
        <v>332</v>
      </c>
      <c r="B118" s="124" t="s">
        <v>136</v>
      </c>
      <c r="C118" s="124" t="s">
        <v>124</v>
      </c>
      <c r="D118" s="124" t="s">
        <v>730</v>
      </c>
      <c r="E118" s="124"/>
      <c r="F118" s="124"/>
      <c r="G118" s="124"/>
      <c r="H118" s="124"/>
      <c r="I118" s="124"/>
      <c r="J118" s="124"/>
      <c r="K118" s="124"/>
      <c r="L118" s="124"/>
      <c r="M118" s="124"/>
      <c r="N118" s="124"/>
      <c r="O118" s="124"/>
      <c r="P118" s="124"/>
      <c r="Q118" s="124"/>
      <c r="R118" s="124"/>
      <c r="S118" s="124" t="s">
        <v>290</v>
      </c>
      <c r="T118" s="139" t="s">
        <v>729</v>
      </c>
      <c r="U118" s="122">
        <f>П6ВСР!Z101</f>
        <v>21900</v>
      </c>
      <c r="V118" s="122">
        <f>П6ВСР!AA101</f>
        <v>21900</v>
      </c>
      <c r="W118" s="122">
        <f>П6ВСР!AB101</f>
        <v>21900</v>
      </c>
      <c r="X118" s="120" t="s">
        <v>332</v>
      </c>
    </row>
    <row r="119" spans="1:24" ht="153.75" hidden="1" customHeight="1" x14ac:dyDescent="0.25">
      <c r="A119" s="120"/>
      <c r="B119" s="150" t="s">
        <v>136</v>
      </c>
      <c r="C119" s="150" t="s">
        <v>124</v>
      </c>
      <c r="D119" s="151" t="s">
        <v>564</v>
      </c>
      <c r="E119" s="150"/>
      <c r="F119" s="150"/>
      <c r="G119" s="150"/>
      <c r="H119" s="150"/>
      <c r="I119" s="150"/>
      <c r="J119" s="150"/>
      <c r="K119" s="150"/>
      <c r="L119" s="150"/>
      <c r="M119" s="150"/>
      <c r="N119" s="150"/>
      <c r="O119" s="150"/>
      <c r="P119" s="150"/>
      <c r="Q119" s="150"/>
      <c r="R119" s="150"/>
      <c r="S119" s="150"/>
      <c r="T119" s="20" t="s">
        <v>563</v>
      </c>
      <c r="U119" s="122">
        <f>U120</f>
        <v>0</v>
      </c>
      <c r="V119" s="122">
        <f>V120</f>
        <v>0</v>
      </c>
      <c r="W119" s="122">
        <f>W120</f>
        <v>0</v>
      </c>
      <c r="X119" s="120"/>
    </row>
    <row r="120" spans="1:24" ht="88.5" hidden="1" customHeight="1" x14ac:dyDescent="0.25">
      <c r="A120" s="120"/>
      <c r="B120" s="150" t="s">
        <v>136</v>
      </c>
      <c r="C120" s="150" t="s">
        <v>124</v>
      </c>
      <c r="D120" s="151" t="s">
        <v>564</v>
      </c>
      <c r="E120" s="150"/>
      <c r="F120" s="150"/>
      <c r="G120" s="150"/>
      <c r="H120" s="150"/>
      <c r="I120" s="150"/>
      <c r="J120" s="150"/>
      <c r="K120" s="150"/>
      <c r="L120" s="150"/>
      <c r="M120" s="150"/>
      <c r="N120" s="150"/>
      <c r="O120" s="150"/>
      <c r="P120" s="150"/>
      <c r="Q120" s="150"/>
      <c r="R120" s="150"/>
      <c r="S120" s="150" t="s">
        <v>243</v>
      </c>
      <c r="T120" s="367" t="s">
        <v>824</v>
      </c>
      <c r="U120" s="122">
        <f>П6ВСР!Z103</f>
        <v>0</v>
      </c>
      <c r="V120" s="122">
        <f>П6ВСР!AA103</f>
        <v>0</v>
      </c>
      <c r="W120" s="122">
        <f>П6ВСР!AB103</f>
        <v>0</v>
      </c>
      <c r="X120" s="120"/>
    </row>
    <row r="121" spans="1:24" ht="194.25" hidden="1" customHeight="1" x14ac:dyDescent="0.25">
      <c r="A121" s="193"/>
      <c r="B121" s="150" t="s">
        <v>136</v>
      </c>
      <c r="C121" s="150" t="s">
        <v>124</v>
      </c>
      <c r="D121" s="151" t="s">
        <v>566</v>
      </c>
      <c r="E121" s="150"/>
      <c r="F121" s="150"/>
      <c r="G121" s="150"/>
      <c r="H121" s="150"/>
      <c r="I121" s="150"/>
      <c r="J121" s="150"/>
      <c r="K121" s="150"/>
      <c r="L121" s="150"/>
      <c r="M121" s="150"/>
      <c r="N121" s="150"/>
      <c r="O121" s="150"/>
      <c r="P121" s="150"/>
      <c r="Q121" s="150"/>
      <c r="R121" s="150"/>
      <c r="S121" s="150"/>
      <c r="T121" s="167" t="s">
        <v>565</v>
      </c>
      <c r="U121" s="194">
        <f>U122</f>
        <v>0</v>
      </c>
      <c r="V121" s="122">
        <f>V122</f>
        <v>0</v>
      </c>
      <c r="W121" s="122">
        <f>W122</f>
        <v>0</v>
      </c>
      <c r="X121" s="120"/>
    </row>
    <row r="122" spans="1:24" ht="198.75" hidden="1" customHeight="1" x14ac:dyDescent="0.25">
      <c r="A122" s="193"/>
      <c r="B122" s="150" t="s">
        <v>136</v>
      </c>
      <c r="C122" s="150" t="s">
        <v>124</v>
      </c>
      <c r="D122" s="151" t="s">
        <v>566</v>
      </c>
      <c r="E122" s="150"/>
      <c r="F122" s="150"/>
      <c r="G122" s="150"/>
      <c r="H122" s="150"/>
      <c r="I122" s="150"/>
      <c r="J122" s="150"/>
      <c r="K122" s="150"/>
      <c r="L122" s="150"/>
      <c r="M122" s="150"/>
      <c r="N122" s="150"/>
      <c r="O122" s="150"/>
      <c r="P122" s="150"/>
      <c r="Q122" s="150"/>
      <c r="R122" s="150"/>
      <c r="S122" s="150" t="s">
        <v>243</v>
      </c>
      <c r="T122" s="168" t="s">
        <v>644</v>
      </c>
      <c r="U122" s="194">
        <f>П6ВСР!Z105</f>
        <v>0</v>
      </c>
      <c r="V122" s="122">
        <f>П6ВСР!AA105</f>
        <v>0</v>
      </c>
      <c r="W122" s="122">
        <f>П6ВСР!AB105</f>
        <v>0</v>
      </c>
      <c r="X122" s="120"/>
    </row>
    <row r="123" spans="1:24" ht="0.75" hidden="1" customHeight="1" x14ac:dyDescent="0.25">
      <c r="A123" s="120" t="s">
        <v>252</v>
      </c>
      <c r="B123" s="195" t="s">
        <v>136</v>
      </c>
      <c r="C123" s="195" t="s">
        <v>125</v>
      </c>
      <c r="D123" s="195"/>
      <c r="E123" s="195"/>
      <c r="F123" s="195"/>
      <c r="G123" s="195"/>
      <c r="H123" s="195"/>
      <c r="I123" s="195"/>
      <c r="J123" s="195"/>
      <c r="K123" s="195"/>
      <c r="L123" s="195"/>
      <c r="M123" s="195"/>
      <c r="N123" s="195"/>
      <c r="O123" s="195"/>
      <c r="P123" s="195"/>
      <c r="Q123" s="195"/>
      <c r="R123" s="195"/>
      <c r="S123" s="195"/>
      <c r="T123" s="196" t="s">
        <v>252</v>
      </c>
      <c r="U123" s="122">
        <f>U124+U126</f>
        <v>0</v>
      </c>
      <c r="V123" s="122">
        <f>V124+V126</f>
        <v>0</v>
      </c>
      <c r="W123" s="122">
        <f>W124+W126</f>
        <v>0</v>
      </c>
      <c r="X123" s="120" t="s">
        <v>252</v>
      </c>
    </row>
    <row r="124" spans="1:24" s="317" customFormat="1" ht="111" hidden="1" customHeight="1" x14ac:dyDescent="0.25">
      <c r="A124" s="256" t="s">
        <v>333</v>
      </c>
      <c r="B124" s="172" t="s">
        <v>136</v>
      </c>
      <c r="C124" s="172" t="s">
        <v>125</v>
      </c>
      <c r="D124" s="263" t="s">
        <v>1002</v>
      </c>
      <c r="E124" s="172"/>
      <c r="F124" s="172"/>
      <c r="G124" s="172"/>
      <c r="H124" s="172"/>
      <c r="I124" s="172"/>
      <c r="J124" s="172"/>
      <c r="K124" s="172"/>
      <c r="L124" s="172"/>
      <c r="M124" s="172"/>
      <c r="N124" s="172"/>
      <c r="O124" s="172"/>
      <c r="P124" s="172"/>
      <c r="Q124" s="172"/>
      <c r="R124" s="172"/>
      <c r="S124" s="172"/>
      <c r="T124" s="162" t="s">
        <v>1003</v>
      </c>
      <c r="U124" s="247">
        <f>U125</f>
        <v>0</v>
      </c>
      <c r="V124" s="247">
        <f>V125</f>
        <v>0</v>
      </c>
      <c r="W124" s="247">
        <f>W125</f>
        <v>0</v>
      </c>
      <c r="X124" s="256" t="s">
        <v>333</v>
      </c>
    </row>
    <row r="125" spans="1:24" s="317" customFormat="1" ht="74.25" hidden="1" customHeight="1" x14ac:dyDescent="0.25">
      <c r="A125" s="256" t="s">
        <v>334</v>
      </c>
      <c r="B125" s="140" t="s">
        <v>136</v>
      </c>
      <c r="C125" s="140" t="s">
        <v>125</v>
      </c>
      <c r="D125" s="263" t="s">
        <v>1002</v>
      </c>
      <c r="E125" s="140"/>
      <c r="F125" s="140"/>
      <c r="G125" s="140"/>
      <c r="H125" s="140"/>
      <c r="I125" s="140"/>
      <c r="J125" s="140"/>
      <c r="K125" s="140"/>
      <c r="L125" s="140"/>
      <c r="M125" s="140"/>
      <c r="N125" s="140"/>
      <c r="O125" s="140"/>
      <c r="P125" s="140"/>
      <c r="Q125" s="140"/>
      <c r="R125" s="140"/>
      <c r="S125" s="140" t="s">
        <v>290</v>
      </c>
      <c r="T125" s="139" t="s">
        <v>334</v>
      </c>
      <c r="U125" s="247">
        <f>П6ВСР!Z108</f>
        <v>0</v>
      </c>
      <c r="V125" s="247">
        <f>П6ВСР!AA108</f>
        <v>0</v>
      </c>
      <c r="W125" s="247">
        <f>П6ВСР!AB108</f>
        <v>0</v>
      </c>
      <c r="X125" s="256" t="s">
        <v>334</v>
      </c>
    </row>
    <row r="126" spans="1:24" ht="123.75" hidden="1" customHeight="1" x14ac:dyDescent="0.25">
      <c r="A126" s="120" t="s">
        <v>335</v>
      </c>
      <c r="B126" s="121" t="s">
        <v>136</v>
      </c>
      <c r="C126" s="121" t="s">
        <v>125</v>
      </c>
      <c r="D126" s="138" t="s">
        <v>567</v>
      </c>
      <c r="E126" s="172"/>
      <c r="F126" s="172"/>
      <c r="G126" s="172"/>
      <c r="H126" s="172"/>
      <c r="I126" s="172"/>
      <c r="J126" s="172"/>
      <c r="K126" s="172"/>
      <c r="L126" s="172"/>
      <c r="M126" s="172"/>
      <c r="N126" s="172"/>
      <c r="O126" s="172"/>
      <c r="P126" s="172"/>
      <c r="Q126" s="172"/>
      <c r="R126" s="172"/>
      <c r="S126" s="172"/>
      <c r="T126" s="162" t="s">
        <v>645</v>
      </c>
      <c r="U126" s="122">
        <f>U127</f>
        <v>0</v>
      </c>
      <c r="V126" s="122">
        <f>V127</f>
        <v>0</v>
      </c>
      <c r="W126" s="122">
        <f>W127</f>
        <v>0</v>
      </c>
      <c r="X126" s="120" t="s">
        <v>335</v>
      </c>
    </row>
    <row r="127" spans="1:24" ht="93" hidden="1" customHeight="1" x14ac:dyDescent="0.25">
      <c r="A127" s="120" t="s">
        <v>336</v>
      </c>
      <c r="B127" s="124" t="s">
        <v>136</v>
      </c>
      <c r="C127" s="124" t="s">
        <v>125</v>
      </c>
      <c r="D127" s="138" t="s">
        <v>567</v>
      </c>
      <c r="E127" s="140"/>
      <c r="F127" s="140"/>
      <c r="G127" s="140"/>
      <c r="H127" s="140"/>
      <c r="I127" s="140"/>
      <c r="J127" s="140"/>
      <c r="K127" s="140"/>
      <c r="L127" s="140"/>
      <c r="M127" s="140"/>
      <c r="N127" s="140"/>
      <c r="O127" s="140"/>
      <c r="P127" s="140"/>
      <c r="Q127" s="140"/>
      <c r="R127" s="140"/>
      <c r="S127" s="140" t="s">
        <v>290</v>
      </c>
      <c r="T127" s="139" t="s">
        <v>336</v>
      </c>
      <c r="U127" s="122">
        <f>П6ВСР!Z110</f>
        <v>0</v>
      </c>
      <c r="V127" s="122">
        <f>П6ВСР!AA110</f>
        <v>0</v>
      </c>
      <c r="W127" s="122">
        <f>П6ВСР!AB110</f>
        <v>0</v>
      </c>
      <c r="X127" s="120" t="s">
        <v>336</v>
      </c>
    </row>
    <row r="128" spans="1:24" ht="0.75" customHeight="1" x14ac:dyDescent="0.25">
      <c r="A128" s="120" t="s">
        <v>148</v>
      </c>
      <c r="B128" s="121" t="s">
        <v>136</v>
      </c>
      <c r="C128" s="121" t="s">
        <v>126</v>
      </c>
      <c r="D128" s="121"/>
      <c r="E128" s="121"/>
      <c r="F128" s="121"/>
      <c r="G128" s="121"/>
      <c r="H128" s="121"/>
      <c r="I128" s="121"/>
      <c r="J128" s="121"/>
      <c r="K128" s="121"/>
      <c r="L128" s="121"/>
      <c r="M128" s="121"/>
      <c r="N128" s="121"/>
      <c r="O128" s="121"/>
      <c r="P128" s="121"/>
      <c r="Q128" s="121"/>
      <c r="R128" s="121"/>
      <c r="S128" s="121"/>
      <c r="T128" s="120" t="s">
        <v>148</v>
      </c>
      <c r="U128" s="122">
        <f>U129+U131+U135+U137+U139+U141+U145+U147+U149+U133+U143</f>
        <v>0</v>
      </c>
      <c r="V128" s="122">
        <f>V129+V131+V135+V137+V139+V141+V145+V147</f>
        <v>0</v>
      </c>
      <c r="W128" s="122">
        <f>W129+W131+W135+W137+W139+W141+W145+W147</f>
        <v>0</v>
      </c>
      <c r="X128" s="120" t="s">
        <v>148</v>
      </c>
    </row>
    <row r="129" spans="1:24" ht="1.5" hidden="1" customHeight="1" x14ac:dyDescent="0.25">
      <c r="A129" s="120" t="s">
        <v>337</v>
      </c>
      <c r="B129" s="138" t="s">
        <v>136</v>
      </c>
      <c r="C129" s="138" t="s">
        <v>126</v>
      </c>
      <c r="D129" s="138" t="s">
        <v>569</v>
      </c>
      <c r="E129" s="143"/>
      <c r="F129" s="143"/>
      <c r="G129" s="143"/>
      <c r="H129" s="143"/>
      <c r="I129" s="143"/>
      <c r="J129" s="143"/>
      <c r="K129" s="143"/>
      <c r="L129" s="143"/>
      <c r="M129" s="143"/>
      <c r="N129" s="143"/>
      <c r="O129" s="143"/>
      <c r="P129" s="143"/>
      <c r="Q129" s="143"/>
      <c r="R129" s="143"/>
      <c r="S129" s="143"/>
      <c r="T129" s="20" t="s">
        <v>568</v>
      </c>
      <c r="U129" s="122">
        <f>U130</f>
        <v>0</v>
      </c>
      <c r="V129" s="122">
        <f>V130</f>
        <v>0</v>
      </c>
      <c r="W129" s="122">
        <f>W130</f>
        <v>0</v>
      </c>
      <c r="X129" s="120" t="s">
        <v>337</v>
      </c>
    </row>
    <row r="130" spans="1:24" ht="81" hidden="1" customHeight="1" x14ac:dyDescent="0.25">
      <c r="A130" s="120" t="s">
        <v>338</v>
      </c>
      <c r="B130" s="138" t="s">
        <v>136</v>
      </c>
      <c r="C130" s="138" t="s">
        <v>126</v>
      </c>
      <c r="D130" s="138" t="s">
        <v>569</v>
      </c>
      <c r="E130" s="143"/>
      <c r="F130" s="143"/>
      <c r="G130" s="143"/>
      <c r="H130" s="143"/>
      <c r="I130" s="143"/>
      <c r="J130" s="143"/>
      <c r="K130" s="143"/>
      <c r="L130" s="143"/>
      <c r="M130" s="143"/>
      <c r="N130" s="143"/>
      <c r="O130" s="143"/>
      <c r="P130" s="143"/>
      <c r="Q130" s="143"/>
      <c r="R130" s="143"/>
      <c r="S130" s="138" t="s">
        <v>290</v>
      </c>
      <c r="T130" s="251" t="s">
        <v>646</v>
      </c>
      <c r="U130" s="122">
        <f>П6ВСР!Z113</f>
        <v>0</v>
      </c>
      <c r="V130" s="122">
        <f>П6ВСР!AA113</f>
        <v>0</v>
      </c>
      <c r="W130" s="122">
        <f>П6ВСР!AB113</f>
        <v>0</v>
      </c>
      <c r="X130" s="120" t="s">
        <v>338</v>
      </c>
    </row>
    <row r="131" spans="1:24" ht="124.5" hidden="1" customHeight="1" x14ac:dyDescent="0.25">
      <c r="A131" s="120" t="s">
        <v>339</v>
      </c>
      <c r="B131" s="121" t="s">
        <v>136</v>
      </c>
      <c r="C131" s="121" t="s">
        <v>126</v>
      </c>
      <c r="D131" s="138" t="s">
        <v>570</v>
      </c>
      <c r="E131" s="121"/>
      <c r="F131" s="121"/>
      <c r="G131" s="121"/>
      <c r="H131" s="121"/>
      <c r="I131" s="121"/>
      <c r="J131" s="121"/>
      <c r="K131" s="121"/>
      <c r="L131" s="121"/>
      <c r="M131" s="121"/>
      <c r="N131" s="121"/>
      <c r="O131" s="121"/>
      <c r="P131" s="121"/>
      <c r="Q131" s="121"/>
      <c r="R131" s="121"/>
      <c r="S131" s="121"/>
      <c r="T131" s="169" t="s">
        <v>647</v>
      </c>
      <c r="U131" s="122">
        <f>U132</f>
        <v>0</v>
      </c>
      <c r="V131" s="122">
        <f>V132</f>
        <v>0</v>
      </c>
      <c r="W131" s="122">
        <f>W132</f>
        <v>0</v>
      </c>
      <c r="X131" s="120" t="s">
        <v>339</v>
      </c>
    </row>
    <row r="132" spans="1:24" ht="83.25" hidden="1" customHeight="1" x14ac:dyDescent="0.25">
      <c r="A132" s="120" t="s">
        <v>340</v>
      </c>
      <c r="B132" s="124" t="s">
        <v>136</v>
      </c>
      <c r="C132" s="124" t="s">
        <v>126</v>
      </c>
      <c r="D132" s="138" t="s">
        <v>570</v>
      </c>
      <c r="E132" s="124"/>
      <c r="F132" s="124"/>
      <c r="G132" s="124"/>
      <c r="H132" s="124"/>
      <c r="I132" s="124"/>
      <c r="J132" s="124"/>
      <c r="K132" s="124"/>
      <c r="L132" s="124"/>
      <c r="M132" s="124"/>
      <c r="N132" s="124"/>
      <c r="O132" s="124"/>
      <c r="P132" s="124"/>
      <c r="Q132" s="124"/>
      <c r="R132" s="124"/>
      <c r="S132" s="124" t="s">
        <v>290</v>
      </c>
      <c r="T132" s="139" t="s">
        <v>338</v>
      </c>
      <c r="U132" s="122">
        <f>П6ВСР!Z115</f>
        <v>0</v>
      </c>
      <c r="V132" s="122">
        <f>П6ВСР!AA115</f>
        <v>0</v>
      </c>
      <c r="W132" s="122">
        <f>П6ВСР!AB115</f>
        <v>0</v>
      </c>
      <c r="X132" s="120" t="s">
        <v>340</v>
      </c>
    </row>
    <row r="133" spans="1:24" ht="147.75" hidden="1" customHeight="1" x14ac:dyDescent="0.25">
      <c r="A133" s="120"/>
      <c r="B133" s="124" t="s">
        <v>136</v>
      </c>
      <c r="C133" s="124" t="s">
        <v>126</v>
      </c>
      <c r="D133" s="263" t="s">
        <v>1008</v>
      </c>
      <c r="E133" s="124"/>
      <c r="F133" s="124"/>
      <c r="G133" s="124"/>
      <c r="H133" s="124"/>
      <c r="I133" s="124"/>
      <c r="J133" s="124"/>
      <c r="K133" s="124"/>
      <c r="L133" s="124"/>
      <c r="M133" s="124"/>
      <c r="N133" s="124"/>
      <c r="O133" s="124"/>
      <c r="P133" s="124"/>
      <c r="Q133" s="124"/>
      <c r="R133" s="124"/>
      <c r="S133" s="124"/>
      <c r="T133" s="162" t="s">
        <v>1009</v>
      </c>
      <c r="U133" s="122">
        <f>U134</f>
        <v>0</v>
      </c>
      <c r="V133" s="122">
        <v>0</v>
      </c>
      <c r="W133" s="122">
        <v>0</v>
      </c>
      <c r="X133" s="120"/>
    </row>
    <row r="134" spans="1:24" ht="126" hidden="1" customHeight="1" x14ac:dyDescent="0.25">
      <c r="A134" s="120"/>
      <c r="B134" s="124" t="s">
        <v>136</v>
      </c>
      <c r="C134" s="124" t="s">
        <v>126</v>
      </c>
      <c r="D134" s="263" t="s">
        <v>1008</v>
      </c>
      <c r="E134" s="124"/>
      <c r="F134" s="124"/>
      <c r="G134" s="124"/>
      <c r="H134" s="124"/>
      <c r="I134" s="124"/>
      <c r="J134" s="124"/>
      <c r="K134" s="124"/>
      <c r="L134" s="124"/>
      <c r="M134" s="124"/>
      <c r="N134" s="124"/>
      <c r="O134" s="124"/>
      <c r="P134" s="124"/>
      <c r="Q134" s="124"/>
      <c r="R134" s="124"/>
      <c r="S134" s="124" t="s">
        <v>290</v>
      </c>
      <c r="T134" s="139" t="s">
        <v>1010</v>
      </c>
      <c r="U134" s="122">
        <f>П6ВСР!Z117</f>
        <v>0</v>
      </c>
      <c r="V134" s="122">
        <v>0</v>
      </c>
      <c r="W134" s="122">
        <v>0</v>
      </c>
      <c r="X134" s="120"/>
    </row>
    <row r="135" spans="1:24" ht="0.75" hidden="1" customHeight="1" x14ac:dyDescent="0.25">
      <c r="A135" s="120" t="s">
        <v>341</v>
      </c>
      <c r="B135" s="121" t="s">
        <v>136</v>
      </c>
      <c r="C135" s="121" t="s">
        <v>126</v>
      </c>
      <c r="D135" s="138" t="s">
        <v>571</v>
      </c>
      <c r="E135" s="121"/>
      <c r="F135" s="121"/>
      <c r="G135" s="121"/>
      <c r="H135" s="121"/>
      <c r="I135" s="121"/>
      <c r="J135" s="121"/>
      <c r="K135" s="121"/>
      <c r="L135" s="121"/>
      <c r="M135" s="121"/>
      <c r="N135" s="121"/>
      <c r="O135" s="121"/>
      <c r="P135" s="121"/>
      <c r="Q135" s="121"/>
      <c r="R135" s="121"/>
      <c r="S135" s="121"/>
      <c r="T135" s="162" t="s">
        <v>648</v>
      </c>
      <c r="U135" s="122">
        <f>U136</f>
        <v>0</v>
      </c>
      <c r="V135" s="122">
        <f>V136</f>
        <v>0</v>
      </c>
      <c r="W135" s="122">
        <f>W136</f>
        <v>0</v>
      </c>
      <c r="X135" s="120" t="s">
        <v>341</v>
      </c>
    </row>
    <row r="136" spans="1:24" ht="111.75" hidden="1" customHeight="1" x14ac:dyDescent="0.25">
      <c r="A136" s="120" t="s">
        <v>342</v>
      </c>
      <c r="B136" s="124" t="s">
        <v>136</v>
      </c>
      <c r="C136" s="124" t="s">
        <v>126</v>
      </c>
      <c r="D136" s="138" t="s">
        <v>571</v>
      </c>
      <c r="E136" s="124"/>
      <c r="F136" s="124"/>
      <c r="G136" s="124"/>
      <c r="H136" s="124"/>
      <c r="I136" s="124"/>
      <c r="J136" s="124"/>
      <c r="K136" s="124"/>
      <c r="L136" s="124"/>
      <c r="M136" s="124"/>
      <c r="N136" s="124"/>
      <c r="O136" s="124"/>
      <c r="P136" s="124"/>
      <c r="Q136" s="124"/>
      <c r="R136" s="124"/>
      <c r="S136" s="124" t="s">
        <v>290</v>
      </c>
      <c r="T136" s="139" t="s">
        <v>340</v>
      </c>
      <c r="U136" s="122">
        <f>П6ВСР!Z119</f>
        <v>0</v>
      </c>
      <c r="V136" s="122">
        <f>П6ВСР!AA119</f>
        <v>0</v>
      </c>
      <c r="W136" s="122">
        <f>П6ВСР!AB119</f>
        <v>0</v>
      </c>
      <c r="X136" s="120" t="s">
        <v>342</v>
      </c>
    </row>
    <row r="137" spans="1:24" ht="121.5" hidden="1" customHeight="1" x14ac:dyDescent="0.25">
      <c r="A137" s="120" t="s">
        <v>343</v>
      </c>
      <c r="B137" s="121" t="s">
        <v>136</v>
      </c>
      <c r="C137" s="121" t="s">
        <v>126</v>
      </c>
      <c r="D137" s="138" t="s">
        <v>572</v>
      </c>
      <c r="E137" s="121"/>
      <c r="F137" s="121"/>
      <c r="G137" s="121"/>
      <c r="H137" s="121"/>
      <c r="I137" s="121"/>
      <c r="J137" s="121"/>
      <c r="K137" s="121"/>
      <c r="L137" s="121"/>
      <c r="M137" s="121"/>
      <c r="N137" s="121"/>
      <c r="O137" s="121"/>
      <c r="P137" s="121"/>
      <c r="Q137" s="121"/>
      <c r="R137" s="121"/>
      <c r="S137" s="121"/>
      <c r="T137" s="162" t="s">
        <v>649</v>
      </c>
      <c r="U137" s="122">
        <f>U138</f>
        <v>0</v>
      </c>
      <c r="V137" s="122">
        <f>V138</f>
        <v>0</v>
      </c>
      <c r="W137" s="122">
        <f>W138</f>
        <v>0</v>
      </c>
      <c r="X137" s="120" t="s">
        <v>343</v>
      </c>
    </row>
    <row r="138" spans="1:24" ht="104.25" hidden="1" customHeight="1" x14ac:dyDescent="0.25">
      <c r="A138" s="120" t="s">
        <v>344</v>
      </c>
      <c r="B138" s="124" t="s">
        <v>136</v>
      </c>
      <c r="C138" s="124" t="s">
        <v>126</v>
      </c>
      <c r="D138" s="138" t="s">
        <v>572</v>
      </c>
      <c r="E138" s="124"/>
      <c r="F138" s="124"/>
      <c r="G138" s="124"/>
      <c r="H138" s="124"/>
      <c r="I138" s="124"/>
      <c r="J138" s="124"/>
      <c r="K138" s="124"/>
      <c r="L138" s="124"/>
      <c r="M138" s="124"/>
      <c r="N138" s="124"/>
      <c r="O138" s="124"/>
      <c r="P138" s="124"/>
      <c r="Q138" s="124"/>
      <c r="R138" s="124"/>
      <c r="S138" s="124" t="s">
        <v>290</v>
      </c>
      <c r="T138" s="139" t="s">
        <v>342</v>
      </c>
      <c r="U138" s="122">
        <f>П6ВСР!Z121</f>
        <v>0</v>
      </c>
      <c r="V138" s="122">
        <f>П6ВСР!AA121</f>
        <v>0</v>
      </c>
      <c r="W138" s="122">
        <f>П6ВСР!AB121</f>
        <v>0</v>
      </c>
      <c r="X138" s="120" t="s">
        <v>344</v>
      </c>
    </row>
    <row r="139" spans="1:24" ht="0.75" hidden="1" customHeight="1" x14ac:dyDescent="0.25">
      <c r="A139" s="120" t="s">
        <v>345</v>
      </c>
      <c r="B139" s="121" t="s">
        <v>136</v>
      </c>
      <c r="C139" s="121" t="s">
        <v>126</v>
      </c>
      <c r="D139" s="138" t="s">
        <v>573</v>
      </c>
      <c r="E139" s="121"/>
      <c r="F139" s="121"/>
      <c r="G139" s="121"/>
      <c r="H139" s="121"/>
      <c r="I139" s="121"/>
      <c r="J139" s="121"/>
      <c r="K139" s="121"/>
      <c r="L139" s="121"/>
      <c r="M139" s="121"/>
      <c r="N139" s="121"/>
      <c r="O139" s="121"/>
      <c r="P139" s="121"/>
      <c r="Q139" s="121"/>
      <c r="R139" s="121"/>
      <c r="S139" s="121"/>
      <c r="T139" s="162" t="s">
        <v>650</v>
      </c>
      <c r="U139" s="122">
        <f>U140</f>
        <v>0</v>
      </c>
      <c r="V139" s="122">
        <f>V140</f>
        <v>0</v>
      </c>
      <c r="W139" s="122">
        <f>W140</f>
        <v>0</v>
      </c>
      <c r="X139" s="120" t="s">
        <v>345</v>
      </c>
    </row>
    <row r="140" spans="1:24" ht="74.25" hidden="1" customHeight="1" x14ac:dyDescent="0.25">
      <c r="A140" s="120" t="s">
        <v>346</v>
      </c>
      <c r="B140" s="140" t="s">
        <v>136</v>
      </c>
      <c r="C140" s="140" t="s">
        <v>126</v>
      </c>
      <c r="D140" s="138" t="s">
        <v>573</v>
      </c>
      <c r="E140" s="140"/>
      <c r="F140" s="140"/>
      <c r="G140" s="140"/>
      <c r="H140" s="140"/>
      <c r="I140" s="140"/>
      <c r="J140" s="140"/>
      <c r="K140" s="140"/>
      <c r="L140" s="140"/>
      <c r="M140" s="140"/>
      <c r="N140" s="140"/>
      <c r="O140" s="140"/>
      <c r="P140" s="140"/>
      <c r="Q140" s="140"/>
      <c r="R140" s="140"/>
      <c r="S140" s="140" t="s">
        <v>290</v>
      </c>
      <c r="T140" s="139" t="s">
        <v>344</v>
      </c>
      <c r="U140" s="122">
        <f>П6ВСР!Z123</f>
        <v>0</v>
      </c>
      <c r="V140" s="122">
        <f>П6ВСР!AA123</f>
        <v>0</v>
      </c>
      <c r="W140" s="122">
        <f>П6ВСР!AB123</f>
        <v>0</v>
      </c>
      <c r="X140" s="120" t="s">
        <v>346</v>
      </c>
    </row>
    <row r="141" spans="1:24" ht="0.75" hidden="1" customHeight="1" x14ac:dyDescent="0.25">
      <c r="A141" s="120" t="s">
        <v>347</v>
      </c>
      <c r="B141" s="172" t="s">
        <v>136</v>
      </c>
      <c r="C141" s="172" t="s">
        <v>126</v>
      </c>
      <c r="D141" s="138" t="s">
        <v>844</v>
      </c>
      <c r="E141" s="172"/>
      <c r="F141" s="172"/>
      <c r="G141" s="172"/>
      <c r="H141" s="172"/>
      <c r="I141" s="172"/>
      <c r="J141" s="172"/>
      <c r="K141" s="172"/>
      <c r="L141" s="172"/>
      <c r="M141" s="172"/>
      <c r="N141" s="172"/>
      <c r="O141" s="172"/>
      <c r="P141" s="172"/>
      <c r="Q141" s="172"/>
      <c r="R141" s="172"/>
      <c r="S141" s="172"/>
      <c r="T141" s="162" t="s">
        <v>842</v>
      </c>
      <c r="U141" s="122">
        <f>U142</f>
        <v>0</v>
      </c>
      <c r="V141" s="122">
        <f>V142</f>
        <v>0</v>
      </c>
      <c r="W141" s="122">
        <f>W142</f>
        <v>0</v>
      </c>
      <c r="X141" s="120" t="s">
        <v>347</v>
      </c>
    </row>
    <row r="142" spans="1:24" ht="85.5" hidden="1" customHeight="1" x14ac:dyDescent="0.25">
      <c r="A142" s="120" t="s">
        <v>348</v>
      </c>
      <c r="B142" s="140" t="s">
        <v>136</v>
      </c>
      <c r="C142" s="140" t="s">
        <v>126</v>
      </c>
      <c r="D142" s="138" t="s">
        <v>844</v>
      </c>
      <c r="E142" s="140"/>
      <c r="F142" s="140"/>
      <c r="G142" s="140"/>
      <c r="H142" s="140"/>
      <c r="I142" s="140"/>
      <c r="J142" s="140"/>
      <c r="K142" s="140"/>
      <c r="L142" s="140"/>
      <c r="M142" s="140"/>
      <c r="N142" s="140"/>
      <c r="O142" s="140"/>
      <c r="P142" s="140"/>
      <c r="Q142" s="140"/>
      <c r="R142" s="140"/>
      <c r="S142" s="140" t="s">
        <v>290</v>
      </c>
      <c r="T142" s="139" t="s">
        <v>843</v>
      </c>
      <c r="U142" s="122">
        <f>П6ВСР!Z125</f>
        <v>0</v>
      </c>
      <c r="V142" s="122">
        <f>П6ВСР!AA125</f>
        <v>0</v>
      </c>
      <c r="W142" s="122">
        <f>П6ВСР!AB125</f>
        <v>0</v>
      </c>
      <c r="X142" s="120" t="s">
        <v>348</v>
      </c>
    </row>
    <row r="143" spans="1:24" ht="108" hidden="1" customHeight="1" x14ac:dyDescent="0.25">
      <c r="A143" s="120"/>
      <c r="B143" s="140" t="s">
        <v>136</v>
      </c>
      <c r="C143" s="140" t="s">
        <v>126</v>
      </c>
      <c r="D143" s="263" t="s">
        <v>1019</v>
      </c>
      <c r="E143" s="140"/>
      <c r="F143" s="140"/>
      <c r="G143" s="140"/>
      <c r="H143" s="140"/>
      <c r="I143" s="140"/>
      <c r="J143" s="140"/>
      <c r="K143" s="140"/>
      <c r="L143" s="140"/>
      <c r="M143" s="140"/>
      <c r="N143" s="140"/>
      <c r="O143" s="140"/>
      <c r="P143" s="140"/>
      <c r="Q143" s="140"/>
      <c r="R143" s="140"/>
      <c r="S143" s="140"/>
      <c r="T143" s="162" t="s">
        <v>1017</v>
      </c>
      <c r="U143" s="122">
        <f>U144</f>
        <v>0</v>
      </c>
      <c r="V143" s="122">
        <v>0</v>
      </c>
      <c r="W143" s="122">
        <v>0</v>
      </c>
      <c r="X143" s="120"/>
    </row>
    <row r="144" spans="1:24" ht="85.5" hidden="1" customHeight="1" x14ac:dyDescent="0.25">
      <c r="A144" s="120"/>
      <c r="B144" s="140" t="s">
        <v>136</v>
      </c>
      <c r="C144" s="140" t="s">
        <v>126</v>
      </c>
      <c r="D144" s="263" t="s">
        <v>1019</v>
      </c>
      <c r="E144" s="140"/>
      <c r="F144" s="140"/>
      <c r="G144" s="140"/>
      <c r="H144" s="140"/>
      <c r="I144" s="140"/>
      <c r="J144" s="140"/>
      <c r="K144" s="140"/>
      <c r="L144" s="140"/>
      <c r="M144" s="140"/>
      <c r="N144" s="140"/>
      <c r="O144" s="140"/>
      <c r="P144" s="140"/>
      <c r="Q144" s="140"/>
      <c r="R144" s="140"/>
      <c r="S144" s="140" t="s">
        <v>290</v>
      </c>
      <c r="T144" s="162" t="s">
        <v>1018</v>
      </c>
      <c r="U144" s="122">
        <f>П6ВСР!Z127</f>
        <v>0</v>
      </c>
      <c r="V144" s="122">
        <v>0</v>
      </c>
      <c r="W144" s="122">
        <v>0</v>
      </c>
      <c r="X144" s="120"/>
    </row>
    <row r="145" spans="1:24" ht="123" hidden="1" customHeight="1" x14ac:dyDescent="0.25">
      <c r="A145" s="120" t="s">
        <v>349</v>
      </c>
      <c r="B145" s="121" t="s">
        <v>136</v>
      </c>
      <c r="C145" s="121" t="s">
        <v>126</v>
      </c>
      <c r="D145" s="138" t="s">
        <v>574</v>
      </c>
      <c r="E145" s="121"/>
      <c r="F145" s="121"/>
      <c r="G145" s="121"/>
      <c r="H145" s="121"/>
      <c r="I145" s="121"/>
      <c r="J145" s="121"/>
      <c r="K145" s="121"/>
      <c r="L145" s="121"/>
      <c r="M145" s="121"/>
      <c r="N145" s="121"/>
      <c r="O145" s="121"/>
      <c r="P145" s="121"/>
      <c r="Q145" s="121"/>
      <c r="R145" s="121"/>
      <c r="S145" s="121"/>
      <c r="T145" s="162" t="s">
        <v>651</v>
      </c>
      <c r="U145" s="122">
        <f>U146</f>
        <v>0</v>
      </c>
      <c r="V145" s="122">
        <f>V146</f>
        <v>0</v>
      </c>
      <c r="W145" s="122">
        <f>W146</f>
        <v>0</v>
      </c>
      <c r="X145" s="120" t="s">
        <v>349</v>
      </c>
    </row>
    <row r="146" spans="1:24" ht="88.5" hidden="1" customHeight="1" x14ac:dyDescent="0.25">
      <c r="A146" s="126" t="s">
        <v>350</v>
      </c>
      <c r="B146" s="124" t="s">
        <v>136</v>
      </c>
      <c r="C146" s="124" t="s">
        <v>126</v>
      </c>
      <c r="D146" s="138" t="s">
        <v>574</v>
      </c>
      <c r="E146" s="124"/>
      <c r="F146" s="124"/>
      <c r="G146" s="124"/>
      <c r="H146" s="124"/>
      <c r="I146" s="124"/>
      <c r="J146" s="124"/>
      <c r="K146" s="124"/>
      <c r="L146" s="124"/>
      <c r="M146" s="124"/>
      <c r="N146" s="124"/>
      <c r="O146" s="124"/>
      <c r="P146" s="124"/>
      <c r="Q146" s="124"/>
      <c r="R146" s="124"/>
      <c r="S146" s="124" t="s">
        <v>290</v>
      </c>
      <c r="T146" s="139" t="s">
        <v>348</v>
      </c>
      <c r="U146" s="122">
        <f>П6ВСР!Z129</f>
        <v>0</v>
      </c>
      <c r="V146" s="122">
        <f>П6ВСР!AA129</f>
        <v>0</v>
      </c>
      <c r="W146" s="122">
        <f>П6ВСР!AB129</f>
        <v>0</v>
      </c>
      <c r="X146" s="126" t="s">
        <v>350</v>
      </c>
    </row>
    <row r="147" spans="1:24" ht="0.75" hidden="1" customHeight="1" x14ac:dyDescent="0.25">
      <c r="A147" s="120" t="s">
        <v>351</v>
      </c>
      <c r="B147" s="121" t="s">
        <v>136</v>
      </c>
      <c r="C147" s="121" t="s">
        <v>126</v>
      </c>
      <c r="D147" s="138" t="s">
        <v>575</v>
      </c>
      <c r="E147" s="121"/>
      <c r="F147" s="121"/>
      <c r="G147" s="121"/>
      <c r="H147" s="121"/>
      <c r="I147" s="121"/>
      <c r="J147" s="121"/>
      <c r="K147" s="121"/>
      <c r="L147" s="121"/>
      <c r="M147" s="121"/>
      <c r="N147" s="121"/>
      <c r="O147" s="121"/>
      <c r="P147" s="121"/>
      <c r="Q147" s="121"/>
      <c r="R147" s="121"/>
      <c r="S147" s="121"/>
      <c r="T147" s="162" t="s">
        <v>652</v>
      </c>
      <c r="U147" s="122">
        <f>U148</f>
        <v>0</v>
      </c>
      <c r="V147" s="122">
        <f>V148</f>
        <v>0</v>
      </c>
      <c r="W147" s="122">
        <f>W148</f>
        <v>0</v>
      </c>
      <c r="X147" s="120" t="s">
        <v>351</v>
      </c>
    </row>
    <row r="148" spans="1:24" ht="141.75" hidden="1" customHeight="1" x14ac:dyDescent="0.25">
      <c r="A148" s="120" t="s">
        <v>352</v>
      </c>
      <c r="B148" s="124" t="s">
        <v>136</v>
      </c>
      <c r="C148" s="124" t="s">
        <v>126</v>
      </c>
      <c r="D148" s="138" t="s">
        <v>575</v>
      </c>
      <c r="E148" s="124"/>
      <c r="F148" s="124"/>
      <c r="G148" s="124"/>
      <c r="H148" s="124"/>
      <c r="I148" s="124"/>
      <c r="J148" s="124"/>
      <c r="K148" s="124"/>
      <c r="L148" s="124"/>
      <c r="M148" s="124"/>
      <c r="N148" s="124"/>
      <c r="O148" s="124"/>
      <c r="P148" s="124"/>
      <c r="Q148" s="124"/>
      <c r="R148" s="124"/>
      <c r="S148" s="124" t="s">
        <v>290</v>
      </c>
      <c r="T148" s="164" t="s">
        <v>350</v>
      </c>
      <c r="U148" s="122">
        <f>П6ВСР!Z131</f>
        <v>0</v>
      </c>
      <c r="V148" s="122">
        <f>П6ВСР!AA131</f>
        <v>0</v>
      </c>
      <c r="W148" s="122">
        <f>П6ВСР!AB131</f>
        <v>0</v>
      </c>
      <c r="X148" s="120" t="s">
        <v>352</v>
      </c>
    </row>
    <row r="149" spans="1:24" ht="111" hidden="1" customHeight="1" x14ac:dyDescent="0.25">
      <c r="A149" s="120"/>
      <c r="B149" s="124" t="s">
        <v>136</v>
      </c>
      <c r="C149" s="124" t="s">
        <v>126</v>
      </c>
      <c r="D149" s="263" t="s">
        <v>910</v>
      </c>
      <c r="E149" s="124"/>
      <c r="F149" s="124"/>
      <c r="G149" s="124"/>
      <c r="H149" s="124"/>
      <c r="I149" s="124"/>
      <c r="J149" s="124"/>
      <c r="K149" s="124"/>
      <c r="L149" s="124"/>
      <c r="M149" s="124"/>
      <c r="N149" s="124"/>
      <c r="O149" s="124"/>
      <c r="P149" s="124"/>
      <c r="Q149" s="124"/>
      <c r="R149" s="124"/>
      <c r="S149" s="124"/>
      <c r="T149" s="162" t="s">
        <v>908</v>
      </c>
      <c r="U149" s="122">
        <f>U150</f>
        <v>0</v>
      </c>
      <c r="V149" s="122">
        <v>0</v>
      </c>
      <c r="W149" s="122">
        <v>0</v>
      </c>
      <c r="X149" s="120"/>
    </row>
    <row r="150" spans="1:24" ht="93.75" hidden="1" customHeight="1" x14ac:dyDescent="0.25">
      <c r="A150" s="120"/>
      <c r="B150" s="124" t="s">
        <v>136</v>
      </c>
      <c r="C150" s="124" t="s">
        <v>126</v>
      </c>
      <c r="D150" s="263" t="s">
        <v>910</v>
      </c>
      <c r="E150" s="124"/>
      <c r="F150" s="124"/>
      <c r="G150" s="124"/>
      <c r="H150" s="124"/>
      <c r="I150" s="124"/>
      <c r="J150" s="124"/>
      <c r="K150" s="124"/>
      <c r="L150" s="124"/>
      <c r="M150" s="124"/>
      <c r="N150" s="124"/>
      <c r="O150" s="124"/>
      <c r="P150" s="124"/>
      <c r="Q150" s="124"/>
      <c r="R150" s="124"/>
      <c r="S150" s="124" t="s">
        <v>290</v>
      </c>
      <c r="T150" s="139" t="s">
        <v>909</v>
      </c>
      <c r="U150" s="122">
        <f>П6ВСР!Z133</f>
        <v>0</v>
      </c>
      <c r="V150" s="122">
        <v>0</v>
      </c>
      <c r="W150" s="122">
        <v>0</v>
      </c>
      <c r="X150" s="120"/>
    </row>
    <row r="151" spans="1:24" ht="36.75" customHeight="1" x14ac:dyDescent="0.25">
      <c r="A151" s="120"/>
      <c r="B151" s="171" t="s">
        <v>136</v>
      </c>
      <c r="C151" s="171" t="s">
        <v>127</v>
      </c>
      <c r="D151" s="138"/>
      <c r="E151" s="124"/>
      <c r="F151" s="124"/>
      <c r="G151" s="124"/>
      <c r="H151" s="124"/>
      <c r="I151" s="124"/>
      <c r="J151" s="124"/>
      <c r="K151" s="124"/>
      <c r="L151" s="124"/>
      <c r="M151" s="124"/>
      <c r="N151" s="124"/>
      <c r="O151" s="124"/>
      <c r="P151" s="124"/>
      <c r="Q151" s="124"/>
      <c r="R151" s="124"/>
      <c r="S151" s="124"/>
      <c r="T151" s="170" t="s">
        <v>653</v>
      </c>
      <c r="U151" s="122">
        <f>U152+U154+U158+U156</f>
        <v>22492392.449999999</v>
      </c>
      <c r="V151" s="122">
        <f>V152+V154+V158+V156</f>
        <v>24990388.960000001</v>
      </c>
      <c r="W151" s="122">
        <f>W152+W154+W158+W156</f>
        <v>24990388.960000001</v>
      </c>
      <c r="X151" s="120"/>
    </row>
    <row r="152" spans="1:24" ht="141.75" customHeight="1" x14ac:dyDescent="0.25">
      <c r="A152" s="120"/>
      <c r="B152" s="172" t="s">
        <v>136</v>
      </c>
      <c r="C152" s="172" t="s">
        <v>127</v>
      </c>
      <c r="D152" s="172" t="s">
        <v>576</v>
      </c>
      <c r="E152" s="172"/>
      <c r="F152" s="172"/>
      <c r="G152" s="172"/>
      <c r="H152" s="172"/>
      <c r="I152" s="172"/>
      <c r="J152" s="172"/>
      <c r="K152" s="172"/>
      <c r="L152" s="172"/>
      <c r="M152" s="172"/>
      <c r="N152" s="172"/>
      <c r="O152" s="172"/>
      <c r="P152" s="172"/>
      <c r="Q152" s="172"/>
      <c r="R152" s="172"/>
      <c r="S152" s="172"/>
      <c r="T152" s="162" t="s">
        <v>630</v>
      </c>
      <c r="U152" s="122">
        <f>U153</f>
        <v>20511794.370000001</v>
      </c>
      <c r="V152" s="122">
        <f>V153</f>
        <v>23090388.960000001</v>
      </c>
      <c r="W152" s="122">
        <f>W153</f>
        <v>23090388.960000001</v>
      </c>
      <c r="X152" s="120"/>
    </row>
    <row r="153" spans="1:24" ht="118.5" customHeight="1" x14ac:dyDescent="0.25">
      <c r="A153" s="120"/>
      <c r="B153" s="140" t="s">
        <v>136</v>
      </c>
      <c r="C153" s="140" t="s">
        <v>127</v>
      </c>
      <c r="D153" s="172" t="s">
        <v>576</v>
      </c>
      <c r="E153" s="140"/>
      <c r="F153" s="140"/>
      <c r="G153" s="140"/>
      <c r="H153" s="140"/>
      <c r="I153" s="140"/>
      <c r="J153" s="140"/>
      <c r="K153" s="140"/>
      <c r="L153" s="140"/>
      <c r="M153" s="140"/>
      <c r="N153" s="140"/>
      <c r="O153" s="140"/>
      <c r="P153" s="140"/>
      <c r="Q153" s="140"/>
      <c r="R153" s="140"/>
      <c r="S153" s="140" t="s">
        <v>290</v>
      </c>
      <c r="T153" s="139" t="s">
        <v>352</v>
      </c>
      <c r="U153" s="122">
        <f>П6ВСР!Z136</f>
        <v>20511794.370000001</v>
      </c>
      <c r="V153" s="122">
        <f>П6ВСР!AA136</f>
        <v>23090388.960000001</v>
      </c>
      <c r="W153" s="122">
        <f>П6ВСР!AB136</f>
        <v>23090388.960000001</v>
      </c>
      <c r="X153" s="120"/>
    </row>
    <row r="154" spans="1:24" ht="151.5" customHeight="1" x14ac:dyDescent="0.25">
      <c r="A154" s="120"/>
      <c r="B154" s="172" t="s">
        <v>136</v>
      </c>
      <c r="C154" s="172" t="s">
        <v>127</v>
      </c>
      <c r="D154" s="172" t="s">
        <v>577</v>
      </c>
      <c r="E154" s="172"/>
      <c r="F154" s="172"/>
      <c r="G154" s="172"/>
      <c r="H154" s="172"/>
      <c r="I154" s="172"/>
      <c r="J154" s="172"/>
      <c r="K154" s="172"/>
      <c r="L154" s="172"/>
      <c r="M154" s="172"/>
      <c r="N154" s="172"/>
      <c r="O154" s="172"/>
      <c r="P154" s="172"/>
      <c r="Q154" s="172"/>
      <c r="R154" s="172"/>
      <c r="S154" s="172"/>
      <c r="T154" s="162" t="s">
        <v>629</v>
      </c>
      <c r="U154" s="122">
        <f>U155</f>
        <v>1980598.0799999998</v>
      </c>
      <c r="V154" s="122">
        <f>V155</f>
        <v>1900000</v>
      </c>
      <c r="W154" s="122">
        <f>W155</f>
        <v>1900000</v>
      </c>
      <c r="X154" s="120"/>
    </row>
    <row r="155" spans="1:24" ht="140.25" customHeight="1" x14ac:dyDescent="0.25">
      <c r="A155" s="120"/>
      <c r="B155" s="140" t="s">
        <v>136</v>
      </c>
      <c r="C155" s="140" t="s">
        <v>127</v>
      </c>
      <c r="D155" s="172" t="s">
        <v>577</v>
      </c>
      <c r="E155" s="140"/>
      <c r="F155" s="140"/>
      <c r="G155" s="140"/>
      <c r="H155" s="140"/>
      <c r="I155" s="140"/>
      <c r="J155" s="140"/>
      <c r="K155" s="140"/>
      <c r="L155" s="140"/>
      <c r="M155" s="140"/>
      <c r="N155" s="140"/>
      <c r="O155" s="140"/>
      <c r="P155" s="140"/>
      <c r="Q155" s="140"/>
      <c r="R155" s="140"/>
      <c r="S155" s="140" t="s">
        <v>290</v>
      </c>
      <c r="T155" s="139" t="s">
        <v>355</v>
      </c>
      <c r="U155" s="122">
        <f>П6ВСР!Z138</f>
        <v>1980598.0799999998</v>
      </c>
      <c r="V155" s="122">
        <f>П6ВСР!AA138</f>
        <v>1900000</v>
      </c>
      <c r="W155" s="122">
        <f>П6ВСР!AB138</f>
        <v>1900000</v>
      </c>
      <c r="X155" s="120"/>
    </row>
    <row r="156" spans="1:24" ht="162.75" hidden="1" customHeight="1" x14ac:dyDescent="0.25">
      <c r="A156" s="120"/>
      <c r="B156" s="140" t="s">
        <v>136</v>
      </c>
      <c r="C156" s="140" t="s">
        <v>127</v>
      </c>
      <c r="D156" s="172" t="s">
        <v>577</v>
      </c>
      <c r="E156" s="140"/>
      <c r="F156" s="140"/>
      <c r="G156" s="140"/>
      <c r="H156" s="140"/>
      <c r="I156" s="140"/>
      <c r="J156" s="140"/>
      <c r="K156" s="140"/>
      <c r="L156" s="140"/>
      <c r="M156" s="140"/>
      <c r="N156" s="140"/>
      <c r="O156" s="140"/>
      <c r="P156" s="140"/>
      <c r="Q156" s="140"/>
      <c r="R156" s="140"/>
      <c r="S156" s="140"/>
      <c r="T156" s="162" t="s">
        <v>629</v>
      </c>
      <c r="U156" s="122">
        <f>U157</f>
        <v>0</v>
      </c>
      <c r="V156" s="122">
        <v>0</v>
      </c>
      <c r="W156" s="122">
        <v>0</v>
      </c>
      <c r="X156" s="120"/>
    </row>
    <row r="157" spans="1:24" ht="49.5" hidden="1" customHeight="1" x14ac:dyDescent="0.25">
      <c r="A157" s="120"/>
      <c r="B157" s="140" t="s">
        <v>136</v>
      </c>
      <c r="C157" s="140" t="s">
        <v>127</v>
      </c>
      <c r="D157" s="172" t="s">
        <v>577</v>
      </c>
      <c r="E157" s="140"/>
      <c r="F157" s="140"/>
      <c r="G157" s="140"/>
      <c r="H157" s="140"/>
      <c r="I157" s="140"/>
      <c r="J157" s="140"/>
      <c r="K157" s="140"/>
      <c r="L157" s="140"/>
      <c r="M157" s="140"/>
      <c r="N157" s="140"/>
      <c r="O157" s="140"/>
      <c r="P157" s="140"/>
      <c r="Q157" s="140"/>
      <c r="R157" s="140"/>
      <c r="S157" s="140" t="s">
        <v>443</v>
      </c>
      <c r="T157" s="162" t="s">
        <v>875</v>
      </c>
      <c r="U157" s="122">
        <f>П6ВСР!Z282</f>
        <v>0</v>
      </c>
      <c r="V157" s="122">
        <v>0</v>
      </c>
      <c r="W157" s="122">
        <v>0</v>
      </c>
      <c r="X157" s="120"/>
    </row>
    <row r="158" spans="1:24" ht="177.75" hidden="1" customHeight="1" x14ac:dyDescent="0.25">
      <c r="A158" s="120"/>
      <c r="B158" s="140" t="s">
        <v>136</v>
      </c>
      <c r="C158" s="140" t="s">
        <v>127</v>
      </c>
      <c r="D158" s="172" t="s">
        <v>884</v>
      </c>
      <c r="E158" s="140"/>
      <c r="F158" s="140"/>
      <c r="G158" s="140"/>
      <c r="H158" s="140"/>
      <c r="I158" s="140"/>
      <c r="J158" s="140"/>
      <c r="K158" s="140"/>
      <c r="L158" s="140"/>
      <c r="M158" s="140"/>
      <c r="N158" s="140"/>
      <c r="O158" s="140"/>
      <c r="P158" s="140"/>
      <c r="Q158" s="140"/>
      <c r="R158" s="140"/>
      <c r="S158" s="140"/>
      <c r="T158" s="282" t="s">
        <v>885</v>
      </c>
      <c r="U158" s="122">
        <f>U159</f>
        <v>0</v>
      </c>
      <c r="V158" s="122">
        <v>0</v>
      </c>
      <c r="W158" s="122">
        <v>0</v>
      </c>
      <c r="X158" s="120"/>
    </row>
    <row r="159" spans="1:24" ht="139.5" hidden="1" customHeight="1" x14ac:dyDescent="0.25">
      <c r="A159" s="120"/>
      <c r="B159" s="140" t="s">
        <v>136</v>
      </c>
      <c r="C159" s="140" t="s">
        <v>127</v>
      </c>
      <c r="D159" s="172" t="s">
        <v>884</v>
      </c>
      <c r="E159" s="140"/>
      <c r="F159" s="140"/>
      <c r="G159" s="140"/>
      <c r="H159" s="140"/>
      <c r="I159" s="140"/>
      <c r="J159" s="140"/>
      <c r="K159" s="140"/>
      <c r="L159" s="140"/>
      <c r="M159" s="140"/>
      <c r="N159" s="140"/>
      <c r="O159" s="140"/>
      <c r="P159" s="140"/>
      <c r="Q159" s="140"/>
      <c r="R159" s="140"/>
      <c r="S159" s="140" t="s">
        <v>290</v>
      </c>
      <c r="T159" s="283" t="s">
        <v>886</v>
      </c>
      <c r="U159" s="122">
        <f>П6ВСР!Z140</f>
        <v>0</v>
      </c>
      <c r="V159" s="122">
        <v>0</v>
      </c>
      <c r="W159" s="122">
        <v>0</v>
      </c>
      <c r="X159" s="120"/>
    </row>
    <row r="160" spans="1:24" ht="36.75" customHeight="1" x14ac:dyDescent="0.25">
      <c r="A160" s="120" t="s">
        <v>149</v>
      </c>
      <c r="B160" s="121" t="s">
        <v>136</v>
      </c>
      <c r="C160" s="121" t="s">
        <v>129</v>
      </c>
      <c r="D160" s="121"/>
      <c r="E160" s="121"/>
      <c r="F160" s="121"/>
      <c r="G160" s="121"/>
      <c r="H160" s="121"/>
      <c r="I160" s="121"/>
      <c r="J160" s="121"/>
      <c r="K160" s="121"/>
      <c r="L160" s="121"/>
      <c r="M160" s="121"/>
      <c r="N160" s="121"/>
      <c r="O160" s="121"/>
      <c r="P160" s="121"/>
      <c r="Q160" s="121"/>
      <c r="R160" s="121"/>
      <c r="S160" s="121"/>
      <c r="T160" s="120" t="s">
        <v>149</v>
      </c>
      <c r="U160" s="122">
        <f>U163+U165+U167+U169+U161</f>
        <v>320000</v>
      </c>
      <c r="V160" s="122">
        <f>V163+V165+V167</f>
        <v>200000</v>
      </c>
      <c r="W160" s="122">
        <f>W163+W165+W167</f>
        <v>200000</v>
      </c>
      <c r="X160" s="120" t="s">
        <v>149</v>
      </c>
    </row>
    <row r="161" spans="1:24" ht="0.75" customHeight="1" x14ac:dyDescent="0.25">
      <c r="A161" s="120"/>
      <c r="B161" s="121" t="s">
        <v>136</v>
      </c>
      <c r="C161" s="121" t="s">
        <v>129</v>
      </c>
      <c r="D161" s="121" t="s">
        <v>1035</v>
      </c>
      <c r="E161" s="121"/>
      <c r="F161" s="121"/>
      <c r="G161" s="121"/>
      <c r="H161" s="121"/>
      <c r="I161" s="121"/>
      <c r="J161" s="121"/>
      <c r="K161" s="121"/>
      <c r="L161" s="121"/>
      <c r="M161" s="121"/>
      <c r="N161" s="121"/>
      <c r="O161" s="121"/>
      <c r="P161" s="121"/>
      <c r="Q161" s="121"/>
      <c r="R161" s="121"/>
      <c r="S161" s="121"/>
      <c r="T161" s="162" t="s">
        <v>1034</v>
      </c>
      <c r="U161" s="122">
        <f>U162</f>
        <v>0</v>
      </c>
      <c r="V161" s="122">
        <v>0</v>
      </c>
      <c r="W161" s="122">
        <v>0</v>
      </c>
      <c r="X161" s="120"/>
    </row>
    <row r="162" spans="1:24" ht="36.75" hidden="1" customHeight="1" x14ac:dyDescent="0.25">
      <c r="A162" s="120"/>
      <c r="B162" s="121" t="s">
        <v>136</v>
      </c>
      <c r="C162" s="121" t="s">
        <v>129</v>
      </c>
      <c r="D162" s="121" t="s">
        <v>1035</v>
      </c>
      <c r="E162" s="121"/>
      <c r="F162" s="121"/>
      <c r="G162" s="121"/>
      <c r="H162" s="121"/>
      <c r="I162" s="121"/>
      <c r="J162" s="121"/>
      <c r="K162" s="121"/>
      <c r="L162" s="121"/>
      <c r="M162" s="121"/>
      <c r="N162" s="121"/>
      <c r="O162" s="121"/>
      <c r="P162" s="121"/>
      <c r="Q162" s="121"/>
      <c r="R162" s="121"/>
      <c r="S162" s="121" t="s">
        <v>443</v>
      </c>
      <c r="T162" s="162" t="s">
        <v>875</v>
      </c>
      <c r="U162" s="122">
        <f>П6ВСР!Z290</f>
        <v>0</v>
      </c>
      <c r="V162" s="122">
        <v>0</v>
      </c>
      <c r="W162" s="122">
        <v>0</v>
      </c>
      <c r="X162" s="120"/>
    </row>
    <row r="163" spans="1:24" ht="138.75" customHeight="1" x14ac:dyDescent="0.25">
      <c r="A163" s="120" t="s">
        <v>356</v>
      </c>
      <c r="B163" s="121" t="s">
        <v>136</v>
      </c>
      <c r="C163" s="121" t="s">
        <v>129</v>
      </c>
      <c r="D163" s="138" t="s">
        <v>578</v>
      </c>
      <c r="E163" s="121"/>
      <c r="F163" s="121"/>
      <c r="G163" s="121"/>
      <c r="H163" s="121"/>
      <c r="I163" s="121"/>
      <c r="J163" s="121"/>
      <c r="K163" s="121"/>
      <c r="L163" s="121"/>
      <c r="M163" s="121"/>
      <c r="N163" s="121"/>
      <c r="O163" s="121"/>
      <c r="P163" s="121"/>
      <c r="Q163" s="121"/>
      <c r="R163" s="121"/>
      <c r="S163" s="121"/>
      <c r="T163" s="162" t="s">
        <v>628</v>
      </c>
      <c r="U163" s="122">
        <f>U164</f>
        <v>150000</v>
      </c>
      <c r="V163" s="122">
        <f>V164</f>
        <v>50000</v>
      </c>
      <c r="W163" s="122">
        <f>W164</f>
        <v>50000</v>
      </c>
      <c r="X163" s="120" t="s">
        <v>356</v>
      </c>
    </row>
    <row r="164" spans="1:24" ht="77.25" customHeight="1" x14ac:dyDescent="0.25">
      <c r="A164" s="120" t="s">
        <v>357</v>
      </c>
      <c r="B164" s="124" t="s">
        <v>136</v>
      </c>
      <c r="C164" s="124" t="s">
        <v>129</v>
      </c>
      <c r="D164" s="138" t="s">
        <v>578</v>
      </c>
      <c r="E164" s="124"/>
      <c r="F164" s="124"/>
      <c r="G164" s="124"/>
      <c r="H164" s="124"/>
      <c r="I164" s="124"/>
      <c r="J164" s="124"/>
      <c r="K164" s="124"/>
      <c r="L164" s="124"/>
      <c r="M164" s="124"/>
      <c r="N164" s="124"/>
      <c r="O164" s="124"/>
      <c r="P164" s="124"/>
      <c r="Q164" s="124"/>
      <c r="R164" s="124"/>
      <c r="S164" s="180" t="s">
        <v>243</v>
      </c>
      <c r="T164" s="139" t="s">
        <v>825</v>
      </c>
      <c r="U164" s="122">
        <f>П6ВСР!Z143</f>
        <v>150000</v>
      </c>
      <c r="V164" s="122">
        <f>П6ВСР!AA143</f>
        <v>50000</v>
      </c>
      <c r="W164" s="122">
        <f>П6ВСР!AB143</f>
        <v>50000</v>
      </c>
      <c r="X164" s="120" t="s">
        <v>357</v>
      </c>
    </row>
    <row r="165" spans="1:24" ht="186" customHeight="1" x14ac:dyDescent="0.25">
      <c r="A165" s="120" t="s">
        <v>358</v>
      </c>
      <c r="B165" s="121" t="s">
        <v>136</v>
      </c>
      <c r="C165" s="121" t="s">
        <v>129</v>
      </c>
      <c r="D165" s="138" t="s">
        <v>579</v>
      </c>
      <c r="E165" s="121"/>
      <c r="F165" s="121"/>
      <c r="G165" s="121"/>
      <c r="H165" s="121"/>
      <c r="I165" s="121"/>
      <c r="J165" s="121"/>
      <c r="K165" s="121"/>
      <c r="L165" s="121"/>
      <c r="M165" s="121"/>
      <c r="N165" s="121"/>
      <c r="O165" s="121"/>
      <c r="P165" s="121"/>
      <c r="Q165" s="121"/>
      <c r="R165" s="121"/>
      <c r="S165" s="121"/>
      <c r="T165" s="162" t="s">
        <v>627</v>
      </c>
      <c r="U165" s="122">
        <f>U166</f>
        <v>150000</v>
      </c>
      <c r="V165" s="122">
        <f>V166</f>
        <v>100000</v>
      </c>
      <c r="W165" s="122">
        <f>W166</f>
        <v>100000</v>
      </c>
      <c r="X165" s="120" t="s">
        <v>358</v>
      </c>
    </row>
    <row r="166" spans="1:24" ht="138" customHeight="1" x14ac:dyDescent="0.25">
      <c r="A166" s="126" t="s">
        <v>359</v>
      </c>
      <c r="B166" s="124" t="s">
        <v>136</v>
      </c>
      <c r="C166" s="124" t="s">
        <v>129</v>
      </c>
      <c r="D166" s="138" t="s">
        <v>579</v>
      </c>
      <c r="E166" s="124"/>
      <c r="F166" s="124"/>
      <c r="G166" s="124"/>
      <c r="H166" s="124"/>
      <c r="I166" s="124"/>
      <c r="J166" s="124"/>
      <c r="K166" s="124"/>
      <c r="L166" s="124"/>
      <c r="M166" s="124"/>
      <c r="N166" s="124"/>
      <c r="O166" s="124"/>
      <c r="P166" s="124"/>
      <c r="Q166" s="124"/>
      <c r="R166" s="124"/>
      <c r="S166" s="180" t="s">
        <v>243</v>
      </c>
      <c r="T166" s="164" t="s">
        <v>826</v>
      </c>
      <c r="U166" s="122">
        <f>П6ВСР!Z145</f>
        <v>150000</v>
      </c>
      <c r="V166" s="122">
        <f>П6ВСР!AA145</f>
        <v>100000</v>
      </c>
      <c r="W166" s="122">
        <f>П6ВСР!AB145</f>
        <v>100000</v>
      </c>
      <c r="X166" s="126" t="s">
        <v>359</v>
      </c>
    </row>
    <row r="167" spans="1:24" ht="143.25" customHeight="1" x14ac:dyDescent="0.25">
      <c r="A167" s="120" t="s">
        <v>360</v>
      </c>
      <c r="B167" s="121" t="s">
        <v>136</v>
      </c>
      <c r="C167" s="121" t="s">
        <v>129</v>
      </c>
      <c r="D167" s="138" t="s">
        <v>580</v>
      </c>
      <c r="E167" s="121"/>
      <c r="F167" s="121"/>
      <c r="G167" s="121"/>
      <c r="H167" s="121"/>
      <c r="I167" s="121"/>
      <c r="J167" s="121"/>
      <c r="K167" s="121"/>
      <c r="L167" s="121"/>
      <c r="M167" s="121"/>
      <c r="N167" s="121"/>
      <c r="O167" s="121"/>
      <c r="P167" s="121"/>
      <c r="Q167" s="121"/>
      <c r="R167" s="121"/>
      <c r="S167" s="121"/>
      <c r="T167" s="162" t="s">
        <v>626</v>
      </c>
      <c r="U167" s="122">
        <f>U168</f>
        <v>20000</v>
      </c>
      <c r="V167" s="122">
        <f>V168</f>
        <v>50000</v>
      </c>
      <c r="W167" s="122">
        <f>W168</f>
        <v>50000</v>
      </c>
      <c r="X167" s="120" t="s">
        <v>360</v>
      </c>
    </row>
    <row r="168" spans="1:24" ht="105" customHeight="1" x14ac:dyDescent="0.25">
      <c r="A168" s="120" t="s">
        <v>361</v>
      </c>
      <c r="B168" s="124" t="s">
        <v>136</v>
      </c>
      <c r="C168" s="124" t="s">
        <v>129</v>
      </c>
      <c r="D168" s="138" t="s">
        <v>580</v>
      </c>
      <c r="E168" s="124"/>
      <c r="F168" s="124"/>
      <c r="G168" s="124"/>
      <c r="H168" s="124"/>
      <c r="I168" s="124"/>
      <c r="J168" s="124"/>
      <c r="K168" s="124"/>
      <c r="L168" s="124"/>
      <c r="M168" s="124"/>
      <c r="N168" s="124"/>
      <c r="O168" s="124"/>
      <c r="P168" s="124"/>
      <c r="Q168" s="124"/>
      <c r="R168" s="124"/>
      <c r="S168" s="124" t="s">
        <v>290</v>
      </c>
      <c r="T168" s="139" t="s">
        <v>361</v>
      </c>
      <c r="U168" s="122">
        <f>П6ВСР!Z147</f>
        <v>20000</v>
      </c>
      <c r="V168" s="122">
        <f>П6ВСР!AA147</f>
        <v>50000</v>
      </c>
      <c r="W168" s="122">
        <f>П6ВСР!AB147</f>
        <v>50000</v>
      </c>
      <c r="X168" s="120" t="s">
        <v>361</v>
      </c>
    </row>
    <row r="169" spans="1:24" ht="120.75" hidden="1" customHeight="1" x14ac:dyDescent="0.25">
      <c r="A169" s="120"/>
      <c r="B169" s="140" t="s">
        <v>136</v>
      </c>
      <c r="C169" s="140" t="s">
        <v>129</v>
      </c>
      <c r="D169" s="263" t="s">
        <v>1013</v>
      </c>
      <c r="E169" s="140"/>
      <c r="F169" s="140"/>
      <c r="G169" s="140"/>
      <c r="H169" s="140"/>
      <c r="I169" s="140"/>
      <c r="J169" s="140"/>
      <c r="K169" s="140"/>
      <c r="L169" s="140"/>
      <c r="M169" s="140"/>
      <c r="N169" s="140"/>
      <c r="O169" s="140"/>
      <c r="P169" s="140"/>
      <c r="Q169" s="140"/>
      <c r="R169" s="140"/>
      <c r="S169" s="140"/>
      <c r="T169" s="139" t="s">
        <v>1014</v>
      </c>
      <c r="U169" s="122">
        <f>U170</f>
        <v>0</v>
      </c>
      <c r="V169" s="122">
        <f t="shared" ref="V169:W169" si="7">V170</f>
        <v>0</v>
      </c>
      <c r="W169" s="122">
        <f t="shared" si="7"/>
        <v>0</v>
      </c>
      <c r="X169" s="120"/>
    </row>
    <row r="170" spans="1:24" ht="91.5" hidden="1" customHeight="1" x14ac:dyDescent="0.25">
      <c r="A170" s="120"/>
      <c r="B170" s="140" t="s">
        <v>136</v>
      </c>
      <c r="C170" s="140" t="s">
        <v>129</v>
      </c>
      <c r="D170" s="263" t="s">
        <v>1013</v>
      </c>
      <c r="E170" s="140"/>
      <c r="F170" s="140"/>
      <c r="G170" s="140"/>
      <c r="H170" s="140"/>
      <c r="I170" s="140"/>
      <c r="J170" s="140"/>
      <c r="K170" s="140"/>
      <c r="L170" s="140"/>
      <c r="M170" s="140"/>
      <c r="N170" s="140"/>
      <c r="O170" s="140"/>
      <c r="P170" s="140"/>
      <c r="Q170" s="140"/>
      <c r="R170" s="140"/>
      <c r="S170" s="140" t="s">
        <v>290</v>
      </c>
      <c r="T170" s="139" t="s">
        <v>1015</v>
      </c>
      <c r="U170" s="122">
        <f>П6ВСР!Z149</f>
        <v>0</v>
      </c>
      <c r="V170" s="122">
        <f>П6ВСР!AA149</f>
        <v>0</v>
      </c>
      <c r="W170" s="122">
        <f>П6ВСР!AB149</f>
        <v>0</v>
      </c>
      <c r="X170" s="120"/>
    </row>
    <row r="171" spans="1:24" ht="37.5" customHeight="1" x14ac:dyDescent="0.25">
      <c r="A171" s="118" t="s">
        <v>363</v>
      </c>
      <c r="B171" s="129" t="s">
        <v>124</v>
      </c>
      <c r="C171" s="129" t="s">
        <v>133</v>
      </c>
      <c r="D171" s="129"/>
      <c r="E171" s="129"/>
      <c r="F171" s="129"/>
      <c r="G171" s="129"/>
      <c r="H171" s="129"/>
      <c r="I171" s="129"/>
      <c r="J171" s="129"/>
      <c r="K171" s="129"/>
      <c r="L171" s="129"/>
      <c r="M171" s="129"/>
      <c r="N171" s="129"/>
      <c r="O171" s="129"/>
      <c r="P171" s="129"/>
      <c r="Q171" s="129"/>
      <c r="R171" s="129"/>
      <c r="S171" s="129"/>
      <c r="T171" s="118" t="s">
        <v>363</v>
      </c>
      <c r="U171" s="119">
        <f>U172+U183+U192</f>
        <v>140232974.56</v>
      </c>
      <c r="V171" s="119">
        <f>V172+V183+V192</f>
        <v>115774262.14</v>
      </c>
      <c r="W171" s="119">
        <f>W172+W183+W192</f>
        <v>138235656.74000001</v>
      </c>
      <c r="X171" s="118" t="s">
        <v>363</v>
      </c>
    </row>
    <row r="172" spans="1:24" ht="18.600000000000001" customHeight="1" x14ac:dyDescent="0.25">
      <c r="A172" s="120" t="s">
        <v>150</v>
      </c>
      <c r="B172" s="121" t="s">
        <v>124</v>
      </c>
      <c r="C172" s="121" t="s">
        <v>122</v>
      </c>
      <c r="D172" s="121"/>
      <c r="E172" s="121"/>
      <c r="F172" s="121"/>
      <c r="G172" s="121"/>
      <c r="H172" s="121"/>
      <c r="I172" s="121"/>
      <c r="J172" s="121"/>
      <c r="K172" s="121"/>
      <c r="L172" s="121"/>
      <c r="M172" s="121"/>
      <c r="N172" s="121"/>
      <c r="O172" s="121"/>
      <c r="P172" s="121"/>
      <c r="Q172" s="121"/>
      <c r="R172" s="121"/>
      <c r="S172" s="121"/>
      <c r="T172" s="120" t="s">
        <v>150</v>
      </c>
      <c r="U172" s="122">
        <f>U175+U177+U181+U173+U179</f>
        <v>39475774.559999995</v>
      </c>
      <c r="V172" s="122">
        <f>V175+V177+V181+V173+V179</f>
        <v>13729536</v>
      </c>
      <c r="W172" s="122">
        <f>W175+W177+W181+W173+W179</f>
        <v>25561688.739999998</v>
      </c>
      <c r="X172" s="120" t="s">
        <v>150</v>
      </c>
    </row>
    <row r="173" spans="1:24" ht="162.75" customHeight="1" x14ac:dyDescent="0.25">
      <c r="A173" s="120"/>
      <c r="B173" s="179" t="s">
        <v>124</v>
      </c>
      <c r="C173" s="179" t="s">
        <v>122</v>
      </c>
      <c r="D173" s="172" t="s">
        <v>840</v>
      </c>
      <c r="E173" s="121"/>
      <c r="F173" s="121"/>
      <c r="G173" s="121"/>
      <c r="H173" s="121"/>
      <c r="I173" s="121"/>
      <c r="J173" s="121"/>
      <c r="K173" s="121"/>
      <c r="L173" s="121"/>
      <c r="M173" s="121"/>
      <c r="N173" s="121"/>
      <c r="O173" s="121"/>
      <c r="P173" s="121"/>
      <c r="Q173" s="121"/>
      <c r="R173" s="121"/>
      <c r="S173" s="121"/>
      <c r="T173" s="366" t="s">
        <v>838</v>
      </c>
      <c r="U173" s="122">
        <f>U174</f>
        <v>700000</v>
      </c>
      <c r="V173" s="122">
        <f>V174</f>
        <v>0</v>
      </c>
      <c r="W173" s="122">
        <f>W174</f>
        <v>0</v>
      </c>
      <c r="X173" s="120"/>
    </row>
    <row r="174" spans="1:24" ht="78.75" customHeight="1" x14ac:dyDescent="0.25">
      <c r="A174" s="120"/>
      <c r="B174" s="179" t="s">
        <v>124</v>
      </c>
      <c r="C174" s="179" t="s">
        <v>122</v>
      </c>
      <c r="D174" s="172" t="s">
        <v>840</v>
      </c>
      <c r="E174" s="121"/>
      <c r="F174" s="121"/>
      <c r="G174" s="121"/>
      <c r="H174" s="121"/>
      <c r="I174" s="121"/>
      <c r="J174" s="121"/>
      <c r="K174" s="121"/>
      <c r="L174" s="121"/>
      <c r="M174" s="121"/>
      <c r="N174" s="121"/>
      <c r="O174" s="121"/>
      <c r="P174" s="121"/>
      <c r="Q174" s="121"/>
      <c r="R174" s="121"/>
      <c r="S174" s="179" t="s">
        <v>290</v>
      </c>
      <c r="T174" s="162" t="s">
        <v>839</v>
      </c>
      <c r="U174" s="122">
        <f>П6ВСР!Z153</f>
        <v>700000</v>
      </c>
      <c r="V174" s="122">
        <f>П6ВСР!AA153</f>
        <v>0</v>
      </c>
      <c r="W174" s="122">
        <f>П6ВСР!AB153</f>
        <v>0</v>
      </c>
      <c r="X174" s="120"/>
    </row>
    <row r="175" spans="1:24" ht="213" hidden="1" customHeight="1" x14ac:dyDescent="0.25">
      <c r="A175" s="120" t="s">
        <v>364</v>
      </c>
      <c r="B175" s="121" t="s">
        <v>124</v>
      </c>
      <c r="C175" s="121" t="s">
        <v>122</v>
      </c>
      <c r="D175" s="152" t="s">
        <v>581</v>
      </c>
      <c r="E175" s="121"/>
      <c r="F175" s="121"/>
      <c r="G175" s="121"/>
      <c r="H175" s="121"/>
      <c r="I175" s="121"/>
      <c r="J175" s="121"/>
      <c r="K175" s="121"/>
      <c r="L175" s="121"/>
      <c r="M175" s="121"/>
      <c r="N175" s="121"/>
      <c r="O175" s="121"/>
      <c r="P175" s="121"/>
      <c r="Q175" s="121"/>
      <c r="R175" s="121"/>
      <c r="S175" s="121"/>
      <c r="T175" s="162" t="s">
        <v>654</v>
      </c>
      <c r="U175" s="122">
        <f>U176</f>
        <v>0</v>
      </c>
      <c r="V175" s="122">
        <f>V176</f>
        <v>0</v>
      </c>
      <c r="W175" s="122">
        <f>W176</f>
        <v>0</v>
      </c>
      <c r="X175" s="120" t="s">
        <v>364</v>
      </c>
    </row>
    <row r="176" spans="1:24" ht="167.25" hidden="1" customHeight="1" x14ac:dyDescent="0.25">
      <c r="A176" s="120" t="s">
        <v>365</v>
      </c>
      <c r="B176" s="124" t="s">
        <v>124</v>
      </c>
      <c r="C176" s="291" t="s">
        <v>122</v>
      </c>
      <c r="D176" s="151" t="s">
        <v>581</v>
      </c>
      <c r="E176" s="294"/>
      <c r="F176" s="124"/>
      <c r="G176" s="124"/>
      <c r="H176" s="124"/>
      <c r="I176" s="124"/>
      <c r="J176" s="124"/>
      <c r="K176" s="124"/>
      <c r="L176" s="124"/>
      <c r="M176" s="124"/>
      <c r="N176" s="124"/>
      <c r="O176" s="124"/>
      <c r="P176" s="124"/>
      <c r="Q176" s="124"/>
      <c r="R176" s="124"/>
      <c r="S176" s="124" t="s">
        <v>366</v>
      </c>
      <c r="T176" s="173" t="s">
        <v>365</v>
      </c>
      <c r="U176" s="122">
        <f>П6ВСР!Z155</f>
        <v>0</v>
      </c>
      <c r="V176" s="122">
        <f>П6ВСР!AA155</f>
        <v>0</v>
      </c>
      <c r="W176" s="122">
        <f>П6ВСР!AB155</f>
        <v>0</v>
      </c>
      <c r="X176" s="120" t="s">
        <v>365</v>
      </c>
    </row>
    <row r="177" spans="1:24" ht="233.25" hidden="1" customHeight="1" x14ac:dyDescent="0.25">
      <c r="A177" s="120"/>
      <c r="B177" s="153" t="s">
        <v>124</v>
      </c>
      <c r="C177" s="292" t="s">
        <v>122</v>
      </c>
      <c r="D177" s="151" t="s">
        <v>585</v>
      </c>
      <c r="E177" s="295"/>
      <c r="F177" s="153"/>
      <c r="G177" s="153"/>
      <c r="H177" s="153"/>
      <c r="I177" s="153"/>
      <c r="J177" s="153"/>
      <c r="K177" s="153"/>
      <c r="L177" s="153"/>
      <c r="M177" s="153"/>
      <c r="N177" s="153"/>
      <c r="O177" s="153"/>
      <c r="P177" s="153"/>
      <c r="Q177" s="153"/>
      <c r="R177" s="153"/>
      <c r="S177" s="153"/>
      <c r="T177" s="159" t="s">
        <v>584</v>
      </c>
      <c r="U177" s="122">
        <f>U178</f>
        <v>0</v>
      </c>
      <c r="V177" s="122">
        <f>V178</f>
        <v>0</v>
      </c>
      <c r="W177" s="122">
        <f>W178</f>
        <v>0</v>
      </c>
      <c r="X177" s="120"/>
    </row>
    <row r="178" spans="1:24" ht="0.75" hidden="1" customHeight="1" x14ac:dyDescent="0.25">
      <c r="A178" s="120"/>
      <c r="B178" s="153" t="s">
        <v>124</v>
      </c>
      <c r="C178" s="292" t="s">
        <v>122</v>
      </c>
      <c r="D178" s="151" t="s">
        <v>585</v>
      </c>
      <c r="E178" s="295"/>
      <c r="F178" s="153"/>
      <c r="G178" s="153"/>
      <c r="H178" s="153"/>
      <c r="I178" s="153"/>
      <c r="J178" s="153"/>
      <c r="K178" s="153"/>
      <c r="L178" s="153"/>
      <c r="M178" s="153"/>
      <c r="N178" s="153"/>
      <c r="O178" s="153"/>
      <c r="P178" s="153"/>
      <c r="Q178" s="153"/>
      <c r="R178" s="153"/>
      <c r="S178" s="153" t="s">
        <v>366</v>
      </c>
      <c r="T178" s="160" t="s">
        <v>365</v>
      </c>
      <c r="U178" s="122">
        <f>П6ВСР!Z157</f>
        <v>0</v>
      </c>
      <c r="V178" s="122">
        <f>П6ВСР!AA157</f>
        <v>0</v>
      </c>
      <c r="W178" s="122">
        <f>П6ВСР!AB157</f>
        <v>0</v>
      </c>
      <c r="X178" s="120"/>
    </row>
    <row r="179" spans="1:24" ht="212.25" customHeight="1" x14ac:dyDescent="0.25">
      <c r="A179" s="120"/>
      <c r="B179" s="121" t="s">
        <v>124</v>
      </c>
      <c r="C179" s="121" t="s">
        <v>122</v>
      </c>
      <c r="D179" s="279" t="s">
        <v>585</v>
      </c>
      <c r="E179" s="121"/>
      <c r="F179" s="121"/>
      <c r="G179" s="121"/>
      <c r="H179" s="121"/>
      <c r="I179" s="121"/>
      <c r="J179" s="121"/>
      <c r="K179" s="121"/>
      <c r="L179" s="121"/>
      <c r="M179" s="121"/>
      <c r="N179" s="121"/>
      <c r="O179" s="121"/>
      <c r="P179" s="121"/>
      <c r="Q179" s="121"/>
      <c r="R179" s="121"/>
      <c r="S179" s="121"/>
      <c r="T179" s="296" t="s">
        <v>654</v>
      </c>
      <c r="U179" s="194">
        <f>U180</f>
        <v>38775774.559999995</v>
      </c>
      <c r="V179" s="122">
        <f>V180</f>
        <v>13729536</v>
      </c>
      <c r="W179" s="122">
        <f>W180</f>
        <v>25561688.739999998</v>
      </c>
      <c r="X179" s="120"/>
    </row>
    <row r="180" spans="1:24" ht="167.25" customHeight="1" x14ac:dyDescent="0.25">
      <c r="A180" s="120"/>
      <c r="B180" s="124" t="s">
        <v>124</v>
      </c>
      <c r="C180" s="291" t="s">
        <v>122</v>
      </c>
      <c r="D180" s="266" t="s">
        <v>585</v>
      </c>
      <c r="E180" s="294"/>
      <c r="F180" s="124"/>
      <c r="G180" s="124"/>
      <c r="H180" s="124"/>
      <c r="I180" s="124"/>
      <c r="J180" s="124"/>
      <c r="K180" s="124"/>
      <c r="L180" s="124"/>
      <c r="M180" s="124"/>
      <c r="N180" s="124"/>
      <c r="O180" s="124"/>
      <c r="P180" s="124"/>
      <c r="Q180" s="124"/>
      <c r="R180" s="124"/>
      <c r="S180" s="291" t="s">
        <v>366</v>
      </c>
      <c r="T180" s="297" t="s">
        <v>365</v>
      </c>
      <c r="U180" s="194">
        <f>П6ВСР!Z159</f>
        <v>38775774.559999995</v>
      </c>
      <c r="V180" s="122">
        <f>П6ВСР!AA159</f>
        <v>13729536</v>
      </c>
      <c r="W180" s="122">
        <f>П6ВСР!AB159</f>
        <v>25561688.739999998</v>
      </c>
      <c r="X180" s="120"/>
    </row>
    <row r="181" spans="1:24" ht="226.5" hidden="1" customHeight="1" x14ac:dyDescent="0.25">
      <c r="A181" s="120"/>
      <c r="B181" s="154" t="s">
        <v>124</v>
      </c>
      <c r="C181" s="293" t="s">
        <v>122</v>
      </c>
      <c r="D181" s="151" t="s">
        <v>586</v>
      </c>
      <c r="E181" s="155"/>
      <c r="F181" s="157"/>
      <c r="G181" s="157"/>
      <c r="H181" s="157"/>
      <c r="I181" s="157"/>
      <c r="J181" s="157"/>
      <c r="K181" s="157"/>
      <c r="L181" s="157"/>
      <c r="M181" s="157"/>
      <c r="N181" s="157"/>
      <c r="O181" s="157"/>
      <c r="P181" s="157"/>
      <c r="Q181" s="157"/>
      <c r="R181" s="157"/>
      <c r="S181" s="267"/>
      <c r="T181" s="368" t="s">
        <v>860</v>
      </c>
      <c r="U181" s="194">
        <f>U182</f>
        <v>0</v>
      </c>
      <c r="V181" s="122">
        <f>V182</f>
        <v>0</v>
      </c>
      <c r="W181" s="122">
        <f>W182</f>
        <v>0</v>
      </c>
      <c r="X181" s="120"/>
    </row>
    <row r="182" spans="1:24" ht="57" hidden="1" customHeight="1" x14ac:dyDescent="0.25">
      <c r="A182" s="120"/>
      <c r="B182" s="153" t="s">
        <v>124</v>
      </c>
      <c r="C182" s="158" t="s">
        <v>122</v>
      </c>
      <c r="D182" s="156" t="s">
        <v>586</v>
      </c>
      <c r="E182" s="144"/>
      <c r="F182" s="144"/>
      <c r="G182" s="144"/>
      <c r="H182" s="144"/>
      <c r="I182" s="144"/>
      <c r="J182" s="144"/>
      <c r="K182" s="144"/>
      <c r="L182" s="144"/>
      <c r="M182" s="144"/>
      <c r="N182" s="144"/>
      <c r="O182" s="144"/>
      <c r="P182" s="144"/>
      <c r="Q182" s="144"/>
      <c r="R182" s="144"/>
      <c r="S182" s="144" t="s">
        <v>290</v>
      </c>
      <c r="T182" s="368" t="s">
        <v>862</v>
      </c>
      <c r="U182" s="122">
        <f>П6ВСР!Z161</f>
        <v>0</v>
      </c>
      <c r="V182" s="122">
        <f>П6ВСР!AA161</f>
        <v>0</v>
      </c>
      <c r="W182" s="122">
        <f>П6ВСР!AB161</f>
        <v>0</v>
      </c>
      <c r="X182" s="120"/>
    </row>
    <row r="183" spans="1:24" ht="18.600000000000001" customHeight="1" x14ac:dyDescent="0.25">
      <c r="A183" s="120" t="s">
        <v>151</v>
      </c>
      <c r="B183" s="121" t="s">
        <v>124</v>
      </c>
      <c r="C183" s="121" t="s">
        <v>132</v>
      </c>
      <c r="D183" s="121"/>
      <c r="E183" s="121"/>
      <c r="F183" s="121"/>
      <c r="G183" s="121"/>
      <c r="H183" s="121"/>
      <c r="I183" s="121"/>
      <c r="J183" s="121"/>
      <c r="K183" s="121"/>
      <c r="L183" s="121"/>
      <c r="M183" s="121"/>
      <c r="N183" s="121"/>
      <c r="O183" s="121"/>
      <c r="P183" s="121"/>
      <c r="Q183" s="121"/>
      <c r="R183" s="121"/>
      <c r="S183" s="121"/>
      <c r="T183" s="120" t="s">
        <v>151</v>
      </c>
      <c r="U183" s="122">
        <f>U184+U186+U190+U188</f>
        <v>97107200</v>
      </c>
      <c r="V183" s="122">
        <f>V184+V186+V190+V188</f>
        <v>101314736.14</v>
      </c>
      <c r="W183" s="122">
        <f>W184+W186+W190+W188</f>
        <v>112223968</v>
      </c>
      <c r="X183" s="120" t="s">
        <v>151</v>
      </c>
    </row>
    <row r="184" spans="1:24" ht="117" hidden="1" customHeight="1" x14ac:dyDescent="0.25">
      <c r="A184" s="120"/>
      <c r="B184" s="138" t="s">
        <v>124</v>
      </c>
      <c r="C184" s="138" t="s">
        <v>132</v>
      </c>
      <c r="D184" s="138" t="s">
        <v>583</v>
      </c>
      <c r="E184" s="138"/>
      <c r="F184" s="138"/>
      <c r="G184" s="138"/>
      <c r="H184" s="138"/>
      <c r="I184" s="138"/>
      <c r="J184" s="138"/>
      <c r="K184" s="138"/>
      <c r="L184" s="138"/>
      <c r="M184" s="138"/>
      <c r="N184" s="138"/>
      <c r="O184" s="138"/>
      <c r="P184" s="138"/>
      <c r="Q184" s="138"/>
      <c r="R184" s="138"/>
      <c r="S184" s="138"/>
      <c r="T184" s="162" t="s">
        <v>582</v>
      </c>
      <c r="U184" s="122">
        <f>U185</f>
        <v>0</v>
      </c>
      <c r="V184" s="122">
        <f>V185</f>
        <v>0</v>
      </c>
      <c r="W184" s="122">
        <f>W185</f>
        <v>0</v>
      </c>
      <c r="X184" s="120"/>
    </row>
    <row r="185" spans="1:24" ht="81" hidden="1" customHeight="1" x14ac:dyDescent="0.25">
      <c r="A185" s="120"/>
      <c r="B185" s="138" t="s">
        <v>124</v>
      </c>
      <c r="C185" s="138" t="s">
        <v>132</v>
      </c>
      <c r="D185" s="138" t="s">
        <v>583</v>
      </c>
      <c r="E185" s="138"/>
      <c r="F185" s="138"/>
      <c r="G185" s="138"/>
      <c r="H185" s="138"/>
      <c r="I185" s="138"/>
      <c r="J185" s="138"/>
      <c r="K185" s="138"/>
      <c r="L185" s="138"/>
      <c r="M185" s="138"/>
      <c r="N185" s="138"/>
      <c r="O185" s="138"/>
      <c r="P185" s="138"/>
      <c r="Q185" s="138"/>
      <c r="R185" s="138"/>
      <c r="S185" s="138" t="s">
        <v>290</v>
      </c>
      <c r="T185" s="139" t="s">
        <v>362</v>
      </c>
      <c r="U185" s="122">
        <f>П6ВСР!Z164</f>
        <v>0</v>
      </c>
      <c r="V185" s="122">
        <f>П6ВСР!AA164</f>
        <v>0</v>
      </c>
      <c r="W185" s="122">
        <f>П6ВСР!AB164</f>
        <v>0</v>
      </c>
      <c r="X185" s="120"/>
    </row>
    <row r="186" spans="1:24" ht="183" customHeight="1" x14ac:dyDescent="0.25">
      <c r="A186" s="120"/>
      <c r="B186" s="138" t="s">
        <v>124</v>
      </c>
      <c r="C186" s="138" t="s">
        <v>132</v>
      </c>
      <c r="D186" s="138" t="s">
        <v>589</v>
      </c>
      <c r="E186" s="138"/>
      <c r="F186" s="138"/>
      <c r="G186" s="138"/>
      <c r="H186" s="138"/>
      <c r="I186" s="138"/>
      <c r="J186" s="138"/>
      <c r="K186" s="138"/>
      <c r="L186" s="138"/>
      <c r="M186" s="138"/>
      <c r="N186" s="138"/>
      <c r="O186" s="138"/>
      <c r="P186" s="138"/>
      <c r="Q186" s="138"/>
      <c r="R186" s="138"/>
      <c r="S186" s="138"/>
      <c r="T186" s="162" t="s">
        <v>588</v>
      </c>
      <c r="U186" s="122">
        <f>U187</f>
        <v>10000000</v>
      </c>
      <c r="V186" s="122">
        <f>V187</f>
        <v>14207536.140000001</v>
      </c>
      <c r="W186" s="122">
        <f>W187</f>
        <v>25116768</v>
      </c>
      <c r="X186" s="120"/>
    </row>
    <row r="187" spans="1:24" ht="76.5" customHeight="1" x14ac:dyDescent="0.25">
      <c r="A187" s="120"/>
      <c r="B187" s="138" t="s">
        <v>124</v>
      </c>
      <c r="C187" s="138" t="s">
        <v>132</v>
      </c>
      <c r="D187" s="138" t="s">
        <v>589</v>
      </c>
      <c r="E187" s="138"/>
      <c r="F187" s="138"/>
      <c r="G187" s="138"/>
      <c r="H187" s="138"/>
      <c r="I187" s="138"/>
      <c r="J187" s="138"/>
      <c r="K187" s="138"/>
      <c r="L187" s="138"/>
      <c r="M187" s="138"/>
      <c r="N187" s="138"/>
      <c r="O187" s="138"/>
      <c r="P187" s="138"/>
      <c r="Q187" s="138"/>
      <c r="R187" s="138"/>
      <c r="S187" s="138" t="s">
        <v>290</v>
      </c>
      <c r="T187" s="139" t="s">
        <v>828</v>
      </c>
      <c r="U187" s="122">
        <f>П6ВСР!Z166</f>
        <v>10000000</v>
      </c>
      <c r="V187" s="122">
        <f>П6ВСР!AA166</f>
        <v>14207536.140000001</v>
      </c>
      <c r="W187" s="122">
        <f>П6ВСР!AB166</f>
        <v>25116768</v>
      </c>
      <c r="X187" s="120"/>
    </row>
    <row r="188" spans="1:24" ht="1.5" hidden="1" customHeight="1" x14ac:dyDescent="0.25">
      <c r="A188" s="120"/>
      <c r="B188" s="263" t="s">
        <v>124</v>
      </c>
      <c r="C188" s="263" t="s">
        <v>132</v>
      </c>
      <c r="D188" s="263" t="s">
        <v>877</v>
      </c>
      <c r="E188" s="138"/>
      <c r="F188" s="138"/>
      <c r="G188" s="138"/>
      <c r="H188" s="138"/>
      <c r="I188" s="138"/>
      <c r="J188" s="138"/>
      <c r="K188" s="138"/>
      <c r="L188" s="138"/>
      <c r="M188" s="138"/>
      <c r="N188" s="138"/>
      <c r="O188" s="138"/>
      <c r="P188" s="138"/>
      <c r="Q188" s="138"/>
      <c r="R188" s="138"/>
      <c r="S188" s="138"/>
      <c r="T188" s="139" t="s">
        <v>588</v>
      </c>
      <c r="U188" s="122">
        <f>U189</f>
        <v>0</v>
      </c>
      <c r="V188" s="122">
        <v>0</v>
      </c>
      <c r="W188" s="122">
        <v>0</v>
      </c>
      <c r="X188" s="120"/>
    </row>
    <row r="189" spans="1:24" ht="0.75" hidden="1" customHeight="1" x14ac:dyDescent="0.25">
      <c r="A189" s="120"/>
      <c r="B189" s="263" t="s">
        <v>124</v>
      </c>
      <c r="C189" s="263" t="s">
        <v>132</v>
      </c>
      <c r="D189" s="263" t="s">
        <v>877</v>
      </c>
      <c r="E189" s="138"/>
      <c r="F189" s="138"/>
      <c r="G189" s="138"/>
      <c r="H189" s="138"/>
      <c r="I189" s="138"/>
      <c r="J189" s="138"/>
      <c r="K189" s="138"/>
      <c r="L189" s="138"/>
      <c r="M189" s="138"/>
      <c r="N189" s="138"/>
      <c r="O189" s="138"/>
      <c r="P189" s="138"/>
      <c r="Q189" s="138"/>
      <c r="R189" s="138"/>
      <c r="S189" s="263" t="s">
        <v>443</v>
      </c>
      <c r="T189" s="162" t="s">
        <v>875</v>
      </c>
      <c r="U189" s="122">
        <f>П6ВСР!Z295</f>
        <v>0</v>
      </c>
      <c r="V189" s="122">
        <v>0</v>
      </c>
      <c r="W189" s="122">
        <v>0</v>
      </c>
      <c r="X189" s="120"/>
    </row>
    <row r="190" spans="1:24" ht="240" customHeight="1" x14ac:dyDescent="0.25">
      <c r="A190" s="126" t="s">
        <v>226</v>
      </c>
      <c r="B190" s="121" t="s">
        <v>124</v>
      </c>
      <c r="C190" s="121" t="s">
        <v>132</v>
      </c>
      <c r="D190" s="179" t="s">
        <v>812</v>
      </c>
      <c r="E190" s="121"/>
      <c r="F190" s="121"/>
      <c r="G190" s="121"/>
      <c r="H190" s="121"/>
      <c r="I190" s="121"/>
      <c r="J190" s="121"/>
      <c r="K190" s="121"/>
      <c r="L190" s="121"/>
      <c r="M190" s="121"/>
      <c r="N190" s="121"/>
      <c r="O190" s="121"/>
      <c r="P190" s="121"/>
      <c r="Q190" s="121"/>
      <c r="R190" s="121"/>
      <c r="S190" s="121"/>
      <c r="T190" s="356" t="s">
        <v>1152</v>
      </c>
      <c r="U190" s="122">
        <f>U191</f>
        <v>87107200</v>
      </c>
      <c r="V190" s="122">
        <f>V191</f>
        <v>87107200</v>
      </c>
      <c r="W190" s="122">
        <f>W191</f>
        <v>87107200</v>
      </c>
      <c r="X190" s="126" t="s">
        <v>226</v>
      </c>
    </row>
    <row r="191" spans="1:24" ht="137.25" customHeight="1" x14ac:dyDescent="0.25">
      <c r="A191" s="126" t="s">
        <v>367</v>
      </c>
      <c r="B191" s="124" t="s">
        <v>124</v>
      </c>
      <c r="C191" s="124" t="s">
        <v>132</v>
      </c>
      <c r="D191" s="180" t="s">
        <v>812</v>
      </c>
      <c r="E191" s="124"/>
      <c r="F191" s="124"/>
      <c r="G191" s="124"/>
      <c r="H191" s="124"/>
      <c r="I191" s="124"/>
      <c r="J191" s="124"/>
      <c r="K191" s="124"/>
      <c r="L191" s="124"/>
      <c r="M191" s="124"/>
      <c r="N191" s="124"/>
      <c r="O191" s="124"/>
      <c r="P191" s="124"/>
      <c r="Q191" s="124"/>
      <c r="R191" s="124"/>
      <c r="S191" s="124" t="s">
        <v>243</v>
      </c>
      <c r="T191" s="164" t="s">
        <v>814</v>
      </c>
      <c r="U191" s="122">
        <f>П6ВСР!Z168</f>
        <v>87107200</v>
      </c>
      <c r="V191" s="122">
        <f>П6ВСР!AA168</f>
        <v>87107200</v>
      </c>
      <c r="W191" s="122">
        <f>П6ВСР!AB168</f>
        <v>87107200</v>
      </c>
      <c r="X191" s="126" t="s">
        <v>367</v>
      </c>
    </row>
    <row r="192" spans="1:24" ht="18.600000000000001" customHeight="1" x14ac:dyDescent="0.25">
      <c r="A192" s="120" t="s">
        <v>152</v>
      </c>
      <c r="B192" s="121" t="s">
        <v>124</v>
      </c>
      <c r="C192" s="121" t="s">
        <v>123</v>
      </c>
      <c r="D192" s="121"/>
      <c r="E192" s="121"/>
      <c r="F192" s="121"/>
      <c r="G192" s="121"/>
      <c r="H192" s="121"/>
      <c r="I192" s="121"/>
      <c r="J192" s="121"/>
      <c r="K192" s="121"/>
      <c r="L192" s="121"/>
      <c r="M192" s="121"/>
      <c r="N192" s="121"/>
      <c r="O192" s="121"/>
      <c r="P192" s="121"/>
      <c r="Q192" s="121"/>
      <c r="R192" s="121"/>
      <c r="S192" s="121"/>
      <c r="T192" s="120" t="s">
        <v>152</v>
      </c>
      <c r="U192" s="122">
        <f>U193+U197+U199+U203+U205+U207+U209+U213+U195+U211+U201</f>
        <v>3650000</v>
      </c>
      <c r="V192" s="122">
        <f>V193+V197+V199+V203+V205+V207+V209+V213+V195+V211+V201</f>
        <v>729990</v>
      </c>
      <c r="W192" s="122">
        <f>W193+W197+W199+W203+W205+W207+W209+W213+W195+W211+W201</f>
        <v>450000</v>
      </c>
      <c r="X192" s="120" t="s">
        <v>152</v>
      </c>
    </row>
    <row r="193" spans="1:24" ht="206.25" customHeight="1" x14ac:dyDescent="0.25">
      <c r="A193" s="120" t="s">
        <v>368</v>
      </c>
      <c r="B193" s="138" t="s">
        <v>124</v>
      </c>
      <c r="C193" s="138" t="s">
        <v>123</v>
      </c>
      <c r="D193" s="138" t="s">
        <v>592</v>
      </c>
      <c r="E193" s="138"/>
      <c r="F193" s="138"/>
      <c r="G193" s="138"/>
      <c r="H193" s="138"/>
      <c r="I193" s="138"/>
      <c r="J193" s="138"/>
      <c r="K193" s="138"/>
      <c r="L193" s="138"/>
      <c r="M193" s="138"/>
      <c r="N193" s="138"/>
      <c r="O193" s="138"/>
      <c r="P193" s="138"/>
      <c r="Q193" s="138"/>
      <c r="R193" s="138"/>
      <c r="S193" s="138"/>
      <c r="T193" s="161" t="s">
        <v>590</v>
      </c>
      <c r="U193" s="122">
        <f>U194</f>
        <v>1000000</v>
      </c>
      <c r="V193" s="122">
        <f>V194</f>
        <v>379990</v>
      </c>
      <c r="W193" s="122">
        <f>W194</f>
        <v>200000</v>
      </c>
      <c r="X193" s="120" t="s">
        <v>368</v>
      </c>
    </row>
    <row r="194" spans="1:24" ht="165" customHeight="1" x14ac:dyDescent="0.25">
      <c r="A194" s="120" t="s">
        <v>369</v>
      </c>
      <c r="B194" s="144" t="s">
        <v>124</v>
      </c>
      <c r="C194" s="144" t="s">
        <v>123</v>
      </c>
      <c r="D194" s="138" t="s">
        <v>592</v>
      </c>
      <c r="E194" s="144"/>
      <c r="F194" s="144"/>
      <c r="G194" s="144"/>
      <c r="H194" s="144"/>
      <c r="I194" s="144"/>
      <c r="J194" s="144"/>
      <c r="K194" s="144"/>
      <c r="L194" s="144"/>
      <c r="M194" s="144"/>
      <c r="N194" s="144"/>
      <c r="O194" s="144"/>
      <c r="P194" s="144"/>
      <c r="Q194" s="144"/>
      <c r="R194" s="144"/>
      <c r="S194" s="144" t="s">
        <v>290</v>
      </c>
      <c r="T194" s="139" t="s">
        <v>591</v>
      </c>
      <c r="U194" s="122">
        <f>П6ВСР!Z171</f>
        <v>1000000</v>
      </c>
      <c r="V194" s="122">
        <f>П6ВСР!AA171</f>
        <v>379990</v>
      </c>
      <c r="W194" s="122">
        <f>П6ВСР!AB171</f>
        <v>200000</v>
      </c>
      <c r="X194" s="120" t="s">
        <v>369</v>
      </c>
    </row>
    <row r="195" spans="1:24" ht="0.75" customHeight="1" x14ac:dyDescent="0.25">
      <c r="A195" s="120"/>
      <c r="B195" s="144" t="s">
        <v>124</v>
      </c>
      <c r="C195" s="144" t="s">
        <v>123</v>
      </c>
      <c r="D195" s="138" t="s">
        <v>592</v>
      </c>
      <c r="E195" s="144"/>
      <c r="F195" s="144"/>
      <c r="G195" s="144"/>
      <c r="H195" s="144"/>
      <c r="I195" s="144"/>
      <c r="J195" s="144"/>
      <c r="K195" s="144"/>
      <c r="L195" s="144"/>
      <c r="M195" s="144"/>
      <c r="N195" s="144"/>
      <c r="O195" s="144"/>
      <c r="P195" s="144"/>
      <c r="Q195" s="144"/>
      <c r="R195" s="144"/>
      <c r="S195" s="144"/>
      <c r="T195" s="161" t="s">
        <v>897</v>
      </c>
      <c r="U195" s="122">
        <f>U196</f>
        <v>0</v>
      </c>
      <c r="V195" s="122">
        <f>V196</f>
        <v>0</v>
      </c>
      <c r="W195" s="122">
        <f>W196</f>
        <v>0</v>
      </c>
      <c r="X195" s="120"/>
    </row>
    <row r="196" spans="1:24" ht="44.25" hidden="1" customHeight="1" x14ac:dyDescent="0.25">
      <c r="A196" s="120"/>
      <c r="B196" s="144" t="s">
        <v>124</v>
      </c>
      <c r="C196" s="144" t="s">
        <v>123</v>
      </c>
      <c r="D196" s="138" t="s">
        <v>592</v>
      </c>
      <c r="E196" s="144"/>
      <c r="F196" s="144"/>
      <c r="G196" s="144"/>
      <c r="H196" s="144"/>
      <c r="I196" s="144"/>
      <c r="J196" s="144"/>
      <c r="K196" s="144"/>
      <c r="L196" s="144"/>
      <c r="M196" s="144"/>
      <c r="N196" s="144"/>
      <c r="O196" s="144"/>
      <c r="P196" s="144"/>
      <c r="Q196" s="144"/>
      <c r="R196" s="144"/>
      <c r="S196" s="144" t="s">
        <v>443</v>
      </c>
      <c r="T196" s="162" t="s">
        <v>875</v>
      </c>
      <c r="U196" s="122">
        <f>П6ВСР!Z304</f>
        <v>0</v>
      </c>
      <c r="V196" s="122">
        <v>0</v>
      </c>
      <c r="W196" s="122">
        <v>0</v>
      </c>
      <c r="X196" s="120"/>
    </row>
    <row r="197" spans="1:24" ht="102.75" customHeight="1" x14ac:dyDescent="0.25">
      <c r="A197" s="120" t="s">
        <v>370</v>
      </c>
      <c r="B197" s="138" t="s">
        <v>124</v>
      </c>
      <c r="C197" s="138" t="s">
        <v>123</v>
      </c>
      <c r="D197" s="138" t="s">
        <v>594</v>
      </c>
      <c r="E197" s="138"/>
      <c r="F197" s="138"/>
      <c r="G197" s="138"/>
      <c r="H197" s="138"/>
      <c r="I197" s="138"/>
      <c r="J197" s="138"/>
      <c r="K197" s="138"/>
      <c r="L197" s="138"/>
      <c r="M197" s="138"/>
      <c r="N197" s="138"/>
      <c r="O197" s="138"/>
      <c r="P197" s="138"/>
      <c r="Q197" s="138"/>
      <c r="R197" s="138"/>
      <c r="S197" s="138"/>
      <c r="T197" s="162" t="s">
        <v>593</v>
      </c>
      <c r="U197" s="122">
        <f>U198</f>
        <v>1000000</v>
      </c>
      <c r="V197" s="122">
        <f>V198</f>
        <v>100000</v>
      </c>
      <c r="W197" s="122">
        <f>W198</f>
        <v>100000</v>
      </c>
      <c r="X197" s="120" t="s">
        <v>370</v>
      </c>
    </row>
    <row r="198" spans="1:24" ht="72" customHeight="1" x14ac:dyDescent="0.25">
      <c r="A198" s="120" t="s">
        <v>371</v>
      </c>
      <c r="B198" s="144" t="s">
        <v>124</v>
      </c>
      <c r="C198" s="144" t="s">
        <v>123</v>
      </c>
      <c r="D198" s="138" t="s">
        <v>594</v>
      </c>
      <c r="E198" s="144"/>
      <c r="F198" s="144"/>
      <c r="G198" s="144"/>
      <c r="H198" s="144"/>
      <c r="I198" s="144"/>
      <c r="J198" s="144"/>
      <c r="K198" s="144"/>
      <c r="L198" s="144"/>
      <c r="M198" s="144"/>
      <c r="N198" s="144"/>
      <c r="O198" s="144"/>
      <c r="P198" s="144"/>
      <c r="Q198" s="144"/>
      <c r="R198" s="144"/>
      <c r="S198" s="144" t="s">
        <v>290</v>
      </c>
      <c r="T198" s="139" t="s">
        <v>371</v>
      </c>
      <c r="U198" s="122">
        <f>П6ВСР!Z173</f>
        <v>1000000</v>
      </c>
      <c r="V198" s="122">
        <f>П6ВСР!AA173</f>
        <v>100000</v>
      </c>
      <c r="W198" s="122">
        <f>П6ВСР!AB173</f>
        <v>100000</v>
      </c>
      <c r="X198" s="120" t="s">
        <v>371</v>
      </c>
    </row>
    <row r="199" spans="1:24" ht="108.75" hidden="1" customHeight="1" x14ac:dyDescent="0.25">
      <c r="A199" s="120"/>
      <c r="B199" s="144" t="s">
        <v>124</v>
      </c>
      <c r="C199" s="144" t="s">
        <v>123</v>
      </c>
      <c r="D199" s="138" t="s">
        <v>595</v>
      </c>
      <c r="E199" s="144"/>
      <c r="F199" s="144"/>
      <c r="G199" s="144"/>
      <c r="H199" s="144"/>
      <c r="I199" s="144"/>
      <c r="J199" s="144"/>
      <c r="K199" s="144"/>
      <c r="L199" s="144"/>
      <c r="M199" s="144"/>
      <c r="N199" s="144"/>
      <c r="O199" s="144"/>
      <c r="P199" s="144"/>
      <c r="Q199" s="144"/>
      <c r="R199" s="144"/>
      <c r="S199" s="144"/>
      <c r="T199" s="162" t="s">
        <v>596</v>
      </c>
      <c r="U199" s="122">
        <f>U200</f>
        <v>0</v>
      </c>
      <c r="V199" s="122">
        <f>V200</f>
        <v>0</v>
      </c>
      <c r="W199" s="122">
        <f>W200</f>
        <v>0</v>
      </c>
      <c r="X199" s="120"/>
    </row>
    <row r="200" spans="1:24" ht="117.75" hidden="1" customHeight="1" x14ac:dyDescent="0.25">
      <c r="A200" s="120"/>
      <c r="B200" s="144" t="s">
        <v>124</v>
      </c>
      <c r="C200" s="144" t="s">
        <v>123</v>
      </c>
      <c r="D200" s="138" t="s">
        <v>595</v>
      </c>
      <c r="E200" s="144"/>
      <c r="F200" s="144"/>
      <c r="G200" s="144"/>
      <c r="H200" s="144"/>
      <c r="I200" s="144"/>
      <c r="J200" s="144"/>
      <c r="K200" s="144"/>
      <c r="L200" s="144"/>
      <c r="M200" s="144"/>
      <c r="N200" s="144"/>
      <c r="O200" s="144"/>
      <c r="P200" s="144"/>
      <c r="Q200" s="144"/>
      <c r="R200" s="144"/>
      <c r="S200" s="144" t="s">
        <v>290</v>
      </c>
      <c r="T200" s="139" t="s">
        <v>596</v>
      </c>
      <c r="U200" s="122">
        <f>П6ВСР!Z175</f>
        <v>0</v>
      </c>
      <c r="V200" s="122">
        <f>П6ВСР!AA175</f>
        <v>0</v>
      </c>
      <c r="W200" s="122">
        <f>П6ВСР!AB175</f>
        <v>0</v>
      </c>
      <c r="X200" s="120"/>
    </row>
    <row r="201" spans="1:24" ht="103.5" hidden="1" customHeight="1" x14ac:dyDescent="0.25">
      <c r="A201" s="120"/>
      <c r="B201" s="144" t="s">
        <v>124</v>
      </c>
      <c r="C201" s="144" t="s">
        <v>123</v>
      </c>
      <c r="D201" s="138" t="s">
        <v>594</v>
      </c>
      <c r="E201" s="144"/>
      <c r="F201" s="144"/>
      <c r="G201" s="144"/>
      <c r="H201" s="144"/>
      <c r="I201" s="144"/>
      <c r="J201" s="144"/>
      <c r="K201" s="144"/>
      <c r="L201" s="144"/>
      <c r="M201" s="144"/>
      <c r="N201" s="144"/>
      <c r="O201" s="144"/>
      <c r="P201" s="144"/>
      <c r="Q201" s="144"/>
      <c r="R201" s="144"/>
      <c r="S201" s="144"/>
      <c r="T201" s="162" t="s">
        <v>593</v>
      </c>
      <c r="U201" s="122">
        <f>U202</f>
        <v>0</v>
      </c>
      <c r="V201" s="122">
        <v>0</v>
      </c>
      <c r="W201" s="122">
        <v>0</v>
      </c>
      <c r="X201" s="120"/>
    </row>
    <row r="202" spans="1:24" ht="36.75" hidden="1" customHeight="1" x14ac:dyDescent="0.25">
      <c r="A202" s="120"/>
      <c r="B202" s="144" t="s">
        <v>124</v>
      </c>
      <c r="C202" s="144" t="s">
        <v>123</v>
      </c>
      <c r="D202" s="138" t="s">
        <v>594</v>
      </c>
      <c r="E202" s="144"/>
      <c r="F202" s="144"/>
      <c r="G202" s="144"/>
      <c r="H202" s="144"/>
      <c r="I202" s="144"/>
      <c r="J202" s="144"/>
      <c r="K202" s="144"/>
      <c r="L202" s="144"/>
      <c r="M202" s="144"/>
      <c r="N202" s="144"/>
      <c r="O202" s="144"/>
      <c r="P202" s="144"/>
      <c r="Q202" s="144"/>
      <c r="R202" s="144"/>
      <c r="S202" s="144" t="s">
        <v>443</v>
      </c>
      <c r="T202" s="162" t="s">
        <v>875</v>
      </c>
      <c r="U202" s="122">
        <f>П6ВСР!Z316</f>
        <v>0</v>
      </c>
      <c r="V202" s="122">
        <v>0</v>
      </c>
      <c r="W202" s="122">
        <v>0</v>
      </c>
      <c r="X202" s="120"/>
    </row>
    <row r="203" spans="1:24" ht="83.25" hidden="1" customHeight="1" x14ac:dyDescent="0.25">
      <c r="A203" s="120" t="s">
        <v>372</v>
      </c>
      <c r="B203" s="138" t="s">
        <v>124</v>
      </c>
      <c r="C203" s="138" t="s">
        <v>123</v>
      </c>
      <c r="D203" s="138" t="s">
        <v>597</v>
      </c>
      <c r="E203" s="138"/>
      <c r="F203" s="138"/>
      <c r="G203" s="138"/>
      <c r="H203" s="138"/>
      <c r="I203" s="138"/>
      <c r="J203" s="138"/>
      <c r="K203" s="138"/>
      <c r="L203" s="138"/>
      <c r="M203" s="138"/>
      <c r="N203" s="138"/>
      <c r="O203" s="138"/>
      <c r="P203" s="138"/>
      <c r="Q203" s="138"/>
      <c r="R203" s="138"/>
      <c r="S203" s="138"/>
      <c r="T203" s="162" t="s">
        <v>600</v>
      </c>
      <c r="U203" s="122">
        <f>U204</f>
        <v>0</v>
      </c>
      <c r="V203" s="122">
        <f>V204</f>
        <v>0</v>
      </c>
      <c r="W203" s="122">
        <f>W204</f>
        <v>0</v>
      </c>
      <c r="X203" s="120" t="s">
        <v>372</v>
      </c>
    </row>
    <row r="204" spans="1:24" ht="81.75" hidden="1" customHeight="1" x14ac:dyDescent="0.25">
      <c r="A204" s="120" t="s">
        <v>373</v>
      </c>
      <c r="B204" s="144" t="s">
        <v>124</v>
      </c>
      <c r="C204" s="144" t="s">
        <v>123</v>
      </c>
      <c r="D204" s="138" t="s">
        <v>597</v>
      </c>
      <c r="E204" s="144"/>
      <c r="F204" s="144"/>
      <c r="G204" s="144"/>
      <c r="H204" s="144"/>
      <c r="I204" s="144"/>
      <c r="J204" s="144"/>
      <c r="K204" s="144"/>
      <c r="L204" s="144"/>
      <c r="M204" s="144"/>
      <c r="N204" s="144"/>
      <c r="O204" s="144"/>
      <c r="P204" s="144"/>
      <c r="Q204" s="144"/>
      <c r="R204" s="144"/>
      <c r="S204" s="144" t="s">
        <v>290</v>
      </c>
      <c r="T204" s="139" t="s">
        <v>373</v>
      </c>
      <c r="U204" s="122">
        <f>П6ВСР!Z177</f>
        <v>0</v>
      </c>
      <c r="V204" s="122">
        <f>П6ВСР!AA177</f>
        <v>0</v>
      </c>
      <c r="W204" s="122">
        <f>П6ВСР!AB177</f>
        <v>0</v>
      </c>
      <c r="X204" s="120" t="s">
        <v>373</v>
      </c>
    </row>
    <row r="205" spans="1:24" ht="72" customHeight="1" x14ac:dyDescent="0.25">
      <c r="A205" s="120" t="s">
        <v>374</v>
      </c>
      <c r="B205" s="144" t="s">
        <v>124</v>
      </c>
      <c r="C205" s="144" t="s">
        <v>123</v>
      </c>
      <c r="D205" s="138" t="s">
        <v>598</v>
      </c>
      <c r="E205" s="144"/>
      <c r="F205" s="144"/>
      <c r="G205" s="144"/>
      <c r="H205" s="144"/>
      <c r="I205" s="144"/>
      <c r="J205" s="144"/>
      <c r="K205" s="144"/>
      <c r="L205" s="144"/>
      <c r="M205" s="144"/>
      <c r="N205" s="144"/>
      <c r="O205" s="144"/>
      <c r="P205" s="144"/>
      <c r="Q205" s="144"/>
      <c r="R205" s="144"/>
      <c r="S205" s="144"/>
      <c r="T205" s="163" t="s">
        <v>601</v>
      </c>
      <c r="U205" s="122">
        <f>U206</f>
        <v>800000</v>
      </c>
      <c r="V205" s="122">
        <f>V206</f>
        <v>50000</v>
      </c>
      <c r="W205" s="122">
        <f>W206</f>
        <v>50000</v>
      </c>
      <c r="X205" s="120" t="s">
        <v>374</v>
      </c>
    </row>
    <row r="206" spans="1:24" ht="74.25" customHeight="1" x14ac:dyDescent="0.25">
      <c r="A206" s="120" t="s">
        <v>375</v>
      </c>
      <c r="B206" s="144" t="s">
        <v>124</v>
      </c>
      <c r="C206" s="144" t="s">
        <v>123</v>
      </c>
      <c r="D206" s="138" t="s">
        <v>598</v>
      </c>
      <c r="E206" s="144"/>
      <c r="F206" s="144"/>
      <c r="G206" s="144"/>
      <c r="H206" s="144"/>
      <c r="I206" s="144"/>
      <c r="J206" s="144"/>
      <c r="K206" s="144"/>
      <c r="L206" s="144"/>
      <c r="M206" s="144"/>
      <c r="N206" s="144"/>
      <c r="O206" s="144"/>
      <c r="P206" s="144"/>
      <c r="Q206" s="144"/>
      <c r="R206" s="144"/>
      <c r="S206" s="144" t="s">
        <v>290</v>
      </c>
      <c r="T206" s="125" t="s">
        <v>375</v>
      </c>
      <c r="U206" s="122">
        <f>П6ВСР!Z179</f>
        <v>800000</v>
      </c>
      <c r="V206" s="122">
        <f>П6ВСР!AA179</f>
        <v>50000</v>
      </c>
      <c r="W206" s="122">
        <f>П6ВСР!AB179</f>
        <v>50000</v>
      </c>
      <c r="X206" s="120" t="s">
        <v>375</v>
      </c>
    </row>
    <row r="207" spans="1:24" ht="84.75" customHeight="1" x14ac:dyDescent="0.25">
      <c r="A207" s="120" t="s">
        <v>376</v>
      </c>
      <c r="B207" s="138" t="s">
        <v>124</v>
      </c>
      <c r="C207" s="138" t="s">
        <v>123</v>
      </c>
      <c r="D207" s="138" t="s">
        <v>599</v>
      </c>
      <c r="E207" s="138"/>
      <c r="F207" s="138"/>
      <c r="G207" s="138"/>
      <c r="H207" s="138"/>
      <c r="I207" s="138"/>
      <c r="J207" s="138"/>
      <c r="K207" s="138"/>
      <c r="L207" s="138"/>
      <c r="M207" s="138"/>
      <c r="N207" s="138"/>
      <c r="O207" s="138"/>
      <c r="P207" s="138"/>
      <c r="Q207" s="138"/>
      <c r="R207" s="138"/>
      <c r="S207" s="138"/>
      <c r="T207" s="162" t="s">
        <v>602</v>
      </c>
      <c r="U207" s="122">
        <f>U208</f>
        <v>850000</v>
      </c>
      <c r="V207" s="122">
        <f>V208</f>
        <v>200000</v>
      </c>
      <c r="W207" s="122">
        <f>W208</f>
        <v>100000</v>
      </c>
      <c r="X207" s="120" t="s">
        <v>376</v>
      </c>
    </row>
    <row r="208" spans="1:24" ht="90.75" customHeight="1" x14ac:dyDescent="0.25">
      <c r="A208" s="120" t="s">
        <v>377</v>
      </c>
      <c r="B208" s="144" t="s">
        <v>124</v>
      </c>
      <c r="C208" s="144" t="s">
        <v>123</v>
      </c>
      <c r="D208" s="138" t="s">
        <v>599</v>
      </c>
      <c r="E208" s="144"/>
      <c r="F208" s="144"/>
      <c r="G208" s="144"/>
      <c r="H208" s="144"/>
      <c r="I208" s="144"/>
      <c r="J208" s="144"/>
      <c r="K208" s="144"/>
      <c r="L208" s="144"/>
      <c r="M208" s="144"/>
      <c r="N208" s="144"/>
      <c r="O208" s="144"/>
      <c r="P208" s="144"/>
      <c r="Q208" s="144"/>
      <c r="R208" s="144"/>
      <c r="S208" s="144" t="s">
        <v>290</v>
      </c>
      <c r="T208" s="139" t="s">
        <v>377</v>
      </c>
      <c r="U208" s="122">
        <f>П6ВСР!Z181</f>
        <v>850000</v>
      </c>
      <c r="V208" s="122">
        <f>П6ВСР!AA181</f>
        <v>200000</v>
      </c>
      <c r="W208" s="122">
        <f>П6ВСР!AB181</f>
        <v>100000</v>
      </c>
      <c r="X208" s="120" t="s">
        <v>377</v>
      </c>
    </row>
    <row r="209" spans="1:24" ht="0.75" customHeight="1" x14ac:dyDescent="0.25">
      <c r="A209" s="120" t="s">
        <v>378</v>
      </c>
      <c r="B209" s="138" t="s">
        <v>124</v>
      </c>
      <c r="C209" s="138" t="s">
        <v>123</v>
      </c>
      <c r="D209" s="263" t="s">
        <v>599</v>
      </c>
      <c r="E209" s="138"/>
      <c r="F209" s="138"/>
      <c r="G209" s="138"/>
      <c r="H209" s="138"/>
      <c r="I209" s="138"/>
      <c r="J209" s="138"/>
      <c r="K209" s="138"/>
      <c r="L209" s="138"/>
      <c r="M209" s="138"/>
      <c r="N209" s="138"/>
      <c r="O209" s="138"/>
      <c r="P209" s="138"/>
      <c r="Q209" s="138"/>
      <c r="R209" s="138"/>
      <c r="S209" s="138"/>
      <c r="T209" s="162" t="s">
        <v>830</v>
      </c>
      <c r="U209" s="122">
        <f>U210</f>
        <v>0</v>
      </c>
      <c r="V209" s="122">
        <f>V210</f>
        <v>0</v>
      </c>
      <c r="W209" s="122">
        <f>W210</f>
        <v>0</v>
      </c>
      <c r="X209" s="120" t="s">
        <v>378</v>
      </c>
    </row>
    <row r="210" spans="1:24" ht="36" hidden="1" customHeight="1" x14ac:dyDescent="0.25">
      <c r="A210" s="120" t="s">
        <v>379</v>
      </c>
      <c r="B210" s="144" t="s">
        <v>124</v>
      </c>
      <c r="C210" s="144" t="s">
        <v>123</v>
      </c>
      <c r="D210" s="263" t="s">
        <v>599</v>
      </c>
      <c r="E210" s="144"/>
      <c r="F210" s="144"/>
      <c r="G210" s="144"/>
      <c r="H210" s="144"/>
      <c r="I210" s="144"/>
      <c r="J210" s="144"/>
      <c r="K210" s="144"/>
      <c r="L210" s="144"/>
      <c r="M210" s="144"/>
      <c r="N210" s="144"/>
      <c r="O210" s="144"/>
      <c r="P210" s="144"/>
      <c r="Q210" s="144"/>
      <c r="R210" s="144"/>
      <c r="S210" s="144" t="s">
        <v>443</v>
      </c>
      <c r="T210" s="162" t="s">
        <v>875</v>
      </c>
      <c r="U210" s="122">
        <f>П6ВСР!Z328</f>
        <v>0</v>
      </c>
      <c r="V210" s="122">
        <f>П6ВСР!AA183</f>
        <v>0</v>
      </c>
      <c r="W210" s="122">
        <f>П6ВСР!AB183</f>
        <v>0</v>
      </c>
      <c r="X210" s="120" t="s">
        <v>379</v>
      </c>
    </row>
    <row r="211" spans="1:24" ht="96" hidden="1" customHeight="1" x14ac:dyDescent="0.25">
      <c r="A211" s="120"/>
      <c r="B211" s="144" t="s">
        <v>124</v>
      </c>
      <c r="C211" s="144" t="s">
        <v>123</v>
      </c>
      <c r="D211" s="263" t="s">
        <v>1011</v>
      </c>
      <c r="E211" s="144"/>
      <c r="F211" s="144"/>
      <c r="G211" s="144"/>
      <c r="H211" s="144"/>
      <c r="I211" s="144"/>
      <c r="J211" s="144"/>
      <c r="K211" s="144"/>
      <c r="L211" s="144"/>
      <c r="M211" s="144"/>
      <c r="N211" s="144"/>
      <c r="O211" s="144"/>
      <c r="P211" s="144"/>
      <c r="Q211" s="144"/>
      <c r="R211" s="144"/>
      <c r="S211" s="144"/>
      <c r="T211" s="162" t="s">
        <v>1012</v>
      </c>
      <c r="U211" s="122">
        <f>U212</f>
        <v>0</v>
      </c>
      <c r="V211" s="122">
        <v>0</v>
      </c>
      <c r="W211" s="122">
        <v>0</v>
      </c>
      <c r="X211" s="120"/>
    </row>
    <row r="212" spans="1:24" ht="79.5" hidden="1" customHeight="1" x14ac:dyDescent="0.25">
      <c r="A212" s="120"/>
      <c r="B212" s="144" t="s">
        <v>124</v>
      </c>
      <c r="C212" s="144" t="s">
        <v>123</v>
      </c>
      <c r="D212" s="263" t="s">
        <v>1011</v>
      </c>
      <c r="E212" s="144"/>
      <c r="F212" s="144"/>
      <c r="G212" s="144"/>
      <c r="H212" s="144"/>
      <c r="I212" s="144"/>
      <c r="J212" s="144"/>
      <c r="K212" s="144"/>
      <c r="L212" s="144"/>
      <c r="M212" s="144"/>
      <c r="N212" s="144"/>
      <c r="O212" s="144"/>
      <c r="P212" s="144"/>
      <c r="Q212" s="144"/>
      <c r="R212" s="144"/>
      <c r="S212" s="144" t="s">
        <v>290</v>
      </c>
      <c r="T212" s="139" t="s">
        <v>381</v>
      </c>
      <c r="U212" s="122">
        <f>П6ВСР!Z182</f>
        <v>0</v>
      </c>
      <c r="V212" s="122">
        <v>0</v>
      </c>
      <c r="W212" s="122">
        <v>0</v>
      </c>
      <c r="X212" s="120"/>
    </row>
    <row r="213" spans="1:24" ht="98.25" hidden="1" customHeight="1" x14ac:dyDescent="0.25">
      <c r="A213" s="120" t="s">
        <v>380</v>
      </c>
      <c r="B213" s="138" t="s">
        <v>124</v>
      </c>
      <c r="C213" s="138" t="s">
        <v>123</v>
      </c>
      <c r="D213" s="138" t="s">
        <v>847</v>
      </c>
      <c r="E213" s="138"/>
      <c r="F213" s="138"/>
      <c r="G213" s="138"/>
      <c r="H213" s="138"/>
      <c r="I213" s="138"/>
      <c r="J213" s="138"/>
      <c r="K213" s="138"/>
      <c r="L213" s="138"/>
      <c r="M213" s="138"/>
      <c r="N213" s="138"/>
      <c r="O213" s="138"/>
      <c r="P213" s="138"/>
      <c r="Q213" s="138"/>
      <c r="R213" s="138"/>
      <c r="S213" s="138"/>
      <c r="T213" s="162" t="s">
        <v>845</v>
      </c>
      <c r="U213" s="122">
        <f>U214</f>
        <v>0</v>
      </c>
      <c r="V213" s="122">
        <f>V214</f>
        <v>0</v>
      </c>
      <c r="W213" s="122">
        <f>W214</f>
        <v>0</v>
      </c>
      <c r="X213" s="120" t="s">
        <v>380</v>
      </c>
    </row>
    <row r="214" spans="1:24" ht="63.75" hidden="1" customHeight="1" x14ac:dyDescent="0.25">
      <c r="A214" s="120" t="s">
        <v>381</v>
      </c>
      <c r="B214" s="144" t="s">
        <v>124</v>
      </c>
      <c r="C214" s="144" t="s">
        <v>123</v>
      </c>
      <c r="D214" s="138" t="s">
        <v>847</v>
      </c>
      <c r="E214" s="144"/>
      <c r="F214" s="144"/>
      <c r="G214" s="144"/>
      <c r="H214" s="144"/>
      <c r="I214" s="144"/>
      <c r="J214" s="144"/>
      <c r="K214" s="144"/>
      <c r="L214" s="144"/>
      <c r="M214" s="144"/>
      <c r="N214" s="144"/>
      <c r="O214" s="144"/>
      <c r="P214" s="144"/>
      <c r="Q214" s="144"/>
      <c r="R214" s="144"/>
      <c r="S214" s="144" t="s">
        <v>290</v>
      </c>
      <c r="T214" s="139" t="s">
        <v>846</v>
      </c>
      <c r="U214" s="122">
        <f>П6ВСР!Z185</f>
        <v>0</v>
      </c>
      <c r="V214" s="122">
        <f>П6ВСР!AA185</f>
        <v>0</v>
      </c>
      <c r="W214" s="122">
        <f>П6ВСР!AB185</f>
        <v>0</v>
      </c>
      <c r="X214" s="120" t="s">
        <v>381</v>
      </c>
    </row>
    <row r="215" spans="1:24" ht="18.600000000000001" customHeight="1" x14ac:dyDescent="0.25">
      <c r="A215" s="118" t="s">
        <v>382</v>
      </c>
      <c r="B215" s="129" t="s">
        <v>138</v>
      </c>
      <c r="C215" s="129" t="s">
        <v>133</v>
      </c>
      <c r="D215" s="129"/>
      <c r="E215" s="129"/>
      <c r="F215" s="129"/>
      <c r="G215" s="129"/>
      <c r="H215" s="129"/>
      <c r="I215" s="129"/>
      <c r="J215" s="129"/>
      <c r="K215" s="129"/>
      <c r="L215" s="129"/>
      <c r="M215" s="129"/>
      <c r="N215" s="129"/>
      <c r="O215" s="129"/>
      <c r="P215" s="129"/>
      <c r="Q215" s="129"/>
      <c r="R215" s="129"/>
      <c r="S215" s="129"/>
      <c r="T215" s="118" t="s">
        <v>382</v>
      </c>
      <c r="U215" s="119">
        <f>U216+U229+U265+U288+U262</f>
        <v>400020251.97999996</v>
      </c>
      <c r="V215" s="119">
        <f>V216+V229+V265+V288+V262</f>
        <v>407049045.74000001</v>
      </c>
      <c r="W215" s="119">
        <f>W216+W229+W265+W288+W262</f>
        <v>407909808.08000004</v>
      </c>
      <c r="X215" s="118" t="s">
        <v>382</v>
      </c>
    </row>
    <row r="216" spans="1:24" ht="18.600000000000001" customHeight="1" x14ac:dyDescent="0.25">
      <c r="A216" s="120" t="s">
        <v>155</v>
      </c>
      <c r="B216" s="121" t="s">
        <v>138</v>
      </c>
      <c r="C216" s="121" t="s">
        <v>122</v>
      </c>
      <c r="D216" s="121"/>
      <c r="E216" s="121"/>
      <c r="F216" s="121"/>
      <c r="G216" s="121"/>
      <c r="H216" s="121"/>
      <c r="I216" s="121"/>
      <c r="J216" s="121"/>
      <c r="K216" s="121"/>
      <c r="L216" s="121"/>
      <c r="M216" s="121"/>
      <c r="N216" s="121"/>
      <c r="O216" s="121"/>
      <c r="P216" s="121"/>
      <c r="Q216" s="121"/>
      <c r="R216" s="121"/>
      <c r="S216" s="121"/>
      <c r="T216" s="120" t="s">
        <v>155</v>
      </c>
      <c r="U216" s="122">
        <f>U217+U221+U223+U225+U227+U219</f>
        <v>102836589.02000001</v>
      </c>
      <c r="V216" s="122">
        <f>V217+V221+V223+V225+V227+V219</f>
        <v>99916814.579999998</v>
      </c>
      <c r="W216" s="122">
        <f>W217+W221+W223+W225+W227+W219</f>
        <v>102849481.18000001</v>
      </c>
      <c r="X216" s="120" t="s">
        <v>155</v>
      </c>
    </row>
    <row r="217" spans="1:24" ht="0.75" customHeight="1" x14ac:dyDescent="0.25">
      <c r="A217" s="120"/>
      <c r="B217" s="172" t="s">
        <v>138</v>
      </c>
      <c r="C217" s="172" t="s">
        <v>122</v>
      </c>
      <c r="D217" s="172" t="s">
        <v>867</v>
      </c>
      <c r="E217" s="172"/>
      <c r="F217" s="172"/>
      <c r="G217" s="172"/>
      <c r="H217" s="172"/>
      <c r="I217" s="172"/>
      <c r="J217" s="172"/>
      <c r="K217" s="172"/>
      <c r="L217" s="172"/>
      <c r="M217" s="172"/>
      <c r="N217" s="172"/>
      <c r="O217" s="172"/>
      <c r="P217" s="172"/>
      <c r="Q217" s="172"/>
      <c r="R217" s="172"/>
      <c r="S217" s="172"/>
      <c r="T217" s="366" t="s">
        <v>868</v>
      </c>
      <c r="U217" s="122">
        <f>U218</f>
        <v>0</v>
      </c>
      <c r="V217" s="122">
        <f>V218</f>
        <v>0</v>
      </c>
      <c r="W217" s="122">
        <f>W218</f>
        <v>0</v>
      </c>
      <c r="X217" s="120"/>
    </row>
    <row r="218" spans="1:24" ht="102" hidden="1" customHeight="1" x14ac:dyDescent="0.25">
      <c r="A218" s="120"/>
      <c r="B218" s="140" t="s">
        <v>138</v>
      </c>
      <c r="C218" s="140" t="s">
        <v>122</v>
      </c>
      <c r="D218" s="172" t="s">
        <v>867</v>
      </c>
      <c r="E218" s="140"/>
      <c r="F218" s="140"/>
      <c r="G218" s="140"/>
      <c r="H218" s="140"/>
      <c r="I218" s="140"/>
      <c r="J218" s="140"/>
      <c r="K218" s="140"/>
      <c r="L218" s="140"/>
      <c r="M218" s="140"/>
      <c r="N218" s="140"/>
      <c r="O218" s="140"/>
      <c r="P218" s="140"/>
      <c r="Q218" s="140"/>
      <c r="R218" s="140"/>
      <c r="S218" s="140" t="s">
        <v>309</v>
      </c>
      <c r="T218" s="139" t="s">
        <v>866</v>
      </c>
      <c r="U218" s="122">
        <f>П6ВСР!Z346</f>
        <v>0</v>
      </c>
      <c r="V218" s="122">
        <f>П6ВСР!AA346</f>
        <v>0</v>
      </c>
      <c r="W218" s="122">
        <f>П6ВСР!AB346</f>
        <v>0</v>
      </c>
      <c r="X218" s="120"/>
    </row>
    <row r="219" spans="1:24" ht="173.25" customHeight="1" x14ac:dyDescent="0.25">
      <c r="A219" s="120"/>
      <c r="B219" s="140" t="s">
        <v>138</v>
      </c>
      <c r="C219" s="140" t="s">
        <v>122</v>
      </c>
      <c r="D219" s="172" t="s">
        <v>882</v>
      </c>
      <c r="E219" s="140"/>
      <c r="F219" s="140"/>
      <c r="G219" s="140"/>
      <c r="H219" s="140"/>
      <c r="I219" s="140"/>
      <c r="J219" s="140"/>
      <c r="K219" s="140"/>
      <c r="L219" s="140"/>
      <c r="M219" s="140"/>
      <c r="N219" s="140"/>
      <c r="O219" s="140"/>
      <c r="P219" s="140"/>
      <c r="Q219" s="140"/>
      <c r="R219" s="140"/>
      <c r="S219" s="140"/>
      <c r="T219" s="162" t="s">
        <v>881</v>
      </c>
      <c r="U219" s="122">
        <f>U220</f>
        <v>300000</v>
      </c>
      <c r="V219" s="122">
        <f>V220</f>
        <v>500000</v>
      </c>
      <c r="W219" s="122">
        <f>W220</f>
        <v>100000</v>
      </c>
      <c r="X219" s="120"/>
    </row>
    <row r="220" spans="1:24" ht="94.5" customHeight="1" x14ac:dyDescent="0.25">
      <c r="A220" s="120"/>
      <c r="B220" s="140" t="s">
        <v>138</v>
      </c>
      <c r="C220" s="140" t="s">
        <v>122</v>
      </c>
      <c r="D220" s="172" t="s">
        <v>882</v>
      </c>
      <c r="E220" s="140"/>
      <c r="F220" s="140"/>
      <c r="G220" s="140"/>
      <c r="H220" s="140"/>
      <c r="I220" s="140"/>
      <c r="J220" s="140"/>
      <c r="K220" s="140"/>
      <c r="L220" s="140"/>
      <c r="M220" s="140"/>
      <c r="N220" s="140"/>
      <c r="O220" s="140"/>
      <c r="P220" s="140"/>
      <c r="Q220" s="140"/>
      <c r="R220" s="140"/>
      <c r="S220" s="140" t="s">
        <v>309</v>
      </c>
      <c r="T220" s="139" t="s">
        <v>453</v>
      </c>
      <c r="U220" s="122">
        <f>П6ВСР!Z347</f>
        <v>300000</v>
      </c>
      <c r="V220" s="122">
        <f>П6ВСР!AA348</f>
        <v>500000</v>
      </c>
      <c r="W220" s="122">
        <f>П6ВСР!AB348</f>
        <v>100000</v>
      </c>
      <c r="X220" s="120"/>
    </row>
    <row r="221" spans="1:24" ht="141" customHeight="1" x14ac:dyDescent="0.25">
      <c r="A221" s="120" t="s">
        <v>445</v>
      </c>
      <c r="B221" s="172" t="s">
        <v>138</v>
      </c>
      <c r="C221" s="172" t="s">
        <v>122</v>
      </c>
      <c r="D221" s="172" t="s">
        <v>685</v>
      </c>
      <c r="E221" s="172"/>
      <c r="F221" s="172"/>
      <c r="G221" s="172"/>
      <c r="H221" s="172"/>
      <c r="I221" s="172"/>
      <c r="J221" s="172"/>
      <c r="K221" s="172"/>
      <c r="L221" s="172"/>
      <c r="M221" s="172"/>
      <c r="N221" s="172"/>
      <c r="O221" s="172"/>
      <c r="P221" s="172"/>
      <c r="Q221" s="172"/>
      <c r="R221" s="172"/>
      <c r="S221" s="172"/>
      <c r="T221" s="162" t="s">
        <v>684</v>
      </c>
      <c r="U221" s="122">
        <f>U222</f>
        <v>51636589.020000003</v>
      </c>
      <c r="V221" s="122">
        <f>V222</f>
        <v>49849090.530000001</v>
      </c>
      <c r="W221" s="122">
        <f>W222</f>
        <v>51292054.149999999</v>
      </c>
      <c r="X221" s="120" t="s">
        <v>445</v>
      </c>
    </row>
    <row r="222" spans="1:24" ht="108.75" customHeight="1" x14ac:dyDescent="0.25">
      <c r="A222" s="120" t="s">
        <v>446</v>
      </c>
      <c r="B222" s="140" t="s">
        <v>138</v>
      </c>
      <c r="C222" s="140" t="s">
        <v>122</v>
      </c>
      <c r="D222" s="172" t="s">
        <v>685</v>
      </c>
      <c r="E222" s="140"/>
      <c r="F222" s="140"/>
      <c r="G222" s="140"/>
      <c r="H222" s="140"/>
      <c r="I222" s="140"/>
      <c r="J222" s="140"/>
      <c r="K222" s="140"/>
      <c r="L222" s="140"/>
      <c r="M222" s="140"/>
      <c r="N222" s="140"/>
      <c r="O222" s="140"/>
      <c r="P222" s="140"/>
      <c r="Q222" s="140"/>
      <c r="R222" s="140"/>
      <c r="S222" s="140" t="s">
        <v>309</v>
      </c>
      <c r="T222" s="139" t="s">
        <v>446</v>
      </c>
      <c r="U222" s="122">
        <f>П6ВСР!Z350</f>
        <v>51636589.020000003</v>
      </c>
      <c r="V222" s="122">
        <f>П6ВСР!AA350</f>
        <v>49849090.530000001</v>
      </c>
      <c r="W222" s="122">
        <f>П6ВСР!AB350</f>
        <v>51292054.149999999</v>
      </c>
      <c r="X222" s="120" t="s">
        <v>446</v>
      </c>
    </row>
    <row r="223" spans="1:24" ht="112.5" customHeight="1" x14ac:dyDescent="0.25">
      <c r="A223" s="120" t="s">
        <v>447</v>
      </c>
      <c r="B223" s="172" t="s">
        <v>138</v>
      </c>
      <c r="C223" s="172" t="s">
        <v>122</v>
      </c>
      <c r="D223" s="172" t="s">
        <v>687</v>
      </c>
      <c r="E223" s="172"/>
      <c r="F223" s="172"/>
      <c r="G223" s="172"/>
      <c r="H223" s="172"/>
      <c r="I223" s="172"/>
      <c r="J223" s="172"/>
      <c r="K223" s="172"/>
      <c r="L223" s="172"/>
      <c r="M223" s="172"/>
      <c r="N223" s="172"/>
      <c r="O223" s="172"/>
      <c r="P223" s="172"/>
      <c r="Q223" s="172"/>
      <c r="R223" s="172"/>
      <c r="S223" s="172"/>
      <c r="T223" s="162" t="s">
        <v>686</v>
      </c>
      <c r="U223" s="122">
        <f>U224</f>
        <v>6000000</v>
      </c>
      <c r="V223" s="122">
        <f>V224</f>
        <v>3978424.05</v>
      </c>
      <c r="W223" s="122">
        <f>W224</f>
        <v>4214827.03</v>
      </c>
      <c r="X223" s="120" t="s">
        <v>447</v>
      </c>
    </row>
    <row r="224" spans="1:24" ht="86.25" customHeight="1" x14ac:dyDescent="0.25">
      <c r="A224" s="120" t="s">
        <v>448</v>
      </c>
      <c r="B224" s="140" t="s">
        <v>138</v>
      </c>
      <c r="C224" s="140" t="s">
        <v>122</v>
      </c>
      <c r="D224" s="172" t="s">
        <v>687</v>
      </c>
      <c r="E224" s="140"/>
      <c r="F224" s="140"/>
      <c r="G224" s="140"/>
      <c r="H224" s="140"/>
      <c r="I224" s="140"/>
      <c r="J224" s="140"/>
      <c r="K224" s="140"/>
      <c r="L224" s="140"/>
      <c r="M224" s="140"/>
      <c r="N224" s="140"/>
      <c r="O224" s="140"/>
      <c r="P224" s="140"/>
      <c r="Q224" s="140"/>
      <c r="R224" s="140"/>
      <c r="S224" s="140" t="s">
        <v>309</v>
      </c>
      <c r="T224" s="139" t="s">
        <v>448</v>
      </c>
      <c r="U224" s="122">
        <f>П6ВСР!Z352</f>
        <v>6000000</v>
      </c>
      <c r="V224" s="122">
        <f>П6ВСР!AA352</f>
        <v>3978424.05</v>
      </c>
      <c r="W224" s="122">
        <f>П6ВСР!AB352</f>
        <v>4214827.03</v>
      </c>
      <c r="X224" s="120" t="s">
        <v>448</v>
      </c>
    </row>
    <row r="225" spans="1:24" ht="234.75" customHeight="1" x14ac:dyDescent="0.25">
      <c r="A225" s="126" t="s">
        <v>234</v>
      </c>
      <c r="B225" s="176" t="s">
        <v>138</v>
      </c>
      <c r="C225" s="176" t="s">
        <v>122</v>
      </c>
      <c r="D225" s="176" t="s">
        <v>793</v>
      </c>
      <c r="E225" s="172"/>
      <c r="F225" s="172"/>
      <c r="G225" s="172"/>
      <c r="H225" s="172"/>
      <c r="I225" s="172"/>
      <c r="J225" s="172"/>
      <c r="K225" s="172"/>
      <c r="L225" s="172"/>
      <c r="M225" s="172"/>
      <c r="N225" s="172"/>
      <c r="O225" s="172"/>
      <c r="P225" s="172"/>
      <c r="Q225" s="172"/>
      <c r="R225" s="172"/>
      <c r="S225" s="172"/>
      <c r="T225" s="175" t="s">
        <v>818</v>
      </c>
      <c r="U225" s="122">
        <f>U226</f>
        <v>44720000</v>
      </c>
      <c r="V225" s="122">
        <f>V226</f>
        <v>45269300</v>
      </c>
      <c r="W225" s="122">
        <f>W226</f>
        <v>46922600</v>
      </c>
      <c r="X225" s="126" t="s">
        <v>234</v>
      </c>
    </row>
    <row r="226" spans="1:24" ht="57.75" customHeight="1" thickBot="1" x14ac:dyDescent="0.3">
      <c r="A226" s="126" t="s">
        <v>449</v>
      </c>
      <c r="B226" s="140" t="s">
        <v>138</v>
      </c>
      <c r="C226" s="140" t="s">
        <v>122</v>
      </c>
      <c r="D226" s="176" t="s">
        <v>793</v>
      </c>
      <c r="E226" s="140"/>
      <c r="F226" s="140"/>
      <c r="G226" s="140"/>
      <c r="H226" s="140"/>
      <c r="I226" s="140"/>
      <c r="J226" s="140"/>
      <c r="K226" s="140"/>
      <c r="L226" s="140"/>
      <c r="M226" s="140"/>
      <c r="N226" s="140"/>
      <c r="O226" s="140"/>
      <c r="P226" s="140"/>
      <c r="Q226" s="140"/>
      <c r="R226" s="140"/>
      <c r="S226" s="140" t="s">
        <v>309</v>
      </c>
      <c r="T226" s="164" t="s">
        <v>796</v>
      </c>
      <c r="U226" s="122">
        <f>П6ВСР!Z354</f>
        <v>44720000</v>
      </c>
      <c r="V226" s="122">
        <f>П6ВСР!AA354</f>
        <v>45269300</v>
      </c>
      <c r="W226" s="122">
        <f>П6ВСР!AB354</f>
        <v>46922600</v>
      </c>
      <c r="X226" s="126" t="s">
        <v>449</v>
      </c>
    </row>
    <row r="227" spans="1:24" ht="111.75" customHeight="1" thickBot="1" x14ac:dyDescent="0.3">
      <c r="A227" s="126"/>
      <c r="B227" s="140" t="s">
        <v>138</v>
      </c>
      <c r="C227" s="140" t="s">
        <v>122</v>
      </c>
      <c r="D227" s="172" t="s">
        <v>664</v>
      </c>
      <c r="E227" s="140"/>
      <c r="F227" s="140"/>
      <c r="G227" s="140"/>
      <c r="H227" s="140"/>
      <c r="I227" s="140"/>
      <c r="J227" s="140"/>
      <c r="K227" s="140"/>
      <c r="L227" s="140"/>
      <c r="M227" s="140"/>
      <c r="N227" s="140"/>
      <c r="O227" s="140"/>
      <c r="P227" s="140"/>
      <c r="Q227" s="140"/>
      <c r="R227" s="140"/>
      <c r="S227" s="140"/>
      <c r="T227" s="177" t="s">
        <v>663</v>
      </c>
      <c r="U227" s="122">
        <f>U228</f>
        <v>180000</v>
      </c>
      <c r="V227" s="122">
        <f>V228</f>
        <v>320000</v>
      </c>
      <c r="W227" s="122">
        <f>W228</f>
        <v>320000</v>
      </c>
      <c r="X227" s="126"/>
    </row>
    <row r="228" spans="1:24" ht="150" customHeight="1" x14ac:dyDescent="0.25">
      <c r="A228" s="126"/>
      <c r="B228" s="140" t="s">
        <v>138</v>
      </c>
      <c r="C228" s="140" t="s">
        <v>122</v>
      </c>
      <c r="D228" s="172" t="s">
        <v>664</v>
      </c>
      <c r="E228" s="140"/>
      <c r="F228" s="140"/>
      <c r="G228" s="140"/>
      <c r="H228" s="140"/>
      <c r="I228" s="140"/>
      <c r="J228" s="140"/>
      <c r="K228" s="140"/>
      <c r="L228" s="140"/>
      <c r="M228" s="140"/>
      <c r="N228" s="140"/>
      <c r="O228" s="140"/>
      <c r="P228" s="140"/>
      <c r="Q228" s="140"/>
      <c r="R228" s="140"/>
      <c r="S228" s="140" t="s">
        <v>309</v>
      </c>
      <c r="T228" s="252" t="s">
        <v>835</v>
      </c>
      <c r="U228" s="122">
        <f>П6ВСР!Z356</f>
        <v>180000</v>
      </c>
      <c r="V228" s="122">
        <f>П6ВСР!AA356</f>
        <v>320000</v>
      </c>
      <c r="W228" s="122">
        <f>П6ВСР!AB356</f>
        <v>320000</v>
      </c>
      <c r="X228" s="126"/>
    </row>
    <row r="229" spans="1:24" ht="17.25" customHeight="1" x14ac:dyDescent="0.25">
      <c r="A229" s="120" t="s">
        <v>156</v>
      </c>
      <c r="B229" s="121" t="s">
        <v>138</v>
      </c>
      <c r="C229" s="121" t="s">
        <v>132</v>
      </c>
      <c r="D229" s="121"/>
      <c r="E229" s="121"/>
      <c r="F229" s="121"/>
      <c r="G229" s="121"/>
      <c r="H229" s="121"/>
      <c r="I229" s="121"/>
      <c r="J229" s="121"/>
      <c r="K229" s="121"/>
      <c r="L229" s="121"/>
      <c r="M229" s="121"/>
      <c r="N229" s="121"/>
      <c r="O229" s="121"/>
      <c r="P229" s="121"/>
      <c r="Q229" s="121"/>
      <c r="R229" s="121"/>
      <c r="S229" s="121"/>
      <c r="T229" s="120" t="s">
        <v>156</v>
      </c>
      <c r="U229" s="122">
        <f>U230+U234+U236+U238+U240+U242+U244+U246+U250+U252+U254+U256+U258+U260+U232+U248</f>
        <v>260674244</v>
      </c>
      <c r="V229" s="122">
        <f>V230+V234+V236+V238+V240+V242+V244+V246+V250+V252+V254+V256+V258+V260+V232</f>
        <v>270923952.06999999</v>
      </c>
      <c r="W229" s="122">
        <f>W230+W234+W236+W238+W240+W242+W244+W246+W250+W252+W254+W256+W258+W260+W232</f>
        <v>269017847.81</v>
      </c>
      <c r="X229" s="120" t="s">
        <v>156</v>
      </c>
    </row>
    <row r="230" spans="1:24" ht="180" hidden="1" customHeight="1" x14ac:dyDescent="0.25">
      <c r="A230" s="120" t="s">
        <v>450</v>
      </c>
      <c r="B230" s="172" t="s">
        <v>138</v>
      </c>
      <c r="C230" s="172" t="s">
        <v>132</v>
      </c>
      <c r="D230" s="172" t="s">
        <v>867</v>
      </c>
      <c r="E230" s="172"/>
      <c r="F230" s="172"/>
      <c r="G230" s="172"/>
      <c r="H230" s="172"/>
      <c r="I230" s="172"/>
      <c r="J230" s="172"/>
      <c r="K230" s="172"/>
      <c r="L230" s="172"/>
      <c r="M230" s="172"/>
      <c r="N230" s="172"/>
      <c r="O230" s="172"/>
      <c r="P230" s="172"/>
      <c r="Q230" s="172"/>
      <c r="R230" s="172"/>
      <c r="S230" s="172"/>
      <c r="T230" s="366" t="s">
        <v>868</v>
      </c>
      <c r="U230" s="122">
        <f>U231</f>
        <v>0</v>
      </c>
      <c r="V230" s="122">
        <f>V231</f>
        <v>0</v>
      </c>
      <c r="W230" s="122">
        <f>W231</f>
        <v>0</v>
      </c>
      <c r="X230" s="120" t="s">
        <v>450</v>
      </c>
    </row>
    <row r="231" spans="1:24" ht="104.25" hidden="1" customHeight="1" x14ac:dyDescent="0.25">
      <c r="A231" s="120" t="s">
        <v>451</v>
      </c>
      <c r="B231" s="140" t="s">
        <v>138</v>
      </c>
      <c r="C231" s="140" t="s">
        <v>132</v>
      </c>
      <c r="D231" s="172" t="s">
        <v>867</v>
      </c>
      <c r="E231" s="140"/>
      <c r="F231" s="140"/>
      <c r="G231" s="140"/>
      <c r="H231" s="140"/>
      <c r="I231" s="140"/>
      <c r="J231" s="140"/>
      <c r="K231" s="140"/>
      <c r="L231" s="140"/>
      <c r="M231" s="140"/>
      <c r="N231" s="140"/>
      <c r="O231" s="140"/>
      <c r="P231" s="140"/>
      <c r="Q231" s="140"/>
      <c r="R231" s="140"/>
      <c r="S231" s="140" t="s">
        <v>309</v>
      </c>
      <c r="T231" s="139" t="s">
        <v>866</v>
      </c>
      <c r="U231" s="122">
        <f>П6ВСР!Z359</f>
        <v>0</v>
      </c>
      <c r="V231" s="122">
        <f>П6ВСР!AA359</f>
        <v>0</v>
      </c>
      <c r="W231" s="122">
        <f>П6ВСР!AB359</f>
        <v>0</v>
      </c>
      <c r="X231" s="120" t="s">
        <v>451</v>
      </c>
    </row>
    <row r="232" spans="1:24" ht="175.5" customHeight="1" x14ac:dyDescent="0.25">
      <c r="A232" s="120"/>
      <c r="B232" s="140" t="s">
        <v>138</v>
      </c>
      <c r="C232" s="140" t="s">
        <v>132</v>
      </c>
      <c r="D232" s="172" t="s">
        <v>882</v>
      </c>
      <c r="E232" s="140"/>
      <c r="F232" s="140"/>
      <c r="G232" s="140"/>
      <c r="H232" s="140"/>
      <c r="I232" s="140"/>
      <c r="J232" s="140"/>
      <c r="K232" s="140"/>
      <c r="L232" s="140"/>
      <c r="M232" s="140"/>
      <c r="N232" s="140"/>
      <c r="O232" s="140"/>
      <c r="P232" s="140"/>
      <c r="Q232" s="140"/>
      <c r="R232" s="140"/>
      <c r="S232" s="140"/>
      <c r="T232" s="162" t="s">
        <v>881</v>
      </c>
      <c r="U232" s="122">
        <f>U233</f>
        <v>1000000</v>
      </c>
      <c r="V232" s="122">
        <f>V233</f>
        <v>2092000</v>
      </c>
      <c r="W232" s="122">
        <f>W233</f>
        <v>500000</v>
      </c>
      <c r="X232" s="120"/>
    </row>
    <row r="233" spans="1:24" ht="104.25" customHeight="1" x14ac:dyDescent="0.25">
      <c r="A233" s="120"/>
      <c r="B233" s="140" t="s">
        <v>138</v>
      </c>
      <c r="C233" s="140" t="s">
        <v>132</v>
      </c>
      <c r="D233" s="172" t="s">
        <v>882</v>
      </c>
      <c r="E233" s="140"/>
      <c r="F233" s="140"/>
      <c r="G233" s="140"/>
      <c r="H233" s="140"/>
      <c r="I233" s="140"/>
      <c r="J233" s="140"/>
      <c r="K233" s="140"/>
      <c r="L233" s="140"/>
      <c r="M233" s="140"/>
      <c r="N233" s="140"/>
      <c r="O233" s="140"/>
      <c r="P233" s="140"/>
      <c r="Q233" s="140"/>
      <c r="R233" s="140"/>
      <c r="S233" s="140" t="s">
        <v>309</v>
      </c>
      <c r="T233" s="139" t="s">
        <v>453</v>
      </c>
      <c r="U233" s="122">
        <f>П6ВСР!Z360</f>
        <v>1000000</v>
      </c>
      <c r="V233" s="122">
        <f>П6ВСР!AA361</f>
        <v>2092000</v>
      </c>
      <c r="W233" s="122">
        <f>П6ВСР!AB361</f>
        <v>500000</v>
      </c>
      <c r="X233" s="120"/>
    </row>
    <row r="234" spans="1:24" ht="187.5" customHeight="1" x14ac:dyDescent="0.25">
      <c r="A234" s="120" t="s">
        <v>454</v>
      </c>
      <c r="B234" s="172" t="s">
        <v>138</v>
      </c>
      <c r="C234" s="172" t="s">
        <v>132</v>
      </c>
      <c r="D234" s="172" t="s">
        <v>689</v>
      </c>
      <c r="E234" s="172"/>
      <c r="F234" s="172"/>
      <c r="G234" s="172"/>
      <c r="H234" s="172"/>
      <c r="I234" s="172"/>
      <c r="J234" s="172"/>
      <c r="K234" s="172"/>
      <c r="L234" s="172"/>
      <c r="M234" s="172"/>
      <c r="N234" s="172"/>
      <c r="O234" s="172"/>
      <c r="P234" s="172"/>
      <c r="Q234" s="172"/>
      <c r="R234" s="172"/>
      <c r="S234" s="172"/>
      <c r="T234" s="162" t="s">
        <v>688</v>
      </c>
      <c r="U234" s="122">
        <f>U235</f>
        <v>200000</v>
      </c>
      <c r="V234" s="122">
        <f>V235</f>
        <v>209200</v>
      </c>
      <c r="W234" s="122">
        <f>W235</f>
        <v>100000</v>
      </c>
      <c r="X234" s="120" t="s">
        <v>454</v>
      </c>
    </row>
    <row r="235" spans="1:24" ht="94.5" customHeight="1" x14ac:dyDescent="0.25">
      <c r="A235" s="120" t="s">
        <v>455</v>
      </c>
      <c r="B235" s="140" t="s">
        <v>138</v>
      </c>
      <c r="C235" s="140" t="s">
        <v>132</v>
      </c>
      <c r="D235" s="172" t="s">
        <v>689</v>
      </c>
      <c r="E235" s="140"/>
      <c r="F235" s="140"/>
      <c r="G235" s="140"/>
      <c r="H235" s="140"/>
      <c r="I235" s="140"/>
      <c r="J235" s="140"/>
      <c r="K235" s="140"/>
      <c r="L235" s="140"/>
      <c r="M235" s="140"/>
      <c r="N235" s="140"/>
      <c r="O235" s="140"/>
      <c r="P235" s="140"/>
      <c r="Q235" s="140"/>
      <c r="R235" s="140"/>
      <c r="S235" s="140" t="s">
        <v>309</v>
      </c>
      <c r="T235" s="139" t="s">
        <v>455</v>
      </c>
      <c r="U235" s="122">
        <f>П6ВСР!Z363</f>
        <v>200000</v>
      </c>
      <c r="V235" s="122">
        <f>П6ВСР!AA363</f>
        <v>209200</v>
      </c>
      <c r="W235" s="122">
        <f>П6ВСР!AB363</f>
        <v>100000</v>
      </c>
      <c r="X235" s="120" t="s">
        <v>455</v>
      </c>
    </row>
    <row r="236" spans="1:24" ht="147" customHeight="1" x14ac:dyDescent="0.25">
      <c r="A236" s="120" t="s">
        <v>456</v>
      </c>
      <c r="B236" s="172" t="s">
        <v>138</v>
      </c>
      <c r="C236" s="172" t="s">
        <v>132</v>
      </c>
      <c r="D236" s="172" t="s">
        <v>691</v>
      </c>
      <c r="E236" s="172"/>
      <c r="F236" s="172"/>
      <c r="G236" s="172"/>
      <c r="H236" s="172"/>
      <c r="I236" s="172"/>
      <c r="J236" s="172"/>
      <c r="K236" s="172"/>
      <c r="L236" s="172"/>
      <c r="M236" s="172"/>
      <c r="N236" s="172"/>
      <c r="O236" s="172"/>
      <c r="P236" s="172"/>
      <c r="Q236" s="172"/>
      <c r="R236" s="172"/>
      <c r="S236" s="172"/>
      <c r="T236" s="162" t="s">
        <v>690</v>
      </c>
      <c r="U236" s="122">
        <f>U237</f>
        <v>87245039.069999993</v>
      </c>
      <c r="V236" s="122">
        <f>V237</f>
        <v>86999952.069999993</v>
      </c>
      <c r="W236" s="122">
        <f>W237</f>
        <v>90479950.150000006</v>
      </c>
      <c r="X236" s="120" t="s">
        <v>456</v>
      </c>
    </row>
    <row r="237" spans="1:24" ht="134.25" customHeight="1" x14ac:dyDescent="0.25">
      <c r="A237" s="120" t="s">
        <v>457</v>
      </c>
      <c r="B237" s="140" t="s">
        <v>138</v>
      </c>
      <c r="C237" s="140" t="s">
        <v>132</v>
      </c>
      <c r="D237" s="172" t="s">
        <v>691</v>
      </c>
      <c r="E237" s="140"/>
      <c r="F237" s="140"/>
      <c r="G237" s="140"/>
      <c r="H237" s="140"/>
      <c r="I237" s="140"/>
      <c r="J237" s="140"/>
      <c r="K237" s="140"/>
      <c r="L237" s="140"/>
      <c r="M237" s="140"/>
      <c r="N237" s="140"/>
      <c r="O237" s="140"/>
      <c r="P237" s="140"/>
      <c r="Q237" s="140"/>
      <c r="R237" s="140"/>
      <c r="S237" s="140" t="s">
        <v>309</v>
      </c>
      <c r="T237" s="139" t="s">
        <v>457</v>
      </c>
      <c r="U237" s="122">
        <f>П6ВСР!Z365</f>
        <v>87245039.069999993</v>
      </c>
      <c r="V237" s="122">
        <f>П6ВСР!AA365</f>
        <v>86999952.069999993</v>
      </c>
      <c r="W237" s="122">
        <f>П6ВСР!AB365</f>
        <v>90479950.150000006</v>
      </c>
      <c r="X237" s="120" t="s">
        <v>457</v>
      </c>
    </row>
    <row r="238" spans="1:24" ht="1.5" hidden="1" customHeight="1" x14ac:dyDescent="0.25">
      <c r="A238" s="120" t="s">
        <v>503</v>
      </c>
      <c r="B238" s="172" t="s">
        <v>138</v>
      </c>
      <c r="C238" s="172" t="s">
        <v>132</v>
      </c>
      <c r="D238" s="172" t="s">
        <v>721</v>
      </c>
      <c r="E238" s="172"/>
      <c r="F238" s="172"/>
      <c r="G238" s="172"/>
      <c r="H238" s="172"/>
      <c r="I238" s="172"/>
      <c r="J238" s="172"/>
      <c r="K238" s="172"/>
      <c r="L238" s="172"/>
      <c r="M238" s="172"/>
      <c r="N238" s="172"/>
      <c r="O238" s="172"/>
      <c r="P238" s="172"/>
      <c r="Q238" s="172"/>
      <c r="R238" s="172"/>
      <c r="S238" s="172"/>
      <c r="T238" s="162" t="s">
        <v>720</v>
      </c>
      <c r="U238" s="122">
        <f>U239</f>
        <v>0</v>
      </c>
      <c r="V238" s="122">
        <f>V239</f>
        <v>0</v>
      </c>
      <c r="W238" s="122">
        <f>W239</f>
        <v>0</v>
      </c>
      <c r="X238" s="120" t="s">
        <v>503</v>
      </c>
    </row>
    <row r="239" spans="1:24" ht="148.5" hidden="1" customHeight="1" x14ac:dyDescent="0.25">
      <c r="A239" s="120" t="s">
        <v>504</v>
      </c>
      <c r="B239" s="140" t="s">
        <v>138</v>
      </c>
      <c r="C239" s="140" t="s">
        <v>132</v>
      </c>
      <c r="D239" s="172" t="s">
        <v>721</v>
      </c>
      <c r="E239" s="140"/>
      <c r="F239" s="140"/>
      <c r="G239" s="140"/>
      <c r="H239" s="140"/>
      <c r="I239" s="140"/>
      <c r="J239" s="140"/>
      <c r="K239" s="140"/>
      <c r="L239" s="140"/>
      <c r="M239" s="140"/>
      <c r="N239" s="140"/>
      <c r="O239" s="140"/>
      <c r="P239" s="140"/>
      <c r="Q239" s="140"/>
      <c r="R239" s="140"/>
      <c r="S239" s="140" t="s">
        <v>309</v>
      </c>
      <c r="T239" s="139" t="s">
        <v>504</v>
      </c>
      <c r="U239" s="122">
        <f>П6ВСР!Z454</f>
        <v>0</v>
      </c>
      <c r="V239" s="122">
        <f>П6ВСР!AA454</f>
        <v>0</v>
      </c>
      <c r="W239" s="122">
        <f>П6ВСР!AB454</f>
        <v>0</v>
      </c>
      <c r="X239" s="120" t="s">
        <v>504</v>
      </c>
    </row>
    <row r="240" spans="1:24" ht="1.5" hidden="1" customHeight="1" x14ac:dyDescent="0.25">
      <c r="A240" s="120" t="s">
        <v>458</v>
      </c>
      <c r="B240" s="172" t="s">
        <v>138</v>
      </c>
      <c r="C240" s="172" t="s">
        <v>132</v>
      </c>
      <c r="D240" s="172" t="s">
        <v>693</v>
      </c>
      <c r="E240" s="172"/>
      <c r="F240" s="172"/>
      <c r="G240" s="172"/>
      <c r="H240" s="172"/>
      <c r="I240" s="172"/>
      <c r="J240" s="172"/>
      <c r="K240" s="172"/>
      <c r="L240" s="172"/>
      <c r="M240" s="172"/>
      <c r="N240" s="172"/>
      <c r="O240" s="172"/>
      <c r="P240" s="172"/>
      <c r="Q240" s="172"/>
      <c r="R240" s="172"/>
      <c r="S240" s="172"/>
      <c r="T240" s="162" t="s">
        <v>692</v>
      </c>
      <c r="U240" s="122">
        <f>U241</f>
        <v>0</v>
      </c>
      <c r="V240" s="122">
        <f>V241</f>
        <v>0</v>
      </c>
      <c r="W240" s="122">
        <f>W241</f>
        <v>0</v>
      </c>
      <c r="X240" s="120" t="s">
        <v>458</v>
      </c>
    </row>
    <row r="241" spans="1:24" ht="148.5" hidden="1" customHeight="1" x14ac:dyDescent="0.25">
      <c r="A241" s="120" t="s">
        <v>459</v>
      </c>
      <c r="B241" s="140" t="s">
        <v>138</v>
      </c>
      <c r="C241" s="140" t="s">
        <v>132</v>
      </c>
      <c r="D241" s="172" t="s">
        <v>693</v>
      </c>
      <c r="E241" s="140"/>
      <c r="F241" s="140"/>
      <c r="G241" s="140"/>
      <c r="H241" s="140"/>
      <c r="I241" s="140"/>
      <c r="J241" s="140"/>
      <c r="K241" s="140"/>
      <c r="L241" s="140"/>
      <c r="M241" s="140"/>
      <c r="N241" s="140"/>
      <c r="O241" s="140"/>
      <c r="P241" s="140"/>
      <c r="Q241" s="140"/>
      <c r="R241" s="140"/>
      <c r="S241" s="140" t="s">
        <v>309</v>
      </c>
      <c r="T241" s="139" t="s">
        <v>459</v>
      </c>
      <c r="U241" s="122">
        <f>П6ВСР!Z367</f>
        <v>0</v>
      </c>
      <c r="V241" s="122">
        <f>П6ВСР!AA367</f>
        <v>0</v>
      </c>
      <c r="W241" s="122">
        <f>П6ВСР!AB367</f>
        <v>0</v>
      </c>
      <c r="X241" s="120" t="s">
        <v>459</v>
      </c>
    </row>
    <row r="242" spans="1:24" ht="112.5" customHeight="1" x14ac:dyDescent="0.25">
      <c r="A242" s="120" t="s">
        <v>383</v>
      </c>
      <c r="B242" s="172" t="s">
        <v>138</v>
      </c>
      <c r="C242" s="172" t="s">
        <v>132</v>
      </c>
      <c r="D242" s="172" t="s">
        <v>604</v>
      </c>
      <c r="E242" s="172"/>
      <c r="F242" s="172"/>
      <c r="G242" s="172"/>
      <c r="H242" s="172"/>
      <c r="I242" s="172"/>
      <c r="J242" s="172"/>
      <c r="K242" s="172"/>
      <c r="L242" s="172"/>
      <c r="M242" s="172"/>
      <c r="N242" s="172"/>
      <c r="O242" s="172"/>
      <c r="P242" s="172"/>
      <c r="Q242" s="172"/>
      <c r="R242" s="172"/>
      <c r="S242" s="172"/>
      <c r="T242" s="162" t="s">
        <v>603</v>
      </c>
      <c r="U242" s="122">
        <f>U243</f>
        <v>8000000</v>
      </c>
      <c r="V242" s="122">
        <f>V243</f>
        <v>16726200</v>
      </c>
      <c r="W242" s="122">
        <f>W243</f>
        <v>7094197.6600000001</v>
      </c>
      <c r="X242" s="120" t="s">
        <v>383</v>
      </c>
    </row>
    <row r="243" spans="1:24" ht="93" customHeight="1" x14ac:dyDescent="0.25">
      <c r="A243" s="120" t="s">
        <v>384</v>
      </c>
      <c r="B243" s="140" t="s">
        <v>138</v>
      </c>
      <c r="C243" s="140" t="s">
        <v>132</v>
      </c>
      <c r="D243" s="172" t="s">
        <v>604</v>
      </c>
      <c r="E243" s="140"/>
      <c r="F243" s="140"/>
      <c r="G243" s="140"/>
      <c r="H243" s="140"/>
      <c r="I243" s="140"/>
      <c r="J243" s="140"/>
      <c r="K243" s="140"/>
      <c r="L243" s="140"/>
      <c r="M243" s="140"/>
      <c r="N243" s="140"/>
      <c r="O243" s="140"/>
      <c r="P243" s="140"/>
      <c r="Q243" s="140"/>
      <c r="R243" s="140"/>
      <c r="S243" s="140" t="s">
        <v>309</v>
      </c>
      <c r="T243" s="139" t="s">
        <v>460</v>
      </c>
      <c r="U243" s="247">
        <f>П6ВСР!Z369+П6ВСР!Z189</f>
        <v>8000000</v>
      </c>
      <c r="V243" s="122">
        <f>П6ВСР!AA369+П6ВСР!AA189</f>
        <v>16726200</v>
      </c>
      <c r="W243" s="122">
        <f>П6ВСР!AB369+П6ВСР!AB189</f>
        <v>7094197.6600000001</v>
      </c>
      <c r="X243" s="120" t="s">
        <v>384</v>
      </c>
    </row>
    <row r="244" spans="1:24" ht="114" customHeight="1" x14ac:dyDescent="0.25">
      <c r="A244" s="120" t="s">
        <v>461</v>
      </c>
      <c r="B244" s="172" t="s">
        <v>138</v>
      </c>
      <c r="C244" s="172" t="s">
        <v>132</v>
      </c>
      <c r="D244" s="172" t="s">
        <v>695</v>
      </c>
      <c r="E244" s="172"/>
      <c r="F244" s="172"/>
      <c r="G244" s="172"/>
      <c r="H244" s="172"/>
      <c r="I244" s="172"/>
      <c r="J244" s="172"/>
      <c r="K244" s="172"/>
      <c r="L244" s="172"/>
      <c r="M244" s="172"/>
      <c r="N244" s="172"/>
      <c r="O244" s="172"/>
      <c r="P244" s="172"/>
      <c r="Q244" s="172"/>
      <c r="R244" s="172"/>
      <c r="S244" s="172"/>
      <c r="T244" s="162" t="s">
        <v>694</v>
      </c>
      <c r="U244" s="247">
        <f>U245</f>
        <v>400000</v>
      </c>
      <c r="V244" s="122">
        <f>V245</f>
        <v>400000</v>
      </c>
      <c r="W244" s="122">
        <f>W245</f>
        <v>400000</v>
      </c>
      <c r="X244" s="120" t="s">
        <v>461</v>
      </c>
    </row>
    <row r="245" spans="1:24" ht="93" customHeight="1" x14ac:dyDescent="0.25">
      <c r="A245" s="120" t="s">
        <v>462</v>
      </c>
      <c r="B245" s="140" t="s">
        <v>138</v>
      </c>
      <c r="C245" s="140" t="s">
        <v>132</v>
      </c>
      <c r="D245" s="172" t="s">
        <v>695</v>
      </c>
      <c r="E245" s="140"/>
      <c r="F245" s="140"/>
      <c r="G245" s="140"/>
      <c r="H245" s="140"/>
      <c r="I245" s="140"/>
      <c r="J245" s="140"/>
      <c r="K245" s="140"/>
      <c r="L245" s="140"/>
      <c r="M245" s="140"/>
      <c r="N245" s="140"/>
      <c r="O245" s="140"/>
      <c r="P245" s="140"/>
      <c r="Q245" s="140"/>
      <c r="R245" s="140"/>
      <c r="S245" s="140" t="s">
        <v>309</v>
      </c>
      <c r="T245" s="139" t="s">
        <v>462</v>
      </c>
      <c r="U245" s="247">
        <f>П6ВСР!Z371</f>
        <v>400000</v>
      </c>
      <c r="V245" s="122">
        <f>П6ВСР!AA371</f>
        <v>400000</v>
      </c>
      <c r="W245" s="122">
        <f>П6ВСР!AB371</f>
        <v>400000</v>
      </c>
      <c r="X245" s="120" t="s">
        <v>462</v>
      </c>
    </row>
    <row r="246" spans="1:24" ht="175.5" customHeight="1" x14ac:dyDescent="0.25">
      <c r="A246" s="120" t="s">
        <v>463</v>
      </c>
      <c r="B246" s="172" t="s">
        <v>138</v>
      </c>
      <c r="C246" s="172" t="s">
        <v>132</v>
      </c>
      <c r="D246" s="172" t="s">
        <v>697</v>
      </c>
      <c r="E246" s="172"/>
      <c r="F246" s="172"/>
      <c r="G246" s="172"/>
      <c r="H246" s="172"/>
      <c r="I246" s="172"/>
      <c r="J246" s="172"/>
      <c r="K246" s="172"/>
      <c r="L246" s="172"/>
      <c r="M246" s="172"/>
      <c r="N246" s="172"/>
      <c r="O246" s="172"/>
      <c r="P246" s="172"/>
      <c r="Q246" s="172"/>
      <c r="R246" s="172"/>
      <c r="S246" s="172"/>
      <c r="T246" s="162" t="s">
        <v>696</v>
      </c>
      <c r="U246" s="122">
        <f>U247</f>
        <v>50000</v>
      </c>
      <c r="V246" s="122">
        <f>V247</f>
        <v>50000</v>
      </c>
      <c r="W246" s="122">
        <f>W247</f>
        <v>50000</v>
      </c>
      <c r="X246" s="120" t="s">
        <v>463</v>
      </c>
    </row>
    <row r="247" spans="1:24" ht="146.25" customHeight="1" x14ac:dyDescent="0.25">
      <c r="A247" s="120" t="s">
        <v>464</v>
      </c>
      <c r="B247" s="140" t="s">
        <v>138</v>
      </c>
      <c r="C247" s="140" t="s">
        <v>132</v>
      </c>
      <c r="D247" s="172" t="s">
        <v>697</v>
      </c>
      <c r="E247" s="140"/>
      <c r="F247" s="140"/>
      <c r="G247" s="140"/>
      <c r="H247" s="140"/>
      <c r="I247" s="140"/>
      <c r="J247" s="140"/>
      <c r="K247" s="140"/>
      <c r="L247" s="140"/>
      <c r="M247" s="140"/>
      <c r="N247" s="140"/>
      <c r="O247" s="140"/>
      <c r="P247" s="140"/>
      <c r="Q247" s="140"/>
      <c r="R247" s="140"/>
      <c r="S247" s="140" t="s">
        <v>309</v>
      </c>
      <c r="T247" s="139" t="s">
        <v>464</v>
      </c>
      <c r="U247" s="122">
        <f>П6ВСР!Z373</f>
        <v>50000</v>
      </c>
      <c r="V247" s="122">
        <f>П6ВСР!AA373</f>
        <v>50000</v>
      </c>
      <c r="W247" s="122">
        <f>П6ВСР!AB373</f>
        <v>50000</v>
      </c>
      <c r="X247" s="120" t="s">
        <v>464</v>
      </c>
    </row>
    <row r="248" spans="1:24" ht="93" customHeight="1" x14ac:dyDescent="0.25">
      <c r="A248" s="120"/>
      <c r="B248" s="140" t="s">
        <v>138</v>
      </c>
      <c r="C248" s="140" t="s">
        <v>132</v>
      </c>
      <c r="D248" s="263" t="s">
        <v>1351</v>
      </c>
      <c r="E248" s="140"/>
      <c r="F248" s="140"/>
      <c r="G248" s="140"/>
      <c r="H248" s="140"/>
      <c r="I248" s="140"/>
      <c r="J248" s="140"/>
      <c r="K248" s="140"/>
      <c r="L248" s="140"/>
      <c r="M248" s="140"/>
      <c r="N248" s="140"/>
      <c r="O248" s="140"/>
      <c r="P248" s="140"/>
      <c r="Q248" s="140"/>
      <c r="R248" s="140"/>
      <c r="S248" s="140"/>
      <c r="T248" s="470" t="s">
        <v>1352</v>
      </c>
      <c r="U248" s="122">
        <f>U249</f>
        <v>1321304.93</v>
      </c>
      <c r="V248" s="122">
        <v>0</v>
      </c>
      <c r="W248" s="122">
        <v>0</v>
      </c>
      <c r="X248" s="120"/>
    </row>
    <row r="249" spans="1:24" ht="69.75" customHeight="1" x14ac:dyDescent="0.25">
      <c r="A249" s="120"/>
      <c r="B249" s="140" t="s">
        <v>138</v>
      </c>
      <c r="C249" s="140" t="s">
        <v>132</v>
      </c>
      <c r="D249" s="263" t="s">
        <v>1351</v>
      </c>
      <c r="E249" s="140"/>
      <c r="F249" s="140"/>
      <c r="G249" s="140"/>
      <c r="H249" s="140"/>
      <c r="I249" s="140"/>
      <c r="J249" s="140"/>
      <c r="K249" s="140"/>
      <c r="L249" s="140"/>
      <c r="M249" s="140"/>
      <c r="N249" s="140"/>
      <c r="O249" s="140"/>
      <c r="P249" s="140"/>
      <c r="Q249" s="140"/>
      <c r="R249" s="140"/>
      <c r="S249" s="140" t="s">
        <v>309</v>
      </c>
      <c r="T249" s="164" t="s">
        <v>796</v>
      </c>
      <c r="U249" s="122">
        <f>П6ВСР!Z375</f>
        <v>1321304.93</v>
      </c>
      <c r="V249" s="122">
        <v>0</v>
      </c>
      <c r="W249" s="122">
        <v>0</v>
      </c>
      <c r="X249" s="120"/>
    </row>
    <row r="250" spans="1:24" ht="252.75" customHeight="1" x14ac:dyDescent="0.25">
      <c r="A250" s="126" t="s">
        <v>233</v>
      </c>
      <c r="B250" s="172" t="s">
        <v>138</v>
      </c>
      <c r="C250" s="172" t="s">
        <v>132</v>
      </c>
      <c r="D250" s="172" t="s">
        <v>793</v>
      </c>
      <c r="E250" s="121"/>
      <c r="F250" s="121"/>
      <c r="G250" s="121"/>
      <c r="H250" s="121"/>
      <c r="I250" s="121"/>
      <c r="J250" s="121"/>
      <c r="K250" s="121"/>
      <c r="L250" s="121"/>
      <c r="M250" s="121"/>
      <c r="N250" s="121"/>
      <c r="O250" s="121"/>
      <c r="P250" s="121"/>
      <c r="Q250" s="121"/>
      <c r="R250" s="121"/>
      <c r="S250" s="121"/>
      <c r="T250" s="175" t="s">
        <v>818</v>
      </c>
      <c r="U250" s="122">
        <f>U251</f>
        <v>161934400</v>
      </c>
      <c r="V250" s="122">
        <f>V251</f>
        <v>163923100</v>
      </c>
      <c r="W250" s="122">
        <f>W251</f>
        <v>169910200</v>
      </c>
      <c r="X250" s="126" t="s">
        <v>233</v>
      </c>
    </row>
    <row r="251" spans="1:24" ht="69.75" customHeight="1" x14ac:dyDescent="0.25">
      <c r="A251" s="126" t="s">
        <v>465</v>
      </c>
      <c r="B251" s="140" t="s">
        <v>138</v>
      </c>
      <c r="C251" s="140" t="s">
        <v>132</v>
      </c>
      <c r="D251" s="172" t="s">
        <v>793</v>
      </c>
      <c r="E251" s="140"/>
      <c r="F251" s="140"/>
      <c r="G251" s="140"/>
      <c r="H251" s="140"/>
      <c r="I251" s="140"/>
      <c r="J251" s="140"/>
      <c r="K251" s="140"/>
      <c r="L251" s="140"/>
      <c r="M251" s="140"/>
      <c r="N251" s="140"/>
      <c r="O251" s="140"/>
      <c r="P251" s="140"/>
      <c r="Q251" s="140"/>
      <c r="R251" s="140"/>
      <c r="S251" s="140" t="s">
        <v>309</v>
      </c>
      <c r="T251" s="164" t="s">
        <v>796</v>
      </c>
      <c r="U251" s="122">
        <f>П6ВСР!Z377</f>
        <v>161934400</v>
      </c>
      <c r="V251" s="122">
        <f>П6ВСР!AA377</f>
        <v>163923100</v>
      </c>
      <c r="W251" s="122">
        <f>П6ВСР!AB377</f>
        <v>169910200</v>
      </c>
      <c r="X251" s="126" t="s">
        <v>465</v>
      </c>
    </row>
    <row r="252" spans="1:24" ht="113.25" customHeight="1" x14ac:dyDescent="0.25">
      <c r="A252" s="120" t="s">
        <v>466</v>
      </c>
      <c r="B252" s="172" t="s">
        <v>138</v>
      </c>
      <c r="C252" s="172" t="s">
        <v>132</v>
      </c>
      <c r="D252" s="172" t="s">
        <v>699</v>
      </c>
      <c r="E252" s="172"/>
      <c r="F252" s="172"/>
      <c r="G252" s="172"/>
      <c r="H252" s="172"/>
      <c r="I252" s="172"/>
      <c r="J252" s="172"/>
      <c r="K252" s="172"/>
      <c r="L252" s="172"/>
      <c r="M252" s="172"/>
      <c r="N252" s="172"/>
      <c r="O252" s="172"/>
      <c r="P252" s="172"/>
      <c r="Q252" s="172"/>
      <c r="R252" s="172"/>
      <c r="S252" s="172"/>
      <c r="T252" s="162" t="s">
        <v>698</v>
      </c>
      <c r="U252" s="122">
        <f>U253</f>
        <v>80000</v>
      </c>
      <c r="V252" s="122">
        <f>V253</f>
        <v>80000</v>
      </c>
      <c r="W252" s="122">
        <f>W253</f>
        <v>80000</v>
      </c>
      <c r="X252" s="120" t="s">
        <v>466</v>
      </c>
    </row>
    <row r="253" spans="1:24" ht="93" customHeight="1" x14ac:dyDescent="0.25">
      <c r="A253" s="120" t="s">
        <v>467</v>
      </c>
      <c r="B253" s="140" t="s">
        <v>138</v>
      </c>
      <c r="C253" s="140" t="s">
        <v>132</v>
      </c>
      <c r="D253" s="172" t="s">
        <v>699</v>
      </c>
      <c r="E253" s="140"/>
      <c r="F253" s="140"/>
      <c r="G253" s="140"/>
      <c r="H253" s="140"/>
      <c r="I253" s="140"/>
      <c r="J253" s="140"/>
      <c r="K253" s="140"/>
      <c r="L253" s="140"/>
      <c r="M253" s="140"/>
      <c r="N253" s="140"/>
      <c r="O253" s="140"/>
      <c r="P253" s="140"/>
      <c r="Q253" s="140"/>
      <c r="R253" s="140"/>
      <c r="S253" s="140" t="s">
        <v>309</v>
      </c>
      <c r="T253" s="139" t="s">
        <v>467</v>
      </c>
      <c r="U253" s="122">
        <f>П6ВСР!Z379</f>
        <v>80000</v>
      </c>
      <c r="V253" s="122">
        <f>П6ВСР!AA379</f>
        <v>80000</v>
      </c>
      <c r="W253" s="122">
        <f>П6ВСР!AB379</f>
        <v>80000</v>
      </c>
      <c r="X253" s="120" t="s">
        <v>467</v>
      </c>
    </row>
    <row r="254" spans="1:24" ht="128.25" customHeight="1" x14ac:dyDescent="0.25">
      <c r="A254" s="120" t="s">
        <v>468</v>
      </c>
      <c r="B254" s="172" t="s">
        <v>138</v>
      </c>
      <c r="C254" s="172" t="s">
        <v>132</v>
      </c>
      <c r="D254" s="172" t="s">
        <v>701</v>
      </c>
      <c r="E254" s="172"/>
      <c r="F254" s="172"/>
      <c r="G254" s="172"/>
      <c r="H254" s="172"/>
      <c r="I254" s="172"/>
      <c r="J254" s="172"/>
      <c r="K254" s="172"/>
      <c r="L254" s="172"/>
      <c r="M254" s="172"/>
      <c r="N254" s="172"/>
      <c r="O254" s="172"/>
      <c r="P254" s="172"/>
      <c r="Q254" s="172"/>
      <c r="R254" s="172"/>
      <c r="S254" s="172"/>
      <c r="T254" s="162" t="s">
        <v>700</v>
      </c>
      <c r="U254" s="122">
        <f>U255</f>
        <v>50000</v>
      </c>
      <c r="V254" s="122">
        <f>V255</f>
        <v>50000</v>
      </c>
      <c r="W254" s="122">
        <f>W255</f>
        <v>10000</v>
      </c>
      <c r="X254" s="120" t="s">
        <v>468</v>
      </c>
    </row>
    <row r="255" spans="1:24" ht="111.75" customHeight="1" x14ac:dyDescent="0.25">
      <c r="A255" s="120" t="s">
        <v>469</v>
      </c>
      <c r="B255" s="140" t="s">
        <v>138</v>
      </c>
      <c r="C255" s="140" t="s">
        <v>132</v>
      </c>
      <c r="D255" s="172" t="s">
        <v>701</v>
      </c>
      <c r="E255" s="140"/>
      <c r="F255" s="140"/>
      <c r="G255" s="140"/>
      <c r="H255" s="140"/>
      <c r="I255" s="140"/>
      <c r="J255" s="140"/>
      <c r="K255" s="140"/>
      <c r="L255" s="140"/>
      <c r="M255" s="140"/>
      <c r="N255" s="140"/>
      <c r="O255" s="140"/>
      <c r="P255" s="140"/>
      <c r="Q255" s="140"/>
      <c r="R255" s="140"/>
      <c r="S255" s="140" t="s">
        <v>309</v>
      </c>
      <c r="T255" s="139" t="s">
        <v>469</v>
      </c>
      <c r="U255" s="122">
        <f>П6ВСР!Z381</f>
        <v>50000</v>
      </c>
      <c r="V255" s="122">
        <f>П6ВСР!AA381</f>
        <v>50000</v>
      </c>
      <c r="W255" s="122">
        <f>П6ВСР!AB381</f>
        <v>10000</v>
      </c>
      <c r="X255" s="120" t="s">
        <v>469</v>
      </c>
    </row>
    <row r="256" spans="1:24" ht="131.25" customHeight="1" x14ac:dyDescent="0.25">
      <c r="A256" s="120" t="s">
        <v>470</v>
      </c>
      <c r="B256" s="172" t="s">
        <v>138</v>
      </c>
      <c r="C256" s="172" t="s">
        <v>132</v>
      </c>
      <c r="D256" s="172" t="s">
        <v>703</v>
      </c>
      <c r="E256" s="172"/>
      <c r="F256" s="172"/>
      <c r="G256" s="172"/>
      <c r="H256" s="172"/>
      <c r="I256" s="172"/>
      <c r="J256" s="172"/>
      <c r="K256" s="172"/>
      <c r="L256" s="172"/>
      <c r="M256" s="172"/>
      <c r="N256" s="172"/>
      <c r="O256" s="172"/>
      <c r="P256" s="172"/>
      <c r="Q256" s="172"/>
      <c r="R256" s="172"/>
      <c r="S256" s="172"/>
      <c r="T256" s="162" t="s">
        <v>702</v>
      </c>
      <c r="U256" s="122">
        <f>U257</f>
        <v>20000</v>
      </c>
      <c r="V256" s="122">
        <f>V257</f>
        <v>20000</v>
      </c>
      <c r="W256" s="122">
        <f>W257</f>
        <v>20000</v>
      </c>
      <c r="X256" s="120" t="s">
        <v>470</v>
      </c>
    </row>
    <row r="257" spans="1:24" ht="111.75" customHeight="1" thickBot="1" x14ac:dyDescent="0.3">
      <c r="A257" s="120" t="s">
        <v>471</v>
      </c>
      <c r="B257" s="140" t="s">
        <v>138</v>
      </c>
      <c r="C257" s="140" t="s">
        <v>132</v>
      </c>
      <c r="D257" s="172" t="s">
        <v>703</v>
      </c>
      <c r="E257" s="140"/>
      <c r="F257" s="140"/>
      <c r="G257" s="140"/>
      <c r="H257" s="140"/>
      <c r="I257" s="140"/>
      <c r="J257" s="140"/>
      <c r="K257" s="140"/>
      <c r="L257" s="140"/>
      <c r="M257" s="140"/>
      <c r="N257" s="140"/>
      <c r="O257" s="140"/>
      <c r="P257" s="140"/>
      <c r="Q257" s="140"/>
      <c r="R257" s="140"/>
      <c r="S257" s="140" t="s">
        <v>309</v>
      </c>
      <c r="T257" s="139" t="s">
        <v>471</v>
      </c>
      <c r="U257" s="122">
        <f>П6ВСР!Z383</f>
        <v>20000</v>
      </c>
      <c r="V257" s="122">
        <f>П6ВСР!AA383</f>
        <v>20000</v>
      </c>
      <c r="W257" s="122">
        <f>П6ВСР!AB383</f>
        <v>20000</v>
      </c>
      <c r="X257" s="120" t="s">
        <v>471</v>
      </c>
    </row>
    <row r="258" spans="1:24" ht="111.75" customHeight="1" thickBot="1" x14ac:dyDescent="0.3">
      <c r="A258" s="120"/>
      <c r="B258" s="140" t="s">
        <v>138</v>
      </c>
      <c r="C258" s="140" t="s">
        <v>132</v>
      </c>
      <c r="D258" s="172" t="s">
        <v>664</v>
      </c>
      <c r="E258" s="140"/>
      <c r="F258" s="140"/>
      <c r="G258" s="140"/>
      <c r="H258" s="140"/>
      <c r="I258" s="140"/>
      <c r="J258" s="140"/>
      <c r="K258" s="140"/>
      <c r="L258" s="140"/>
      <c r="M258" s="140"/>
      <c r="N258" s="140"/>
      <c r="O258" s="140"/>
      <c r="P258" s="140"/>
      <c r="Q258" s="140"/>
      <c r="R258" s="140"/>
      <c r="S258" s="140"/>
      <c r="T258" s="177" t="s">
        <v>663</v>
      </c>
      <c r="U258" s="122">
        <f>U259</f>
        <v>180000</v>
      </c>
      <c r="V258" s="122">
        <f>V259</f>
        <v>180000</v>
      </c>
      <c r="W258" s="122">
        <f>W259</f>
        <v>180000</v>
      </c>
      <c r="X258" s="120"/>
    </row>
    <row r="259" spans="1:24" ht="153" customHeight="1" x14ac:dyDescent="0.25">
      <c r="A259" s="120"/>
      <c r="B259" s="140" t="s">
        <v>138</v>
      </c>
      <c r="C259" s="140" t="s">
        <v>132</v>
      </c>
      <c r="D259" s="172" t="s">
        <v>664</v>
      </c>
      <c r="E259" s="140"/>
      <c r="F259" s="140"/>
      <c r="G259" s="140"/>
      <c r="H259" s="140"/>
      <c r="I259" s="140"/>
      <c r="J259" s="140"/>
      <c r="K259" s="140"/>
      <c r="L259" s="140"/>
      <c r="M259" s="140"/>
      <c r="N259" s="140"/>
      <c r="O259" s="140"/>
      <c r="P259" s="140"/>
      <c r="Q259" s="140"/>
      <c r="R259" s="140"/>
      <c r="S259" s="140" t="s">
        <v>309</v>
      </c>
      <c r="T259" s="252" t="s">
        <v>835</v>
      </c>
      <c r="U259" s="122">
        <f>П6ВСР!Z385</f>
        <v>180000</v>
      </c>
      <c r="V259" s="122">
        <f>П6ВСР!AA385</f>
        <v>180000</v>
      </c>
      <c r="W259" s="122">
        <f>П6ВСР!AB385</f>
        <v>180000</v>
      </c>
      <c r="X259" s="120"/>
    </row>
    <row r="260" spans="1:24" ht="82.5" customHeight="1" x14ac:dyDescent="0.25">
      <c r="A260" s="120" t="s">
        <v>472</v>
      </c>
      <c r="B260" s="172" t="s">
        <v>138</v>
      </c>
      <c r="C260" s="172" t="s">
        <v>132</v>
      </c>
      <c r="D260" s="172" t="s">
        <v>704</v>
      </c>
      <c r="E260" s="172"/>
      <c r="F260" s="172"/>
      <c r="G260" s="172"/>
      <c r="H260" s="172"/>
      <c r="I260" s="172"/>
      <c r="J260" s="172"/>
      <c r="K260" s="172"/>
      <c r="L260" s="172"/>
      <c r="M260" s="172"/>
      <c r="N260" s="172"/>
      <c r="O260" s="172"/>
      <c r="P260" s="172"/>
      <c r="Q260" s="172"/>
      <c r="R260" s="172"/>
      <c r="S260" s="172"/>
      <c r="T260" s="162" t="s">
        <v>472</v>
      </c>
      <c r="U260" s="122">
        <f>U261</f>
        <v>193500</v>
      </c>
      <c r="V260" s="122">
        <f>V261</f>
        <v>193500</v>
      </c>
      <c r="W260" s="122">
        <f>W261</f>
        <v>193500</v>
      </c>
      <c r="X260" s="120" t="s">
        <v>472</v>
      </c>
    </row>
    <row r="261" spans="1:24" ht="126.75" customHeight="1" x14ac:dyDescent="0.25">
      <c r="A261" s="120" t="s">
        <v>473</v>
      </c>
      <c r="B261" s="140" t="s">
        <v>138</v>
      </c>
      <c r="C261" s="140" t="s">
        <v>132</v>
      </c>
      <c r="D261" s="172" t="s">
        <v>704</v>
      </c>
      <c r="E261" s="140"/>
      <c r="F261" s="140"/>
      <c r="G261" s="140"/>
      <c r="H261" s="140"/>
      <c r="I261" s="140"/>
      <c r="J261" s="140"/>
      <c r="K261" s="140"/>
      <c r="L261" s="140"/>
      <c r="M261" s="140"/>
      <c r="N261" s="140"/>
      <c r="O261" s="140"/>
      <c r="P261" s="140"/>
      <c r="Q261" s="140"/>
      <c r="R261" s="140"/>
      <c r="S261" s="140" t="s">
        <v>309</v>
      </c>
      <c r="T261" s="139" t="s">
        <v>473</v>
      </c>
      <c r="U261" s="122">
        <f>П6ВСР!Z387</f>
        <v>193500</v>
      </c>
      <c r="V261" s="122">
        <f>П6ВСР!AA387</f>
        <v>193500</v>
      </c>
      <c r="W261" s="122">
        <f>П6ВСР!AB387</f>
        <v>193500</v>
      </c>
      <c r="X261" s="120" t="s">
        <v>473</v>
      </c>
    </row>
    <row r="262" spans="1:24" ht="39.75" customHeight="1" x14ac:dyDescent="0.25">
      <c r="A262" s="120"/>
      <c r="B262" s="140" t="s">
        <v>138</v>
      </c>
      <c r="C262" s="140" t="s">
        <v>123</v>
      </c>
      <c r="D262" s="172"/>
      <c r="E262" s="140"/>
      <c r="F262" s="140"/>
      <c r="G262" s="140"/>
      <c r="H262" s="140"/>
      <c r="I262" s="140"/>
      <c r="J262" s="140"/>
      <c r="K262" s="140"/>
      <c r="L262" s="140"/>
      <c r="M262" s="140"/>
      <c r="N262" s="140"/>
      <c r="O262" s="140"/>
      <c r="P262" s="140"/>
      <c r="Q262" s="140"/>
      <c r="R262" s="140"/>
      <c r="S262" s="140"/>
      <c r="T262" s="170" t="s">
        <v>849</v>
      </c>
      <c r="U262" s="122">
        <f t="shared" ref="U262:W263" si="8">U263</f>
        <v>8030117</v>
      </c>
      <c r="V262" s="122">
        <f t="shared" si="8"/>
        <v>8027959.6200000001</v>
      </c>
      <c r="W262" s="122">
        <f t="shared" si="8"/>
        <v>8027959.6200000001</v>
      </c>
      <c r="X262" s="120"/>
    </row>
    <row r="263" spans="1:24" ht="165.75" customHeight="1" x14ac:dyDescent="0.25">
      <c r="A263" s="120"/>
      <c r="B263" s="140" t="s">
        <v>138</v>
      </c>
      <c r="C263" s="140" t="s">
        <v>123</v>
      </c>
      <c r="D263" s="172" t="s">
        <v>721</v>
      </c>
      <c r="E263" s="140"/>
      <c r="F263" s="140"/>
      <c r="G263" s="140"/>
      <c r="H263" s="140"/>
      <c r="I263" s="140"/>
      <c r="J263" s="140"/>
      <c r="K263" s="140"/>
      <c r="L263" s="140"/>
      <c r="M263" s="140"/>
      <c r="N263" s="140"/>
      <c r="O263" s="140"/>
      <c r="P263" s="140"/>
      <c r="Q263" s="140"/>
      <c r="R263" s="140"/>
      <c r="S263" s="140"/>
      <c r="T263" s="162" t="s">
        <v>720</v>
      </c>
      <c r="U263" s="122">
        <f t="shared" si="8"/>
        <v>8030117</v>
      </c>
      <c r="V263" s="122">
        <f t="shared" si="8"/>
        <v>8027959.6200000001</v>
      </c>
      <c r="W263" s="122">
        <f t="shared" si="8"/>
        <v>8027959.6200000001</v>
      </c>
      <c r="X263" s="120"/>
    </row>
    <row r="264" spans="1:24" ht="126.75" customHeight="1" x14ac:dyDescent="0.25">
      <c r="A264" s="120"/>
      <c r="B264" s="140" t="s">
        <v>138</v>
      </c>
      <c r="C264" s="140" t="s">
        <v>123</v>
      </c>
      <c r="D264" s="172" t="s">
        <v>721</v>
      </c>
      <c r="E264" s="140"/>
      <c r="F264" s="140"/>
      <c r="G264" s="140"/>
      <c r="H264" s="140"/>
      <c r="I264" s="140"/>
      <c r="J264" s="140"/>
      <c r="K264" s="140"/>
      <c r="L264" s="140"/>
      <c r="M264" s="140"/>
      <c r="N264" s="140"/>
      <c r="O264" s="140"/>
      <c r="P264" s="140"/>
      <c r="Q264" s="140"/>
      <c r="R264" s="140"/>
      <c r="S264" s="140"/>
      <c r="T264" s="139" t="s">
        <v>504</v>
      </c>
      <c r="U264" s="122">
        <f>П6ВСР!Z457</f>
        <v>8030117</v>
      </c>
      <c r="V264" s="122">
        <f>П6ВСР!AA457</f>
        <v>8027959.6200000001</v>
      </c>
      <c r="W264" s="122">
        <f>П6ВСР!AB457</f>
        <v>8027959.6200000001</v>
      </c>
      <c r="X264" s="120"/>
    </row>
    <row r="265" spans="1:24" ht="37.15" customHeight="1" x14ac:dyDescent="0.25">
      <c r="A265" s="120" t="s">
        <v>157</v>
      </c>
      <c r="B265" s="121" t="s">
        <v>138</v>
      </c>
      <c r="C265" s="121" t="s">
        <v>138</v>
      </c>
      <c r="D265" s="121"/>
      <c r="E265" s="121"/>
      <c r="F265" s="121"/>
      <c r="G265" s="121"/>
      <c r="H265" s="121"/>
      <c r="I265" s="121"/>
      <c r="J265" s="121"/>
      <c r="K265" s="121"/>
      <c r="L265" s="121"/>
      <c r="M265" s="121"/>
      <c r="N265" s="121"/>
      <c r="O265" s="121"/>
      <c r="P265" s="121"/>
      <c r="Q265" s="121"/>
      <c r="R265" s="121"/>
      <c r="S265" s="121"/>
      <c r="T265" s="253" t="s">
        <v>808</v>
      </c>
      <c r="U265" s="122">
        <f>U266+U268+U270+U272+U276+U278+U286+U281+U283+U274</f>
        <v>3969600</v>
      </c>
      <c r="V265" s="122">
        <f>V266+V268+V270+V272+V276+V278+V286+V281+V283+V274</f>
        <v>3786100</v>
      </c>
      <c r="W265" s="122">
        <f>W266+W268+W270+W272+W276+W278+W286+W281+W283+W274</f>
        <v>3620300</v>
      </c>
      <c r="X265" s="120" t="s">
        <v>157</v>
      </c>
    </row>
    <row r="266" spans="1:24" ht="118.5" customHeight="1" x14ac:dyDescent="0.25">
      <c r="A266" s="120" t="s">
        <v>385</v>
      </c>
      <c r="B266" s="138" t="s">
        <v>138</v>
      </c>
      <c r="C266" s="138" t="s">
        <v>138</v>
      </c>
      <c r="D266" s="138" t="s">
        <v>606</v>
      </c>
      <c r="E266" s="138"/>
      <c r="F266" s="138"/>
      <c r="G266" s="138"/>
      <c r="H266" s="138"/>
      <c r="I266" s="138"/>
      <c r="J266" s="138"/>
      <c r="K266" s="138"/>
      <c r="L266" s="138"/>
      <c r="M266" s="138"/>
      <c r="N266" s="138"/>
      <c r="O266" s="138"/>
      <c r="P266" s="138"/>
      <c r="Q266" s="138"/>
      <c r="R266" s="138"/>
      <c r="S266" s="138"/>
      <c r="T266" s="162" t="s">
        <v>605</v>
      </c>
      <c r="U266" s="122">
        <f>U267</f>
        <v>70000</v>
      </c>
      <c r="V266" s="122">
        <f>V267</f>
        <v>50000</v>
      </c>
      <c r="W266" s="122">
        <f>W267</f>
        <v>50000</v>
      </c>
      <c r="X266" s="120" t="s">
        <v>385</v>
      </c>
    </row>
    <row r="267" spans="1:24" ht="111.75" customHeight="1" x14ac:dyDescent="0.25">
      <c r="A267" s="120" t="s">
        <v>386</v>
      </c>
      <c r="B267" s="144" t="s">
        <v>138</v>
      </c>
      <c r="C267" s="144" t="s">
        <v>138</v>
      </c>
      <c r="D267" s="138" t="s">
        <v>606</v>
      </c>
      <c r="E267" s="144"/>
      <c r="F267" s="144"/>
      <c r="G267" s="144"/>
      <c r="H267" s="144"/>
      <c r="I267" s="144"/>
      <c r="J267" s="144"/>
      <c r="K267" s="144"/>
      <c r="L267" s="144"/>
      <c r="M267" s="144"/>
      <c r="N267" s="144"/>
      <c r="O267" s="144"/>
      <c r="P267" s="144"/>
      <c r="Q267" s="144"/>
      <c r="R267" s="144"/>
      <c r="S267" s="144" t="s">
        <v>290</v>
      </c>
      <c r="T267" s="139" t="s">
        <v>386</v>
      </c>
      <c r="U267" s="122">
        <f>П6ВСР!Z192</f>
        <v>70000</v>
      </c>
      <c r="V267" s="122">
        <f>П6ВСР!AA192</f>
        <v>50000</v>
      </c>
      <c r="W267" s="122">
        <f>П6ВСР!AB192</f>
        <v>50000</v>
      </c>
      <c r="X267" s="120" t="s">
        <v>386</v>
      </c>
    </row>
    <row r="268" spans="1:24" ht="209.25" customHeight="1" x14ac:dyDescent="0.25">
      <c r="A268" s="120" t="s">
        <v>387</v>
      </c>
      <c r="B268" s="138" t="s">
        <v>138</v>
      </c>
      <c r="C268" s="138" t="s">
        <v>138</v>
      </c>
      <c r="D268" s="138" t="s">
        <v>608</v>
      </c>
      <c r="E268" s="138"/>
      <c r="F268" s="138"/>
      <c r="G268" s="138"/>
      <c r="H268" s="138"/>
      <c r="I268" s="138"/>
      <c r="J268" s="138"/>
      <c r="K268" s="138"/>
      <c r="L268" s="138"/>
      <c r="M268" s="138"/>
      <c r="N268" s="138"/>
      <c r="O268" s="138"/>
      <c r="P268" s="138"/>
      <c r="Q268" s="138"/>
      <c r="R268" s="138"/>
      <c r="S268" s="138"/>
      <c r="T268" s="162" t="s">
        <v>607</v>
      </c>
      <c r="U268" s="122">
        <f>U269</f>
        <v>50000</v>
      </c>
      <c r="V268" s="122">
        <f>V269</f>
        <v>50000</v>
      </c>
      <c r="W268" s="122">
        <f>W269</f>
        <v>50000</v>
      </c>
      <c r="X268" s="120" t="s">
        <v>387</v>
      </c>
    </row>
    <row r="269" spans="1:24" ht="114" customHeight="1" x14ac:dyDescent="0.25">
      <c r="A269" s="120" t="s">
        <v>388</v>
      </c>
      <c r="B269" s="144" t="s">
        <v>138</v>
      </c>
      <c r="C269" s="144" t="s">
        <v>138</v>
      </c>
      <c r="D269" s="138" t="s">
        <v>608</v>
      </c>
      <c r="E269" s="144"/>
      <c r="F269" s="144"/>
      <c r="G269" s="144"/>
      <c r="H269" s="144"/>
      <c r="I269" s="144"/>
      <c r="J269" s="144"/>
      <c r="K269" s="144"/>
      <c r="L269" s="144"/>
      <c r="M269" s="144"/>
      <c r="N269" s="144"/>
      <c r="O269" s="144"/>
      <c r="P269" s="144"/>
      <c r="Q269" s="144"/>
      <c r="R269" s="144"/>
      <c r="S269" s="144" t="s">
        <v>290</v>
      </c>
      <c r="T269" s="139" t="s">
        <v>831</v>
      </c>
      <c r="U269" s="122">
        <f>П6ВСР!Z194</f>
        <v>50000</v>
      </c>
      <c r="V269" s="122">
        <f>П6ВСР!AA194</f>
        <v>50000</v>
      </c>
      <c r="W269" s="122">
        <f>П6ВСР!AB194</f>
        <v>50000</v>
      </c>
      <c r="X269" s="120" t="s">
        <v>388</v>
      </c>
    </row>
    <row r="270" spans="1:24" ht="182.25" customHeight="1" x14ac:dyDescent="0.25">
      <c r="A270" s="120" t="s">
        <v>389</v>
      </c>
      <c r="B270" s="138" t="s">
        <v>138</v>
      </c>
      <c r="C270" s="138" t="s">
        <v>138</v>
      </c>
      <c r="D270" s="138" t="s">
        <v>610</v>
      </c>
      <c r="E270" s="138"/>
      <c r="F270" s="138"/>
      <c r="G270" s="138"/>
      <c r="H270" s="138"/>
      <c r="I270" s="138"/>
      <c r="J270" s="138"/>
      <c r="K270" s="138"/>
      <c r="L270" s="138"/>
      <c r="M270" s="138"/>
      <c r="N270" s="138"/>
      <c r="O270" s="138"/>
      <c r="P270" s="138"/>
      <c r="Q270" s="138"/>
      <c r="R270" s="138"/>
      <c r="S270" s="138"/>
      <c r="T270" s="162" t="s">
        <v>609</v>
      </c>
      <c r="U270" s="122">
        <f>U271</f>
        <v>100000</v>
      </c>
      <c r="V270" s="122">
        <f>V271</f>
        <v>53000</v>
      </c>
      <c r="W270" s="122">
        <f>W271</f>
        <v>53000</v>
      </c>
      <c r="X270" s="120" t="s">
        <v>389</v>
      </c>
    </row>
    <row r="271" spans="1:24" ht="93" customHeight="1" x14ac:dyDescent="0.25">
      <c r="A271" s="120" t="s">
        <v>390</v>
      </c>
      <c r="B271" s="144" t="s">
        <v>138</v>
      </c>
      <c r="C271" s="144" t="s">
        <v>138</v>
      </c>
      <c r="D271" s="138" t="s">
        <v>610</v>
      </c>
      <c r="E271" s="144"/>
      <c r="F271" s="144"/>
      <c r="G271" s="144"/>
      <c r="H271" s="144"/>
      <c r="I271" s="144"/>
      <c r="J271" s="144"/>
      <c r="K271" s="144"/>
      <c r="L271" s="144"/>
      <c r="M271" s="144"/>
      <c r="N271" s="144"/>
      <c r="O271" s="144"/>
      <c r="P271" s="144"/>
      <c r="Q271" s="144"/>
      <c r="R271" s="144"/>
      <c r="S271" s="144" t="s">
        <v>290</v>
      </c>
      <c r="T271" s="139" t="s">
        <v>390</v>
      </c>
      <c r="U271" s="122">
        <f>П6ВСР!Z196</f>
        <v>100000</v>
      </c>
      <c r="V271" s="122">
        <f>П6ВСР!AA196</f>
        <v>53000</v>
      </c>
      <c r="W271" s="122">
        <f>П6ВСР!AB196</f>
        <v>53000</v>
      </c>
      <c r="X271" s="120" t="s">
        <v>390</v>
      </c>
    </row>
    <row r="272" spans="1:24" ht="196.5" customHeight="1" x14ac:dyDescent="0.25">
      <c r="A272" s="120"/>
      <c r="B272" s="144" t="s">
        <v>138</v>
      </c>
      <c r="C272" s="144" t="s">
        <v>138</v>
      </c>
      <c r="D272" s="138" t="s">
        <v>612</v>
      </c>
      <c r="E272" s="144"/>
      <c r="F272" s="144"/>
      <c r="G272" s="144"/>
      <c r="H272" s="144"/>
      <c r="I272" s="144"/>
      <c r="J272" s="144"/>
      <c r="K272" s="144"/>
      <c r="L272" s="144"/>
      <c r="M272" s="144"/>
      <c r="N272" s="144"/>
      <c r="O272" s="144"/>
      <c r="P272" s="144"/>
      <c r="Q272" s="144"/>
      <c r="R272" s="144"/>
      <c r="S272" s="144"/>
      <c r="T272" s="162" t="s">
        <v>611</v>
      </c>
      <c r="U272" s="122">
        <f>U273</f>
        <v>70000</v>
      </c>
      <c r="V272" s="122">
        <f>V273</f>
        <v>30000</v>
      </c>
      <c r="W272" s="122">
        <f>W273</f>
        <v>50000</v>
      </c>
      <c r="X272" s="120"/>
    </row>
    <row r="273" spans="1:24" ht="108" customHeight="1" x14ac:dyDescent="0.25">
      <c r="A273" s="120"/>
      <c r="B273" s="144" t="s">
        <v>138</v>
      </c>
      <c r="C273" s="144" t="s">
        <v>138</v>
      </c>
      <c r="D273" s="138" t="s">
        <v>612</v>
      </c>
      <c r="E273" s="144"/>
      <c r="F273" s="144"/>
      <c r="G273" s="144"/>
      <c r="H273" s="144"/>
      <c r="I273" s="144"/>
      <c r="J273" s="144"/>
      <c r="K273" s="144"/>
      <c r="L273" s="144"/>
      <c r="M273" s="144"/>
      <c r="N273" s="144"/>
      <c r="O273" s="144"/>
      <c r="P273" s="144"/>
      <c r="Q273" s="144"/>
      <c r="R273" s="144"/>
      <c r="S273" s="144" t="s">
        <v>290</v>
      </c>
      <c r="T273" s="139" t="s">
        <v>832</v>
      </c>
      <c r="U273" s="122">
        <f>П6ВСР!Z198</f>
        <v>70000</v>
      </c>
      <c r="V273" s="122">
        <f>П6ВСР!AA198</f>
        <v>30000</v>
      </c>
      <c r="W273" s="122">
        <f>П6ВСР!AB198</f>
        <v>50000</v>
      </c>
      <c r="X273" s="120"/>
    </row>
    <row r="274" spans="1:24" ht="195" customHeight="1" x14ac:dyDescent="0.25">
      <c r="A274" s="120"/>
      <c r="B274" s="144" t="s">
        <v>138</v>
      </c>
      <c r="C274" s="144" t="s">
        <v>138</v>
      </c>
      <c r="D274" s="263" t="s">
        <v>1022</v>
      </c>
      <c r="E274" s="144"/>
      <c r="F274" s="144"/>
      <c r="G274" s="144"/>
      <c r="H274" s="144"/>
      <c r="I274" s="144"/>
      <c r="J274" s="144"/>
      <c r="K274" s="144"/>
      <c r="L274" s="144"/>
      <c r="M274" s="144"/>
      <c r="N274" s="144"/>
      <c r="O274" s="144"/>
      <c r="P274" s="144"/>
      <c r="Q274" s="144"/>
      <c r="R274" s="144"/>
      <c r="S274" s="144"/>
      <c r="T274" s="162" t="s">
        <v>1020</v>
      </c>
      <c r="U274" s="122">
        <f>U275</f>
        <v>20000</v>
      </c>
      <c r="V274" s="122">
        <v>0</v>
      </c>
      <c r="W274" s="122">
        <v>0</v>
      </c>
      <c r="X274" s="120"/>
    </row>
    <row r="275" spans="1:24" ht="108" customHeight="1" x14ac:dyDescent="0.25">
      <c r="A275" s="120"/>
      <c r="B275" s="144" t="s">
        <v>138</v>
      </c>
      <c r="C275" s="144" t="s">
        <v>138</v>
      </c>
      <c r="D275" s="263" t="s">
        <v>1022</v>
      </c>
      <c r="E275" s="144"/>
      <c r="F275" s="144"/>
      <c r="G275" s="144"/>
      <c r="H275" s="144"/>
      <c r="I275" s="144"/>
      <c r="J275" s="144"/>
      <c r="K275" s="144"/>
      <c r="L275" s="144"/>
      <c r="M275" s="144"/>
      <c r="N275" s="144"/>
      <c r="O275" s="144"/>
      <c r="P275" s="144"/>
      <c r="Q275" s="144"/>
      <c r="R275" s="144"/>
      <c r="S275" s="144" t="s">
        <v>290</v>
      </c>
      <c r="T275" s="139" t="s">
        <v>1021</v>
      </c>
      <c r="U275" s="122">
        <f>П6ВСР!Z200</f>
        <v>20000</v>
      </c>
      <c r="V275" s="122">
        <v>0</v>
      </c>
      <c r="W275" s="122">
        <v>0</v>
      </c>
      <c r="X275" s="120"/>
    </row>
    <row r="276" spans="1:24" ht="127.5" customHeight="1" x14ac:dyDescent="0.25">
      <c r="A276" s="120"/>
      <c r="B276" s="138" t="s">
        <v>138</v>
      </c>
      <c r="C276" s="138" t="s">
        <v>138</v>
      </c>
      <c r="D276" s="138" t="s">
        <v>614</v>
      </c>
      <c r="E276" s="138"/>
      <c r="F276" s="138"/>
      <c r="G276" s="138"/>
      <c r="H276" s="138"/>
      <c r="I276" s="138"/>
      <c r="J276" s="138"/>
      <c r="K276" s="138"/>
      <c r="L276" s="138"/>
      <c r="M276" s="138"/>
      <c r="N276" s="138"/>
      <c r="O276" s="138"/>
      <c r="P276" s="138"/>
      <c r="Q276" s="138"/>
      <c r="R276" s="138"/>
      <c r="S276" s="138"/>
      <c r="T276" s="162" t="s">
        <v>613</v>
      </c>
      <c r="U276" s="122">
        <f>U277</f>
        <v>300000</v>
      </c>
      <c r="V276" s="122">
        <f>V277</f>
        <v>50000</v>
      </c>
      <c r="W276" s="122">
        <f>W277</f>
        <v>50000</v>
      </c>
      <c r="X276" s="120"/>
    </row>
    <row r="277" spans="1:24" ht="93" customHeight="1" x14ac:dyDescent="0.25">
      <c r="A277" s="120"/>
      <c r="B277" s="144" t="s">
        <v>138</v>
      </c>
      <c r="C277" s="144" t="s">
        <v>138</v>
      </c>
      <c r="D277" s="138" t="s">
        <v>614</v>
      </c>
      <c r="E277" s="144"/>
      <c r="F277" s="144"/>
      <c r="G277" s="144"/>
      <c r="H277" s="144"/>
      <c r="I277" s="144"/>
      <c r="J277" s="144"/>
      <c r="K277" s="144"/>
      <c r="L277" s="144"/>
      <c r="M277" s="144"/>
      <c r="N277" s="144"/>
      <c r="O277" s="144"/>
      <c r="P277" s="144"/>
      <c r="Q277" s="144"/>
      <c r="R277" s="144"/>
      <c r="S277" s="144" t="s">
        <v>290</v>
      </c>
      <c r="T277" s="139" t="s">
        <v>392</v>
      </c>
      <c r="U277" s="122">
        <f>П6ВСР!Z202</f>
        <v>300000</v>
      </c>
      <c r="V277" s="122">
        <f>П6ВСР!AA202</f>
        <v>50000</v>
      </c>
      <c r="W277" s="122">
        <f>П6ВСР!AB202</f>
        <v>50000</v>
      </c>
      <c r="X277" s="120"/>
    </row>
    <row r="278" spans="1:24" ht="136.5" customHeight="1" x14ac:dyDescent="0.25">
      <c r="A278" s="120" t="s">
        <v>474</v>
      </c>
      <c r="B278" s="172" t="s">
        <v>138</v>
      </c>
      <c r="C278" s="172" t="s">
        <v>138</v>
      </c>
      <c r="D278" s="172" t="s">
        <v>706</v>
      </c>
      <c r="E278" s="172"/>
      <c r="F278" s="172"/>
      <c r="G278" s="172"/>
      <c r="H278" s="172"/>
      <c r="I278" s="172"/>
      <c r="J278" s="172"/>
      <c r="K278" s="172"/>
      <c r="L278" s="172"/>
      <c r="M278" s="172"/>
      <c r="N278" s="172"/>
      <c r="O278" s="172"/>
      <c r="P278" s="172"/>
      <c r="Q278" s="172"/>
      <c r="R278" s="172"/>
      <c r="S278" s="172"/>
      <c r="T278" s="162" t="s">
        <v>705</v>
      </c>
      <c r="U278" s="122">
        <f>U280+U279</f>
        <v>2500000</v>
      </c>
      <c r="V278" s="122">
        <f>V280</f>
        <v>2500000</v>
      </c>
      <c r="W278" s="122">
        <f>W280</f>
        <v>2500000</v>
      </c>
      <c r="X278" s="120" t="s">
        <v>474</v>
      </c>
    </row>
    <row r="279" spans="1:24" ht="101.25" hidden="1" customHeight="1" x14ac:dyDescent="0.25">
      <c r="A279" s="120"/>
      <c r="B279" s="140" t="s">
        <v>138</v>
      </c>
      <c r="C279" s="140" t="s">
        <v>138</v>
      </c>
      <c r="D279" s="172" t="s">
        <v>706</v>
      </c>
      <c r="E279" s="140"/>
      <c r="F279" s="140"/>
      <c r="G279" s="140"/>
      <c r="H279" s="140"/>
      <c r="I279" s="140"/>
      <c r="J279" s="140"/>
      <c r="K279" s="140"/>
      <c r="L279" s="140"/>
      <c r="M279" s="140"/>
      <c r="N279" s="140"/>
      <c r="O279" s="140"/>
      <c r="P279" s="140"/>
      <c r="Q279" s="140"/>
      <c r="R279" s="140"/>
      <c r="S279" s="140" t="s">
        <v>290</v>
      </c>
      <c r="T279" s="162" t="s">
        <v>1016</v>
      </c>
      <c r="U279" s="122">
        <f>П6ВСР!Z390</f>
        <v>0</v>
      </c>
      <c r="V279" s="122">
        <v>0</v>
      </c>
      <c r="W279" s="122">
        <v>0</v>
      </c>
      <c r="X279" s="120"/>
    </row>
    <row r="280" spans="1:24" ht="130.5" customHeight="1" x14ac:dyDescent="0.25">
      <c r="A280" s="120" t="s">
        <v>475</v>
      </c>
      <c r="B280" s="140" t="s">
        <v>138</v>
      </c>
      <c r="C280" s="140" t="s">
        <v>138</v>
      </c>
      <c r="D280" s="172" t="s">
        <v>706</v>
      </c>
      <c r="E280" s="140"/>
      <c r="F280" s="140"/>
      <c r="G280" s="140"/>
      <c r="H280" s="140"/>
      <c r="I280" s="140"/>
      <c r="J280" s="140"/>
      <c r="K280" s="140"/>
      <c r="L280" s="140"/>
      <c r="M280" s="140"/>
      <c r="N280" s="140"/>
      <c r="O280" s="140"/>
      <c r="P280" s="140"/>
      <c r="Q280" s="140"/>
      <c r="R280" s="140"/>
      <c r="S280" s="140" t="s">
        <v>309</v>
      </c>
      <c r="T280" s="139" t="s">
        <v>475</v>
      </c>
      <c r="U280" s="122">
        <f>П6ВСР!Z391</f>
        <v>2500000</v>
      </c>
      <c r="V280" s="122">
        <f>П6ВСР!AA391</f>
        <v>2500000</v>
      </c>
      <c r="W280" s="122">
        <f>П6ВСР!AB391</f>
        <v>2500000</v>
      </c>
      <c r="X280" s="120" t="s">
        <v>475</v>
      </c>
    </row>
    <row r="281" spans="1:24" ht="130.5" hidden="1" customHeight="1" x14ac:dyDescent="0.25">
      <c r="A281" s="120"/>
      <c r="B281" s="140" t="s">
        <v>138</v>
      </c>
      <c r="C281" s="140" t="s">
        <v>138</v>
      </c>
      <c r="D281" s="172" t="s">
        <v>893</v>
      </c>
      <c r="E281" s="140"/>
      <c r="F281" s="140"/>
      <c r="G281" s="140"/>
      <c r="H281" s="140"/>
      <c r="I281" s="140"/>
      <c r="J281" s="140"/>
      <c r="K281" s="140"/>
      <c r="L281" s="140"/>
      <c r="M281" s="140"/>
      <c r="N281" s="140"/>
      <c r="O281" s="140"/>
      <c r="P281" s="140"/>
      <c r="Q281" s="140"/>
      <c r="R281" s="140"/>
      <c r="S281" s="140"/>
      <c r="T281" s="162" t="s">
        <v>705</v>
      </c>
      <c r="U281" s="122">
        <f>U282</f>
        <v>0</v>
      </c>
      <c r="V281" s="122">
        <f>V282</f>
        <v>0</v>
      </c>
      <c r="W281" s="122">
        <f>W282</f>
        <v>0</v>
      </c>
      <c r="X281" s="120"/>
    </row>
    <row r="282" spans="1:24" ht="130.5" hidden="1" customHeight="1" x14ac:dyDescent="0.25">
      <c r="A282" s="120"/>
      <c r="B282" s="140" t="s">
        <v>138</v>
      </c>
      <c r="C282" s="140" t="s">
        <v>138</v>
      </c>
      <c r="D282" s="172" t="s">
        <v>893</v>
      </c>
      <c r="E282" s="140"/>
      <c r="F282" s="140"/>
      <c r="G282" s="140"/>
      <c r="H282" s="140"/>
      <c r="I282" s="140"/>
      <c r="J282" s="140"/>
      <c r="K282" s="140"/>
      <c r="L282" s="140"/>
      <c r="M282" s="140"/>
      <c r="N282" s="140"/>
      <c r="O282" s="140"/>
      <c r="P282" s="140"/>
      <c r="Q282" s="140"/>
      <c r="R282" s="140"/>
      <c r="S282" s="140" t="s">
        <v>309</v>
      </c>
      <c r="T282" s="139" t="s">
        <v>475</v>
      </c>
      <c r="U282" s="122">
        <f>П6ВСР!Z393</f>
        <v>0</v>
      </c>
      <c r="V282" s="122">
        <f>П6ВСР!AA393</f>
        <v>0</v>
      </c>
      <c r="W282" s="122">
        <f>П6ВСР!AB393</f>
        <v>0</v>
      </c>
      <c r="X282" s="120"/>
    </row>
    <row r="283" spans="1:24" ht="153.75" customHeight="1" x14ac:dyDescent="0.25">
      <c r="A283" s="120"/>
      <c r="B283" s="140" t="s">
        <v>138</v>
      </c>
      <c r="C283" s="140" t="s">
        <v>138</v>
      </c>
      <c r="D283" s="172" t="s">
        <v>893</v>
      </c>
      <c r="E283" s="140"/>
      <c r="F283" s="140"/>
      <c r="G283" s="140"/>
      <c r="H283" s="140"/>
      <c r="I283" s="140"/>
      <c r="J283" s="140"/>
      <c r="K283" s="140"/>
      <c r="L283" s="140"/>
      <c r="M283" s="140"/>
      <c r="N283" s="140"/>
      <c r="O283" s="140"/>
      <c r="P283" s="140"/>
      <c r="Q283" s="140"/>
      <c r="R283" s="140"/>
      <c r="S283" s="140"/>
      <c r="T283" s="139" t="s">
        <v>705</v>
      </c>
      <c r="U283" s="122">
        <f>U284+U285</f>
        <v>859600</v>
      </c>
      <c r="V283" s="122">
        <f>V284+V285</f>
        <v>1053100</v>
      </c>
      <c r="W283" s="122">
        <f>W284+W285</f>
        <v>867300</v>
      </c>
      <c r="X283" s="120"/>
    </row>
    <row r="284" spans="1:24" ht="1.5" hidden="1" customHeight="1" x14ac:dyDescent="0.25">
      <c r="A284" s="120"/>
      <c r="B284" s="140" t="s">
        <v>138</v>
      </c>
      <c r="C284" s="140" t="s">
        <v>138</v>
      </c>
      <c r="D284" s="172" t="s">
        <v>893</v>
      </c>
      <c r="E284" s="140"/>
      <c r="F284" s="140"/>
      <c r="G284" s="140"/>
      <c r="H284" s="140"/>
      <c r="I284" s="140"/>
      <c r="J284" s="140"/>
      <c r="K284" s="140"/>
      <c r="L284" s="140"/>
      <c r="M284" s="140"/>
      <c r="N284" s="140"/>
      <c r="O284" s="140"/>
      <c r="P284" s="140"/>
      <c r="Q284" s="140"/>
      <c r="R284" s="140"/>
      <c r="S284" s="140" t="s">
        <v>290</v>
      </c>
      <c r="T284" s="139" t="s">
        <v>587</v>
      </c>
      <c r="U284" s="122">
        <f>П6ВСР!Z395</f>
        <v>0</v>
      </c>
      <c r="V284" s="122">
        <f>П6ВСР!AA395</f>
        <v>0</v>
      </c>
      <c r="W284" s="122">
        <f>П6ВСР!AB395</f>
        <v>0</v>
      </c>
      <c r="X284" s="120"/>
    </row>
    <row r="285" spans="1:24" ht="69" customHeight="1" x14ac:dyDescent="0.25">
      <c r="A285" s="120"/>
      <c r="B285" s="140" t="s">
        <v>138</v>
      </c>
      <c r="C285" s="140" t="s">
        <v>138</v>
      </c>
      <c r="D285" s="172" t="s">
        <v>893</v>
      </c>
      <c r="E285" s="140"/>
      <c r="F285" s="140"/>
      <c r="G285" s="140"/>
      <c r="H285" s="140"/>
      <c r="I285" s="140"/>
      <c r="J285" s="140"/>
      <c r="K285" s="140"/>
      <c r="L285" s="140"/>
      <c r="M285" s="140"/>
      <c r="N285" s="140"/>
      <c r="O285" s="140"/>
      <c r="P285" s="140"/>
      <c r="Q285" s="140"/>
      <c r="R285" s="140"/>
      <c r="S285" s="140" t="s">
        <v>309</v>
      </c>
      <c r="T285" s="139" t="s">
        <v>796</v>
      </c>
      <c r="U285" s="122">
        <f>П6ВСР!Z396</f>
        <v>859600</v>
      </c>
      <c r="V285" s="122">
        <f>П6ВСР!AA396</f>
        <v>1053100</v>
      </c>
      <c r="W285" s="122">
        <f>П6ВСР!AB396</f>
        <v>867300</v>
      </c>
      <c r="X285" s="120"/>
    </row>
    <row r="286" spans="1:24" ht="168" hidden="1" customHeight="1" x14ac:dyDescent="0.25">
      <c r="A286" s="120"/>
      <c r="B286" s="140" t="s">
        <v>138</v>
      </c>
      <c r="C286" s="140" t="s">
        <v>138</v>
      </c>
      <c r="D286" s="172" t="s">
        <v>797</v>
      </c>
      <c r="E286" s="140"/>
      <c r="F286" s="140"/>
      <c r="G286" s="140"/>
      <c r="H286" s="140"/>
      <c r="I286" s="140"/>
      <c r="J286" s="140"/>
      <c r="K286" s="140"/>
      <c r="L286" s="140"/>
      <c r="M286" s="140"/>
      <c r="N286" s="140"/>
      <c r="O286" s="140"/>
      <c r="P286" s="140"/>
      <c r="Q286" s="140"/>
      <c r="R286" s="140"/>
      <c r="S286" s="140"/>
      <c r="T286" s="139" t="s">
        <v>795</v>
      </c>
      <c r="U286" s="122">
        <f>U287</f>
        <v>0</v>
      </c>
      <c r="V286" s="122">
        <f>V287</f>
        <v>0</v>
      </c>
      <c r="W286" s="122">
        <f>W287</f>
        <v>0</v>
      </c>
      <c r="X286" s="120"/>
    </row>
    <row r="287" spans="1:24" ht="72" hidden="1" customHeight="1" x14ac:dyDescent="0.25">
      <c r="A287" s="120"/>
      <c r="B287" s="140" t="s">
        <v>138</v>
      </c>
      <c r="C287" s="140" t="s">
        <v>138</v>
      </c>
      <c r="D287" s="172" t="s">
        <v>797</v>
      </c>
      <c r="E287" s="140"/>
      <c r="F287" s="140"/>
      <c r="G287" s="140"/>
      <c r="H287" s="140"/>
      <c r="I287" s="140"/>
      <c r="J287" s="140"/>
      <c r="K287" s="140"/>
      <c r="L287" s="140"/>
      <c r="M287" s="140"/>
      <c r="N287" s="140"/>
      <c r="O287" s="140"/>
      <c r="P287" s="140"/>
      <c r="Q287" s="140"/>
      <c r="R287" s="140"/>
      <c r="S287" s="140" t="s">
        <v>309</v>
      </c>
      <c r="T287" s="139" t="s">
        <v>796</v>
      </c>
      <c r="U287" s="122">
        <f>П6ВСР!Z398</f>
        <v>0</v>
      </c>
      <c r="V287" s="122">
        <f>П6ВСР!AA398</f>
        <v>0</v>
      </c>
      <c r="W287" s="122">
        <f>П6ВСР!AB398</f>
        <v>0</v>
      </c>
      <c r="X287" s="120"/>
    </row>
    <row r="288" spans="1:24" ht="35.25" customHeight="1" x14ac:dyDescent="0.25">
      <c r="A288" s="120" t="s">
        <v>158</v>
      </c>
      <c r="B288" s="121" t="s">
        <v>138</v>
      </c>
      <c r="C288" s="121" t="s">
        <v>127</v>
      </c>
      <c r="D288" s="121"/>
      <c r="E288" s="121"/>
      <c r="F288" s="121"/>
      <c r="G288" s="121"/>
      <c r="H288" s="121"/>
      <c r="I288" s="121"/>
      <c r="J288" s="121"/>
      <c r="K288" s="121"/>
      <c r="L288" s="121"/>
      <c r="M288" s="121"/>
      <c r="N288" s="121"/>
      <c r="O288" s="121"/>
      <c r="P288" s="121"/>
      <c r="Q288" s="121"/>
      <c r="R288" s="121"/>
      <c r="S288" s="121"/>
      <c r="T288" s="120" t="s">
        <v>158</v>
      </c>
      <c r="U288" s="122">
        <f>U289+U292+U296+U300</f>
        <v>24509701.960000001</v>
      </c>
      <c r="V288" s="122">
        <f>V289+V292+V296+V300</f>
        <v>24394219.469999999</v>
      </c>
      <c r="W288" s="122">
        <f>W289+W292+W296+W300</f>
        <v>24394219.469999999</v>
      </c>
      <c r="X288" s="120" t="s">
        <v>158</v>
      </c>
    </row>
    <row r="289" spans="1:24" ht="131.25" hidden="1" customHeight="1" x14ac:dyDescent="0.25">
      <c r="A289" s="120" t="s">
        <v>235</v>
      </c>
      <c r="B289" s="138" t="s">
        <v>138</v>
      </c>
      <c r="C289" s="138" t="s">
        <v>127</v>
      </c>
      <c r="D289" s="138" t="s">
        <v>624</v>
      </c>
      <c r="E289" s="138"/>
      <c r="F289" s="138"/>
      <c r="G289" s="138"/>
      <c r="H289" s="138"/>
      <c r="I289" s="138"/>
      <c r="J289" s="138"/>
      <c r="K289" s="138"/>
      <c r="L289" s="138"/>
      <c r="M289" s="138"/>
      <c r="N289" s="138"/>
      <c r="O289" s="138"/>
      <c r="P289" s="138"/>
      <c r="Q289" s="138"/>
      <c r="R289" s="138"/>
      <c r="S289" s="138"/>
      <c r="T289" s="162" t="s">
        <v>235</v>
      </c>
      <c r="U289" s="122">
        <f>U290+U291</f>
        <v>0</v>
      </c>
      <c r="V289" s="122">
        <f>V290+V291</f>
        <v>0</v>
      </c>
      <c r="W289" s="122">
        <f>W290+W291</f>
        <v>0</v>
      </c>
      <c r="X289" s="120" t="s">
        <v>235</v>
      </c>
    </row>
    <row r="290" spans="1:24" ht="234.75" hidden="1" customHeight="1" x14ac:dyDescent="0.25">
      <c r="A290" s="126" t="s">
        <v>393</v>
      </c>
      <c r="B290" s="144" t="s">
        <v>138</v>
      </c>
      <c r="C290" s="144" t="s">
        <v>127</v>
      </c>
      <c r="D290" s="138" t="s">
        <v>624</v>
      </c>
      <c r="E290" s="144"/>
      <c r="F290" s="144"/>
      <c r="G290" s="144"/>
      <c r="H290" s="144"/>
      <c r="I290" s="144"/>
      <c r="J290" s="144"/>
      <c r="K290" s="144"/>
      <c r="L290" s="144"/>
      <c r="M290" s="144"/>
      <c r="N290" s="144"/>
      <c r="O290" s="144"/>
      <c r="P290" s="144"/>
      <c r="Q290" s="144"/>
      <c r="R290" s="144"/>
      <c r="S290" s="144" t="s">
        <v>38</v>
      </c>
      <c r="T290" s="164" t="s">
        <v>393</v>
      </c>
      <c r="U290" s="122">
        <f>П6ВСР!Z205</f>
        <v>0</v>
      </c>
      <c r="V290" s="122">
        <f>П6ВСР!AA205</f>
        <v>0</v>
      </c>
      <c r="W290" s="122">
        <f>П6ВСР!AB205</f>
        <v>0</v>
      </c>
      <c r="X290" s="126" t="s">
        <v>393</v>
      </c>
    </row>
    <row r="291" spans="1:24" ht="153" hidden="1" customHeight="1" x14ac:dyDescent="0.25">
      <c r="A291" s="126" t="s">
        <v>394</v>
      </c>
      <c r="B291" s="144" t="s">
        <v>138</v>
      </c>
      <c r="C291" s="144" t="s">
        <v>127</v>
      </c>
      <c r="D291" s="138" t="s">
        <v>624</v>
      </c>
      <c r="E291" s="144"/>
      <c r="F291" s="144"/>
      <c r="G291" s="144"/>
      <c r="H291" s="144"/>
      <c r="I291" s="144"/>
      <c r="J291" s="144"/>
      <c r="K291" s="144"/>
      <c r="L291" s="144"/>
      <c r="M291" s="144"/>
      <c r="N291" s="144"/>
      <c r="O291" s="144"/>
      <c r="P291" s="144"/>
      <c r="Q291" s="144"/>
      <c r="R291" s="144"/>
      <c r="S291" s="144" t="s">
        <v>290</v>
      </c>
      <c r="T291" s="164" t="s">
        <v>394</v>
      </c>
      <c r="U291" s="122">
        <f>П6ВСР!Z206</f>
        <v>0</v>
      </c>
      <c r="V291" s="122">
        <f>П6ВСР!AA206</f>
        <v>0</v>
      </c>
      <c r="W291" s="122">
        <f>П6ВСР!AB206</f>
        <v>0</v>
      </c>
      <c r="X291" s="126" t="s">
        <v>394</v>
      </c>
    </row>
    <row r="292" spans="1:24" ht="164.25" customHeight="1" x14ac:dyDescent="0.25">
      <c r="A292" s="120" t="s">
        <v>476</v>
      </c>
      <c r="B292" s="172" t="s">
        <v>138</v>
      </c>
      <c r="C292" s="172" t="s">
        <v>127</v>
      </c>
      <c r="D292" s="172" t="s">
        <v>708</v>
      </c>
      <c r="E292" s="172"/>
      <c r="F292" s="172"/>
      <c r="G292" s="172"/>
      <c r="H292" s="172"/>
      <c r="I292" s="172"/>
      <c r="J292" s="172"/>
      <c r="K292" s="172"/>
      <c r="L292" s="172"/>
      <c r="M292" s="172"/>
      <c r="N292" s="172"/>
      <c r="O292" s="172"/>
      <c r="P292" s="172"/>
      <c r="Q292" s="172"/>
      <c r="R292" s="172"/>
      <c r="S292" s="172"/>
      <c r="T292" s="162" t="s">
        <v>707</v>
      </c>
      <c r="U292" s="122">
        <f>U293+U294+U295</f>
        <v>6148533.7400000012</v>
      </c>
      <c r="V292" s="122">
        <f>V293+V294</f>
        <v>6134313.7400000002</v>
      </c>
      <c r="W292" s="122">
        <f>W293+W294</f>
        <v>6134313.7400000002</v>
      </c>
      <c r="X292" s="120" t="s">
        <v>476</v>
      </c>
    </row>
    <row r="293" spans="1:24" ht="156" customHeight="1" x14ac:dyDescent="0.25">
      <c r="A293" s="126" t="s">
        <v>477</v>
      </c>
      <c r="B293" s="140" t="s">
        <v>138</v>
      </c>
      <c r="C293" s="140" t="s">
        <v>127</v>
      </c>
      <c r="D293" s="172" t="s">
        <v>708</v>
      </c>
      <c r="E293" s="140"/>
      <c r="F293" s="140"/>
      <c r="G293" s="140"/>
      <c r="H293" s="140"/>
      <c r="I293" s="140"/>
      <c r="J293" s="140"/>
      <c r="K293" s="140"/>
      <c r="L293" s="140"/>
      <c r="M293" s="140"/>
      <c r="N293" s="140"/>
      <c r="O293" s="140"/>
      <c r="P293" s="140"/>
      <c r="Q293" s="140"/>
      <c r="R293" s="140"/>
      <c r="S293" s="140" t="s">
        <v>38</v>
      </c>
      <c r="T293" s="164" t="s">
        <v>477</v>
      </c>
      <c r="U293" s="122">
        <f>П6ВСР!Z401</f>
        <v>5964113.7400000012</v>
      </c>
      <c r="V293" s="122">
        <f>П6ВСР!AA401</f>
        <v>5964113.7400000002</v>
      </c>
      <c r="W293" s="122">
        <f>П6ВСР!AB401</f>
        <v>5964113.7400000002</v>
      </c>
      <c r="X293" s="126" t="s">
        <v>477</v>
      </c>
    </row>
    <row r="294" spans="1:24" ht="81.75" customHeight="1" x14ac:dyDescent="0.25">
      <c r="A294" s="120" t="s">
        <v>478</v>
      </c>
      <c r="B294" s="140" t="s">
        <v>138</v>
      </c>
      <c r="C294" s="140" t="s">
        <v>127</v>
      </c>
      <c r="D294" s="172" t="s">
        <v>708</v>
      </c>
      <c r="E294" s="140"/>
      <c r="F294" s="140"/>
      <c r="G294" s="140"/>
      <c r="H294" s="140"/>
      <c r="I294" s="140"/>
      <c r="J294" s="140"/>
      <c r="K294" s="140"/>
      <c r="L294" s="140"/>
      <c r="M294" s="140"/>
      <c r="N294" s="140"/>
      <c r="O294" s="140"/>
      <c r="P294" s="140"/>
      <c r="Q294" s="140"/>
      <c r="R294" s="140"/>
      <c r="S294" s="140" t="s">
        <v>290</v>
      </c>
      <c r="T294" s="139" t="s">
        <v>478</v>
      </c>
      <c r="U294" s="122">
        <f>П6ВСР!Z402</f>
        <v>184420</v>
      </c>
      <c r="V294" s="122">
        <f>П6ВСР!AA402</f>
        <v>170200</v>
      </c>
      <c r="W294" s="122">
        <f>П6ВСР!AB402</f>
        <v>170200</v>
      </c>
      <c r="X294" s="120" t="s">
        <v>478</v>
      </c>
    </row>
    <row r="295" spans="1:24" ht="83.25" hidden="1" customHeight="1" x14ac:dyDescent="0.25">
      <c r="A295" s="120"/>
      <c r="B295" s="140" t="s">
        <v>138</v>
      </c>
      <c r="C295" s="140" t="s">
        <v>127</v>
      </c>
      <c r="D295" s="172" t="s">
        <v>708</v>
      </c>
      <c r="E295" s="140"/>
      <c r="F295" s="140"/>
      <c r="G295" s="140"/>
      <c r="H295" s="140"/>
      <c r="I295" s="140"/>
      <c r="J295" s="140"/>
      <c r="K295" s="140"/>
      <c r="L295" s="140"/>
      <c r="M295" s="140"/>
      <c r="N295" s="140"/>
      <c r="O295" s="140"/>
      <c r="P295" s="140"/>
      <c r="Q295" s="140"/>
      <c r="R295" s="140"/>
      <c r="S295" s="140" t="s">
        <v>243</v>
      </c>
      <c r="T295" s="139" t="s">
        <v>907</v>
      </c>
      <c r="U295" s="122">
        <f>П6ВСР!Z403</f>
        <v>0</v>
      </c>
      <c r="V295" s="122">
        <v>0</v>
      </c>
      <c r="W295" s="122">
        <v>0</v>
      </c>
      <c r="X295" s="120"/>
    </row>
    <row r="296" spans="1:24" ht="180.75" customHeight="1" x14ac:dyDescent="0.25">
      <c r="A296" s="120" t="s">
        <v>479</v>
      </c>
      <c r="B296" s="172" t="s">
        <v>138</v>
      </c>
      <c r="C296" s="172" t="s">
        <v>127</v>
      </c>
      <c r="D296" s="172" t="s">
        <v>710</v>
      </c>
      <c r="E296" s="172"/>
      <c r="F296" s="172"/>
      <c r="G296" s="172"/>
      <c r="H296" s="172"/>
      <c r="I296" s="172"/>
      <c r="J296" s="172"/>
      <c r="K296" s="172"/>
      <c r="L296" s="172"/>
      <c r="M296" s="172"/>
      <c r="N296" s="172"/>
      <c r="O296" s="172"/>
      <c r="P296" s="172"/>
      <c r="Q296" s="172"/>
      <c r="R296" s="172"/>
      <c r="S296" s="172"/>
      <c r="T296" s="162" t="s">
        <v>709</v>
      </c>
      <c r="U296" s="122">
        <f>U297+U298+U299</f>
        <v>15522488.060000001</v>
      </c>
      <c r="V296" s="122">
        <f>V297+V298+V299</f>
        <v>15522587.060000001</v>
      </c>
      <c r="W296" s="122">
        <f>W297+W298+W299</f>
        <v>15522587.060000001</v>
      </c>
      <c r="X296" s="120" t="s">
        <v>479</v>
      </c>
    </row>
    <row r="297" spans="1:24" ht="177" customHeight="1" x14ac:dyDescent="0.25">
      <c r="A297" s="126" t="s">
        <v>480</v>
      </c>
      <c r="B297" s="140" t="s">
        <v>138</v>
      </c>
      <c r="C297" s="140" t="s">
        <v>127</v>
      </c>
      <c r="D297" s="172" t="s">
        <v>710</v>
      </c>
      <c r="E297" s="140"/>
      <c r="F297" s="140"/>
      <c r="G297" s="140"/>
      <c r="H297" s="140"/>
      <c r="I297" s="140"/>
      <c r="J297" s="140"/>
      <c r="K297" s="140"/>
      <c r="L297" s="140"/>
      <c r="M297" s="140"/>
      <c r="N297" s="140"/>
      <c r="O297" s="140"/>
      <c r="P297" s="140"/>
      <c r="Q297" s="140"/>
      <c r="R297" s="140"/>
      <c r="S297" s="140" t="s">
        <v>38</v>
      </c>
      <c r="T297" s="164" t="s">
        <v>480</v>
      </c>
      <c r="U297" s="122">
        <f>П6ВСР!Z405</f>
        <v>12772043.65</v>
      </c>
      <c r="V297" s="122">
        <f>П6ВСР!AA405</f>
        <v>12772043.65</v>
      </c>
      <c r="W297" s="122">
        <f>П6ВСР!AB405</f>
        <v>12772043.65</v>
      </c>
      <c r="X297" s="126" t="s">
        <v>480</v>
      </c>
    </row>
    <row r="298" spans="1:24" ht="117.75" customHeight="1" x14ac:dyDescent="0.25">
      <c r="A298" s="120" t="s">
        <v>481</v>
      </c>
      <c r="B298" s="140" t="s">
        <v>138</v>
      </c>
      <c r="C298" s="140" t="s">
        <v>127</v>
      </c>
      <c r="D298" s="172" t="s">
        <v>710</v>
      </c>
      <c r="E298" s="140"/>
      <c r="F298" s="140"/>
      <c r="G298" s="140"/>
      <c r="H298" s="140"/>
      <c r="I298" s="140"/>
      <c r="J298" s="140"/>
      <c r="K298" s="140"/>
      <c r="L298" s="140"/>
      <c r="M298" s="140"/>
      <c r="N298" s="140"/>
      <c r="O298" s="140"/>
      <c r="P298" s="140"/>
      <c r="Q298" s="140"/>
      <c r="R298" s="140"/>
      <c r="S298" s="140" t="s">
        <v>290</v>
      </c>
      <c r="T298" s="139" t="s">
        <v>481</v>
      </c>
      <c r="U298" s="122">
        <f>П6ВСР!Z406</f>
        <v>2748292.41</v>
      </c>
      <c r="V298" s="122">
        <f>П6ВСР!AA406</f>
        <v>2748292.41</v>
      </c>
      <c r="W298" s="122">
        <f>П6ВСР!AB406</f>
        <v>2748292.41</v>
      </c>
      <c r="X298" s="120" t="s">
        <v>481</v>
      </c>
    </row>
    <row r="299" spans="1:24" ht="92.25" customHeight="1" x14ac:dyDescent="0.25">
      <c r="A299" s="120" t="s">
        <v>482</v>
      </c>
      <c r="B299" s="140" t="s">
        <v>138</v>
      </c>
      <c r="C299" s="140" t="s">
        <v>127</v>
      </c>
      <c r="D299" s="172" t="s">
        <v>710</v>
      </c>
      <c r="E299" s="140"/>
      <c r="F299" s="140"/>
      <c r="G299" s="140"/>
      <c r="H299" s="140"/>
      <c r="I299" s="140"/>
      <c r="J299" s="140"/>
      <c r="K299" s="140"/>
      <c r="L299" s="140"/>
      <c r="M299" s="140"/>
      <c r="N299" s="140"/>
      <c r="O299" s="140"/>
      <c r="P299" s="140"/>
      <c r="Q299" s="140"/>
      <c r="R299" s="140"/>
      <c r="S299" s="140" t="s">
        <v>243</v>
      </c>
      <c r="T299" s="139" t="s">
        <v>482</v>
      </c>
      <c r="U299" s="122">
        <f>П6ВСР!Z407</f>
        <v>2152</v>
      </c>
      <c r="V299" s="122">
        <f>П6ВСР!AA407</f>
        <v>2251</v>
      </c>
      <c r="W299" s="122">
        <f>П6ВСР!AB407</f>
        <v>2251</v>
      </c>
      <c r="X299" s="120" t="s">
        <v>482</v>
      </c>
    </row>
    <row r="300" spans="1:24" ht="183.75" customHeight="1" x14ac:dyDescent="0.25">
      <c r="A300" s="120" t="s">
        <v>483</v>
      </c>
      <c r="B300" s="172" t="s">
        <v>138</v>
      </c>
      <c r="C300" s="172" t="s">
        <v>127</v>
      </c>
      <c r="D300" s="172" t="s">
        <v>712</v>
      </c>
      <c r="E300" s="172"/>
      <c r="F300" s="172"/>
      <c r="G300" s="172"/>
      <c r="H300" s="172"/>
      <c r="I300" s="172"/>
      <c r="J300" s="172"/>
      <c r="K300" s="172"/>
      <c r="L300" s="172"/>
      <c r="M300" s="172"/>
      <c r="N300" s="172"/>
      <c r="O300" s="172"/>
      <c r="P300" s="172"/>
      <c r="Q300" s="172"/>
      <c r="R300" s="172"/>
      <c r="S300" s="172"/>
      <c r="T300" s="162" t="s">
        <v>711</v>
      </c>
      <c r="U300" s="122">
        <f>U301</f>
        <v>2838680.16</v>
      </c>
      <c r="V300" s="122">
        <f>V301</f>
        <v>2737318.67</v>
      </c>
      <c r="W300" s="122">
        <f>W301</f>
        <v>2737318.67</v>
      </c>
      <c r="X300" s="120" t="s">
        <v>483</v>
      </c>
    </row>
    <row r="301" spans="1:24" ht="167.65" customHeight="1" x14ac:dyDescent="0.25">
      <c r="A301" s="120" t="s">
        <v>484</v>
      </c>
      <c r="B301" s="140" t="s">
        <v>138</v>
      </c>
      <c r="C301" s="140" t="s">
        <v>127</v>
      </c>
      <c r="D301" s="172" t="s">
        <v>712</v>
      </c>
      <c r="E301" s="140"/>
      <c r="F301" s="140"/>
      <c r="G301" s="140"/>
      <c r="H301" s="140"/>
      <c r="I301" s="140"/>
      <c r="J301" s="140"/>
      <c r="K301" s="140"/>
      <c r="L301" s="140"/>
      <c r="M301" s="140"/>
      <c r="N301" s="140"/>
      <c r="O301" s="140"/>
      <c r="P301" s="140"/>
      <c r="Q301" s="140"/>
      <c r="R301" s="140"/>
      <c r="S301" s="140" t="s">
        <v>309</v>
      </c>
      <c r="T301" s="139" t="s">
        <v>484</v>
      </c>
      <c r="U301" s="122">
        <f>П6ВСР!Z409</f>
        <v>2838680.16</v>
      </c>
      <c r="V301" s="122">
        <f>П6ВСР!AA409</f>
        <v>2737318.67</v>
      </c>
      <c r="W301" s="122">
        <f>П6ВСР!AB409</f>
        <v>2737318.67</v>
      </c>
      <c r="X301" s="120" t="s">
        <v>484</v>
      </c>
    </row>
    <row r="302" spans="1:24" ht="18.600000000000001" customHeight="1" x14ac:dyDescent="0.25">
      <c r="A302" s="118" t="s">
        <v>395</v>
      </c>
      <c r="B302" s="129" t="s">
        <v>126</v>
      </c>
      <c r="C302" s="129" t="s">
        <v>133</v>
      </c>
      <c r="D302" s="129"/>
      <c r="E302" s="129"/>
      <c r="F302" s="129"/>
      <c r="G302" s="129"/>
      <c r="H302" s="129"/>
      <c r="I302" s="129"/>
      <c r="J302" s="129"/>
      <c r="K302" s="129"/>
      <c r="L302" s="129"/>
      <c r="M302" s="129"/>
      <c r="N302" s="129"/>
      <c r="O302" s="129"/>
      <c r="P302" s="129"/>
      <c r="Q302" s="129"/>
      <c r="R302" s="129"/>
      <c r="S302" s="129"/>
      <c r="T302" s="118" t="s">
        <v>395</v>
      </c>
      <c r="U302" s="119">
        <f>U303</f>
        <v>20377645.470000003</v>
      </c>
      <c r="V302" s="119">
        <f>V303</f>
        <v>20427645.470000003</v>
      </c>
      <c r="W302" s="119">
        <f>W303</f>
        <v>19677645.470000003</v>
      </c>
      <c r="X302" s="118" t="s">
        <v>395</v>
      </c>
    </row>
    <row r="303" spans="1:24" ht="18.600000000000001" customHeight="1" x14ac:dyDescent="0.25">
      <c r="A303" s="120" t="s">
        <v>159</v>
      </c>
      <c r="B303" s="121" t="s">
        <v>126</v>
      </c>
      <c r="C303" s="121" t="s">
        <v>122</v>
      </c>
      <c r="D303" s="121"/>
      <c r="E303" s="121"/>
      <c r="F303" s="121"/>
      <c r="G303" s="121"/>
      <c r="H303" s="121"/>
      <c r="I303" s="121"/>
      <c r="J303" s="121"/>
      <c r="K303" s="121"/>
      <c r="L303" s="121"/>
      <c r="M303" s="121"/>
      <c r="N303" s="121"/>
      <c r="O303" s="121"/>
      <c r="P303" s="121"/>
      <c r="Q303" s="121"/>
      <c r="R303" s="121"/>
      <c r="S303" s="121"/>
      <c r="T303" s="120" t="s">
        <v>159</v>
      </c>
      <c r="U303" s="122">
        <f>U304+U306+U308+U310+U312+U314+U318+U320+U316</f>
        <v>20377645.470000003</v>
      </c>
      <c r="V303" s="122">
        <f>V304+V306+V308+V310+V312+V314+V318+V320+V316</f>
        <v>20427645.470000003</v>
      </c>
      <c r="W303" s="122">
        <f>W304+W306+W308+W310+W312+W314+W318+W320+W316</f>
        <v>19677645.470000003</v>
      </c>
      <c r="X303" s="120" t="s">
        <v>159</v>
      </c>
    </row>
    <row r="304" spans="1:24" ht="132" customHeight="1" x14ac:dyDescent="0.25">
      <c r="A304" s="120" t="s">
        <v>505</v>
      </c>
      <c r="B304" s="172" t="s">
        <v>126</v>
      </c>
      <c r="C304" s="172" t="s">
        <v>122</v>
      </c>
      <c r="D304" s="172" t="s">
        <v>723</v>
      </c>
      <c r="E304" s="172"/>
      <c r="F304" s="172"/>
      <c r="G304" s="172"/>
      <c r="H304" s="172"/>
      <c r="I304" s="172"/>
      <c r="J304" s="172"/>
      <c r="K304" s="172"/>
      <c r="L304" s="172"/>
      <c r="M304" s="172"/>
      <c r="N304" s="172"/>
      <c r="O304" s="172"/>
      <c r="P304" s="172"/>
      <c r="Q304" s="172"/>
      <c r="R304" s="172"/>
      <c r="S304" s="172"/>
      <c r="T304" s="162" t="s">
        <v>722</v>
      </c>
      <c r="U304" s="122">
        <f>U305</f>
        <v>6500553.7700000005</v>
      </c>
      <c r="V304" s="122">
        <f>V305</f>
        <v>6500553.7700000005</v>
      </c>
      <c r="W304" s="122">
        <f>W305</f>
        <v>6500553.7700000005</v>
      </c>
      <c r="X304" s="120" t="s">
        <v>505</v>
      </c>
    </row>
    <row r="305" spans="1:24" ht="111.75" customHeight="1" x14ac:dyDescent="0.25">
      <c r="A305" s="120" t="s">
        <v>506</v>
      </c>
      <c r="B305" s="140" t="s">
        <v>126</v>
      </c>
      <c r="C305" s="140" t="s">
        <v>122</v>
      </c>
      <c r="D305" s="172" t="s">
        <v>723</v>
      </c>
      <c r="E305" s="140"/>
      <c r="F305" s="140"/>
      <c r="G305" s="140"/>
      <c r="H305" s="140"/>
      <c r="I305" s="140"/>
      <c r="J305" s="140"/>
      <c r="K305" s="140"/>
      <c r="L305" s="140"/>
      <c r="M305" s="140"/>
      <c r="N305" s="140"/>
      <c r="O305" s="140"/>
      <c r="P305" s="140"/>
      <c r="Q305" s="140"/>
      <c r="R305" s="140"/>
      <c r="S305" s="140" t="s">
        <v>309</v>
      </c>
      <c r="T305" s="139" t="s">
        <v>506</v>
      </c>
      <c r="U305" s="122">
        <f>П6ВСР!Z461</f>
        <v>6500553.7700000005</v>
      </c>
      <c r="V305" s="122">
        <f>П6ВСР!AA461</f>
        <v>6500553.7700000005</v>
      </c>
      <c r="W305" s="122">
        <f>П6ВСР!AB461</f>
        <v>6500553.7700000005</v>
      </c>
      <c r="X305" s="120" t="s">
        <v>506</v>
      </c>
    </row>
    <row r="306" spans="1:24" ht="126.75" customHeight="1" x14ac:dyDescent="0.25">
      <c r="A306" s="120" t="s">
        <v>507</v>
      </c>
      <c r="B306" s="172" t="s">
        <v>126</v>
      </c>
      <c r="C306" s="172" t="s">
        <v>122</v>
      </c>
      <c r="D306" s="172" t="s">
        <v>725</v>
      </c>
      <c r="E306" s="172"/>
      <c r="F306" s="172"/>
      <c r="G306" s="172"/>
      <c r="H306" s="172"/>
      <c r="I306" s="172"/>
      <c r="J306" s="172"/>
      <c r="K306" s="172"/>
      <c r="L306" s="172"/>
      <c r="M306" s="172"/>
      <c r="N306" s="172"/>
      <c r="O306" s="172"/>
      <c r="P306" s="172"/>
      <c r="Q306" s="172"/>
      <c r="R306" s="172"/>
      <c r="S306" s="172"/>
      <c r="T306" s="162" t="s">
        <v>724</v>
      </c>
      <c r="U306" s="122">
        <f>U307</f>
        <v>4576700.9000000004</v>
      </c>
      <c r="V306" s="122">
        <f>V307</f>
        <v>4576700.9000000004</v>
      </c>
      <c r="W306" s="122">
        <f>W307</f>
        <v>4576700.9000000004</v>
      </c>
      <c r="X306" s="120" t="s">
        <v>507</v>
      </c>
    </row>
    <row r="307" spans="1:24" ht="111.75" customHeight="1" x14ac:dyDescent="0.25">
      <c r="A307" s="120" t="s">
        <v>508</v>
      </c>
      <c r="B307" s="140" t="s">
        <v>126</v>
      </c>
      <c r="C307" s="140" t="s">
        <v>122</v>
      </c>
      <c r="D307" s="172" t="s">
        <v>725</v>
      </c>
      <c r="E307" s="140"/>
      <c r="F307" s="140"/>
      <c r="G307" s="140"/>
      <c r="H307" s="140"/>
      <c r="I307" s="140"/>
      <c r="J307" s="140"/>
      <c r="K307" s="140"/>
      <c r="L307" s="140"/>
      <c r="M307" s="140"/>
      <c r="N307" s="140"/>
      <c r="O307" s="140"/>
      <c r="P307" s="140"/>
      <c r="Q307" s="140"/>
      <c r="R307" s="140"/>
      <c r="S307" s="140" t="s">
        <v>309</v>
      </c>
      <c r="T307" s="139" t="s">
        <v>508</v>
      </c>
      <c r="U307" s="122">
        <f>П6ВСР!Z463</f>
        <v>4576700.9000000004</v>
      </c>
      <c r="V307" s="122">
        <f>П6ВСР!AA463</f>
        <v>4576700.9000000004</v>
      </c>
      <c r="W307" s="122">
        <f>П6ВСР!AB463</f>
        <v>4576700.9000000004</v>
      </c>
      <c r="X307" s="120" t="s">
        <v>508</v>
      </c>
    </row>
    <row r="308" spans="1:24" ht="120.75" customHeight="1" x14ac:dyDescent="0.25">
      <c r="A308" s="120" t="s">
        <v>509</v>
      </c>
      <c r="B308" s="172" t="s">
        <v>126</v>
      </c>
      <c r="C308" s="172" t="s">
        <v>122</v>
      </c>
      <c r="D308" s="172" t="s">
        <v>727</v>
      </c>
      <c r="E308" s="172"/>
      <c r="F308" s="172"/>
      <c r="G308" s="172"/>
      <c r="H308" s="172"/>
      <c r="I308" s="172"/>
      <c r="J308" s="172"/>
      <c r="K308" s="172"/>
      <c r="L308" s="172"/>
      <c r="M308" s="172"/>
      <c r="N308" s="172"/>
      <c r="O308" s="172"/>
      <c r="P308" s="172"/>
      <c r="Q308" s="172"/>
      <c r="R308" s="172"/>
      <c r="S308" s="172"/>
      <c r="T308" s="162" t="s">
        <v>726</v>
      </c>
      <c r="U308" s="122">
        <f>U309</f>
        <v>8350390.7999999998</v>
      </c>
      <c r="V308" s="122">
        <f>V309</f>
        <v>8350390.7999999998</v>
      </c>
      <c r="W308" s="122">
        <f>W309</f>
        <v>8350390.7999999998</v>
      </c>
      <c r="X308" s="120" t="s">
        <v>509</v>
      </c>
    </row>
    <row r="309" spans="1:24" ht="110.25" customHeight="1" x14ac:dyDescent="0.25">
      <c r="A309" s="120" t="s">
        <v>510</v>
      </c>
      <c r="B309" s="140" t="s">
        <v>126</v>
      </c>
      <c r="C309" s="178" t="s">
        <v>122</v>
      </c>
      <c r="D309" s="172" t="s">
        <v>727</v>
      </c>
      <c r="E309" s="140"/>
      <c r="F309" s="140"/>
      <c r="G309" s="140"/>
      <c r="H309" s="140"/>
      <c r="I309" s="140"/>
      <c r="J309" s="140"/>
      <c r="K309" s="140"/>
      <c r="L309" s="140"/>
      <c r="M309" s="140"/>
      <c r="N309" s="140"/>
      <c r="O309" s="140"/>
      <c r="P309" s="140"/>
      <c r="Q309" s="140"/>
      <c r="R309" s="140"/>
      <c r="S309" s="140" t="s">
        <v>309</v>
      </c>
      <c r="T309" s="139" t="s">
        <v>510</v>
      </c>
      <c r="U309" s="122">
        <f>П6ВСР!Z465</f>
        <v>8350390.7999999998</v>
      </c>
      <c r="V309" s="122">
        <f>П6ВСР!AA465</f>
        <v>8350390.7999999998</v>
      </c>
      <c r="W309" s="122">
        <f>П6ВСР!AB465</f>
        <v>8350390.7999999998</v>
      </c>
      <c r="X309" s="120" t="s">
        <v>510</v>
      </c>
    </row>
    <row r="310" spans="1:24" ht="121.5" hidden="1" customHeight="1" x14ac:dyDescent="0.25">
      <c r="A310" s="120"/>
      <c r="B310" s="138" t="s">
        <v>126</v>
      </c>
      <c r="C310" s="138" t="s">
        <v>122</v>
      </c>
      <c r="D310" s="138" t="s">
        <v>616</v>
      </c>
      <c r="E310" s="138"/>
      <c r="F310" s="138"/>
      <c r="G310" s="138"/>
      <c r="H310" s="138"/>
      <c r="I310" s="138"/>
      <c r="J310" s="138"/>
      <c r="K310" s="138"/>
      <c r="L310" s="138"/>
      <c r="M310" s="138"/>
      <c r="N310" s="138"/>
      <c r="O310" s="138"/>
      <c r="P310" s="138"/>
      <c r="Q310" s="138"/>
      <c r="R310" s="138"/>
      <c r="S310" s="138"/>
      <c r="T310" s="162" t="s">
        <v>615</v>
      </c>
      <c r="U310" s="122">
        <f>U311</f>
        <v>0</v>
      </c>
      <c r="V310" s="122">
        <f>V311</f>
        <v>0</v>
      </c>
      <c r="W310" s="122">
        <f>W311</f>
        <v>0</v>
      </c>
      <c r="X310" s="120"/>
    </row>
    <row r="311" spans="1:24" ht="85.5" hidden="1" customHeight="1" x14ac:dyDescent="0.25">
      <c r="A311" s="120"/>
      <c r="B311" s="144" t="s">
        <v>126</v>
      </c>
      <c r="C311" s="144" t="s">
        <v>122</v>
      </c>
      <c r="D311" s="138" t="s">
        <v>616</v>
      </c>
      <c r="E311" s="144"/>
      <c r="F311" s="144"/>
      <c r="G311" s="144"/>
      <c r="H311" s="144"/>
      <c r="I311" s="144"/>
      <c r="J311" s="144"/>
      <c r="K311" s="144"/>
      <c r="L311" s="144"/>
      <c r="M311" s="144"/>
      <c r="N311" s="144"/>
      <c r="O311" s="144"/>
      <c r="P311" s="144"/>
      <c r="Q311" s="144"/>
      <c r="R311" s="144"/>
      <c r="S311" s="144" t="s">
        <v>290</v>
      </c>
      <c r="T311" s="139" t="s">
        <v>397</v>
      </c>
      <c r="U311" s="247">
        <f>П6ВСР!Z210</f>
        <v>0</v>
      </c>
      <c r="V311" s="122">
        <f>П6ВСР!AA210</f>
        <v>0</v>
      </c>
      <c r="W311" s="122">
        <f>П6ВСР!AB210</f>
        <v>0</v>
      </c>
      <c r="X311" s="120"/>
    </row>
    <row r="312" spans="1:24" ht="133.5" customHeight="1" x14ac:dyDescent="0.25">
      <c r="A312" s="120" t="s">
        <v>396</v>
      </c>
      <c r="B312" s="138" t="s">
        <v>126</v>
      </c>
      <c r="C312" s="138" t="s">
        <v>122</v>
      </c>
      <c r="D312" s="138" t="s">
        <v>618</v>
      </c>
      <c r="E312" s="138"/>
      <c r="F312" s="138"/>
      <c r="G312" s="138"/>
      <c r="H312" s="138"/>
      <c r="I312" s="138"/>
      <c r="J312" s="138"/>
      <c r="K312" s="138"/>
      <c r="L312" s="138"/>
      <c r="M312" s="138"/>
      <c r="N312" s="138"/>
      <c r="O312" s="138"/>
      <c r="P312" s="138"/>
      <c r="Q312" s="138"/>
      <c r="R312" s="138"/>
      <c r="S312" s="138"/>
      <c r="T312" s="162" t="s">
        <v>617</v>
      </c>
      <c r="U312" s="247">
        <f>U313</f>
        <v>100000</v>
      </c>
      <c r="V312" s="122">
        <f>V313</f>
        <v>100000</v>
      </c>
      <c r="W312" s="122">
        <f>W313</f>
        <v>50000</v>
      </c>
      <c r="X312" s="120" t="s">
        <v>396</v>
      </c>
    </row>
    <row r="313" spans="1:24" ht="80.25" customHeight="1" x14ac:dyDescent="0.25">
      <c r="A313" s="120" t="s">
        <v>397</v>
      </c>
      <c r="B313" s="144" t="s">
        <v>126</v>
      </c>
      <c r="C313" s="144" t="s">
        <v>122</v>
      </c>
      <c r="D313" s="138" t="s">
        <v>618</v>
      </c>
      <c r="E313" s="144"/>
      <c r="F313" s="144"/>
      <c r="G313" s="144"/>
      <c r="H313" s="144"/>
      <c r="I313" s="144"/>
      <c r="J313" s="144"/>
      <c r="K313" s="144"/>
      <c r="L313" s="144"/>
      <c r="M313" s="144"/>
      <c r="N313" s="144"/>
      <c r="O313" s="144"/>
      <c r="P313" s="144"/>
      <c r="Q313" s="144"/>
      <c r="R313" s="144"/>
      <c r="S313" s="144" t="s">
        <v>290</v>
      </c>
      <c r="T313" s="139" t="s">
        <v>397</v>
      </c>
      <c r="U313" s="247">
        <f>П6ВСР!Z212</f>
        <v>100000</v>
      </c>
      <c r="V313" s="122">
        <f>П6ВСР!AA212</f>
        <v>100000</v>
      </c>
      <c r="W313" s="122">
        <f>П6ВСР!AB212</f>
        <v>50000</v>
      </c>
      <c r="X313" s="120" t="s">
        <v>397</v>
      </c>
    </row>
    <row r="314" spans="1:24" ht="178.5" customHeight="1" x14ac:dyDescent="0.25">
      <c r="A314" s="120" t="s">
        <v>398</v>
      </c>
      <c r="B314" s="138" t="s">
        <v>126</v>
      </c>
      <c r="C314" s="138" t="s">
        <v>122</v>
      </c>
      <c r="D314" s="138" t="s">
        <v>620</v>
      </c>
      <c r="E314" s="138"/>
      <c r="F314" s="138"/>
      <c r="G314" s="138"/>
      <c r="H314" s="138"/>
      <c r="I314" s="138"/>
      <c r="J314" s="138"/>
      <c r="K314" s="138"/>
      <c r="L314" s="138"/>
      <c r="M314" s="138"/>
      <c r="N314" s="138"/>
      <c r="O314" s="138"/>
      <c r="P314" s="138"/>
      <c r="Q314" s="138"/>
      <c r="R314" s="138"/>
      <c r="S314" s="138"/>
      <c r="T314" s="162" t="s">
        <v>619</v>
      </c>
      <c r="U314" s="122">
        <f>U315</f>
        <v>500000</v>
      </c>
      <c r="V314" s="122">
        <f>V315</f>
        <v>500000</v>
      </c>
      <c r="W314" s="122">
        <f>W315</f>
        <v>100000</v>
      </c>
      <c r="X314" s="120" t="s">
        <v>398</v>
      </c>
    </row>
    <row r="315" spans="1:24" ht="95.25" customHeight="1" x14ac:dyDescent="0.25">
      <c r="A315" s="120" t="s">
        <v>399</v>
      </c>
      <c r="B315" s="144" t="s">
        <v>126</v>
      </c>
      <c r="C315" s="144" t="s">
        <v>122</v>
      </c>
      <c r="D315" s="138" t="s">
        <v>620</v>
      </c>
      <c r="E315" s="144"/>
      <c r="F315" s="144"/>
      <c r="G315" s="144"/>
      <c r="H315" s="144"/>
      <c r="I315" s="144"/>
      <c r="J315" s="144"/>
      <c r="K315" s="144"/>
      <c r="L315" s="144"/>
      <c r="M315" s="144"/>
      <c r="N315" s="144"/>
      <c r="O315" s="144"/>
      <c r="P315" s="144"/>
      <c r="Q315" s="144"/>
      <c r="R315" s="144"/>
      <c r="S315" s="144" t="s">
        <v>290</v>
      </c>
      <c r="T315" s="139" t="s">
        <v>399</v>
      </c>
      <c r="U315" s="122">
        <f>П6ВСР!Z214</f>
        <v>500000</v>
      </c>
      <c r="V315" s="122">
        <f>П6ВСР!AA214</f>
        <v>500000</v>
      </c>
      <c r="W315" s="122">
        <f>П6ВСР!AB214</f>
        <v>100000</v>
      </c>
      <c r="X315" s="120" t="s">
        <v>399</v>
      </c>
    </row>
    <row r="316" spans="1:24" ht="125.25" hidden="1" customHeight="1" x14ac:dyDescent="0.25">
      <c r="A316" s="120"/>
      <c r="B316" s="144" t="s">
        <v>126</v>
      </c>
      <c r="C316" s="144" t="s">
        <v>122</v>
      </c>
      <c r="D316" s="263" t="s">
        <v>620</v>
      </c>
      <c r="E316" s="144"/>
      <c r="F316" s="144"/>
      <c r="G316" s="144"/>
      <c r="H316" s="144"/>
      <c r="I316" s="144"/>
      <c r="J316" s="144"/>
      <c r="K316" s="144"/>
      <c r="L316" s="144"/>
      <c r="M316" s="144"/>
      <c r="N316" s="144"/>
      <c r="O316" s="144"/>
      <c r="P316" s="144"/>
      <c r="Q316" s="144"/>
      <c r="R316" s="144"/>
      <c r="S316" s="144"/>
      <c r="T316" s="162" t="s">
        <v>830</v>
      </c>
      <c r="U316" s="122">
        <f>U317</f>
        <v>0</v>
      </c>
      <c r="V316" s="122">
        <v>0</v>
      </c>
      <c r="W316" s="122">
        <v>0</v>
      </c>
      <c r="X316" s="120"/>
    </row>
    <row r="317" spans="1:24" ht="38.25" hidden="1" customHeight="1" x14ac:dyDescent="0.25">
      <c r="A317" s="120"/>
      <c r="B317" s="144" t="s">
        <v>126</v>
      </c>
      <c r="C317" s="144" t="s">
        <v>122</v>
      </c>
      <c r="D317" s="263" t="s">
        <v>620</v>
      </c>
      <c r="E317" s="144"/>
      <c r="F317" s="144"/>
      <c r="G317" s="144"/>
      <c r="H317" s="144"/>
      <c r="I317" s="144"/>
      <c r="J317" s="144"/>
      <c r="K317" s="144"/>
      <c r="L317" s="144"/>
      <c r="M317" s="144"/>
      <c r="N317" s="144"/>
      <c r="O317" s="144"/>
      <c r="P317" s="144"/>
      <c r="Q317" s="144"/>
      <c r="R317" s="144"/>
      <c r="S317" s="144" t="s">
        <v>443</v>
      </c>
      <c r="T317" s="162" t="s">
        <v>875</v>
      </c>
      <c r="U317" s="122">
        <f>П6ВСР!Z332</f>
        <v>0</v>
      </c>
      <c r="V317" s="122">
        <v>0</v>
      </c>
      <c r="W317" s="122">
        <v>0</v>
      </c>
      <c r="X317" s="120"/>
    </row>
    <row r="318" spans="1:24" ht="147" hidden="1" customHeight="1" x14ac:dyDescent="0.25">
      <c r="A318" s="120" t="s">
        <v>400</v>
      </c>
      <c r="B318" s="138" t="s">
        <v>126</v>
      </c>
      <c r="C318" s="138" t="s">
        <v>122</v>
      </c>
      <c r="D318" s="138" t="s">
        <v>622</v>
      </c>
      <c r="E318" s="138"/>
      <c r="F318" s="138"/>
      <c r="G318" s="138"/>
      <c r="H318" s="138"/>
      <c r="I318" s="138"/>
      <c r="J318" s="138"/>
      <c r="K318" s="138"/>
      <c r="L318" s="138"/>
      <c r="M318" s="138"/>
      <c r="N318" s="138"/>
      <c r="O318" s="138"/>
      <c r="P318" s="138"/>
      <c r="Q318" s="138"/>
      <c r="R318" s="138"/>
      <c r="S318" s="138"/>
      <c r="T318" s="162" t="s">
        <v>621</v>
      </c>
      <c r="U318" s="122">
        <f>U319</f>
        <v>0</v>
      </c>
      <c r="V318" s="122">
        <f>V319</f>
        <v>0</v>
      </c>
      <c r="W318" s="122">
        <f>W319</f>
        <v>0</v>
      </c>
      <c r="X318" s="120" t="s">
        <v>400</v>
      </c>
    </row>
    <row r="319" spans="1:24" ht="64.5" hidden="1" customHeight="1" x14ac:dyDescent="0.25">
      <c r="A319" s="120" t="s">
        <v>401</v>
      </c>
      <c r="B319" s="144" t="s">
        <v>126</v>
      </c>
      <c r="C319" s="144" t="s">
        <v>122</v>
      </c>
      <c r="D319" s="138" t="s">
        <v>622</v>
      </c>
      <c r="E319" s="144"/>
      <c r="F319" s="144"/>
      <c r="G319" s="144"/>
      <c r="H319" s="144"/>
      <c r="I319" s="144"/>
      <c r="J319" s="144"/>
      <c r="K319" s="144"/>
      <c r="L319" s="144"/>
      <c r="M319" s="144"/>
      <c r="N319" s="144"/>
      <c r="O319" s="144"/>
      <c r="P319" s="144"/>
      <c r="Q319" s="144"/>
      <c r="R319" s="144"/>
      <c r="S319" s="144" t="s">
        <v>366</v>
      </c>
      <c r="T319" s="139" t="s">
        <v>837</v>
      </c>
      <c r="U319" s="122">
        <f>П6ВСР!Z216</f>
        <v>0</v>
      </c>
      <c r="V319" s="122">
        <f>П6ВСР!AA216</f>
        <v>0</v>
      </c>
      <c r="W319" s="122">
        <f>П6ВСР!AB216</f>
        <v>0</v>
      </c>
      <c r="X319" s="120" t="s">
        <v>401</v>
      </c>
    </row>
    <row r="320" spans="1:24" ht="92.25" customHeight="1" x14ac:dyDescent="0.25">
      <c r="A320" s="120" t="s">
        <v>242</v>
      </c>
      <c r="B320" s="138" t="s">
        <v>126</v>
      </c>
      <c r="C320" s="138" t="s">
        <v>122</v>
      </c>
      <c r="D320" s="138" t="s">
        <v>623</v>
      </c>
      <c r="E320" s="138"/>
      <c r="F320" s="138"/>
      <c r="G320" s="138"/>
      <c r="H320" s="138"/>
      <c r="I320" s="138"/>
      <c r="J320" s="138"/>
      <c r="K320" s="138"/>
      <c r="L320" s="138"/>
      <c r="M320" s="138"/>
      <c r="N320" s="138"/>
      <c r="O320" s="138"/>
      <c r="P320" s="138"/>
      <c r="Q320" s="138"/>
      <c r="R320" s="138"/>
      <c r="S320" s="138"/>
      <c r="T320" s="162" t="s">
        <v>242</v>
      </c>
      <c r="U320" s="122">
        <f>U321</f>
        <v>350000</v>
      </c>
      <c r="V320" s="122">
        <f>V321</f>
        <v>400000</v>
      </c>
      <c r="W320" s="122">
        <f>W321</f>
        <v>100000</v>
      </c>
      <c r="X320" s="120" t="s">
        <v>242</v>
      </c>
    </row>
    <row r="321" spans="1:24" ht="159" customHeight="1" x14ac:dyDescent="0.25">
      <c r="A321" s="120" t="s">
        <v>402</v>
      </c>
      <c r="B321" s="144" t="s">
        <v>126</v>
      </c>
      <c r="C321" s="144" t="s">
        <v>122</v>
      </c>
      <c r="D321" s="138" t="s">
        <v>623</v>
      </c>
      <c r="E321" s="144"/>
      <c r="F321" s="144"/>
      <c r="G321" s="144"/>
      <c r="H321" s="144"/>
      <c r="I321" s="144"/>
      <c r="J321" s="144"/>
      <c r="K321" s="144"/>
      <c r="L321" s="144"/>
      <c r="M321" s="144"/>
      <c r="N321" s="144"/>
      <c r="O321" s="144"/>
      <c r="P321" s="144"/>
      <c r="Q321" s="144"/>
      <c r="R321" s="144"/>
      <c r="S321" s="144" t="s">
        <v>290</v>
      </c>
      <c r="T321" s="139" t="s">
        <v>402</v>
      </c>
      <c r="U321" s="122">
        <f>П6ВСР!Z218</f>
        <v>350000</v>
      </c>
      <c r="V321" s="122">
        <f>П6ВСР!AA218</f>
        <v>400000</v>
      </c>
      <c r="W321" s="122">
        <f>П6ВСР!AB218</f>
        <v>100000</v>
      </c>
      <c r="X321" s="120" t="s">
        <v>402</v>
      </c>
    </row>
    <row r="322" spans="1:24" ht="0.75" hidden="1" customHeight="1" x14ac:dyDescent="0.25">
      <c r="A322" s="118" t="s">
        <v>403</v>
      </c>
      <c r="B322" s="129"/>
      <c r="C322" s="129"/>
      <c r="D322" s="129"/>
      <c r="E322" s="129"/>
      <c r="F322" s="129"/>
      <c r="G322" s="129"/>
      <c r="H322" s="129"/>
      <c r="I322" s="129"/>
      <c r="J322" s="129"/>
      <c r="K322" s="129"/>
      <c r="L322" s="129"/>
      <c r="M322" s="129"/>
      <c r="N322" s="129"/>
      <c r="O322" s="129"/>
      <c r="P322" s="129"/>
      <c r="Q322" s="129"/>
      <c r="R322" s="129"/>
      <c r="S322" s="129"/>
      <c r="T322" s="118"/>
      <c r="U322" s="119"/>
      <c r="V322" s="119"/>
      <c r="W322" s="119"/>
      <c r="X322" s="118" t="s">
        <v>403</v>
      </c>
    </row>
    <row r="323" spans="1:24" ht="36.75" hidden="1" customHeight="1" x14ac:dyDescent="0.25">
      <c r="A323" s="120" t="s">
        <v>161</v>
      </c>
      <c r="B323" s="121"/>
      <c r="C323" s="121"/>
      <c r="D323" s="121"/>
      <c r="E323" s="121"/>
      <c r="F323" s="121"/>
      <c r="G323" s="121"/>
      <c r="H323" s="121"/>
      <c r="I323" s="121"/>
      <c r="J323" s="121"/>
      <c r="K323" s="121"/>
      <c r="L323" s="121"/>
      <c r="M323" s="121"/>
      <c r="N323" s="121"/>
      <c r="O323" s="121"/>
      <c r="P323" s="121"/>
      <c r="Q323" s="121"/>
      <c r="R323" s="121"/>
      <c r="S323" s="121"/>
      <c r="T323" s="120"/>
      <c r="U323" s="122"/>
      <c r="V323" s="122"/>
      <c r="W323" s="122"/>
      <c r="X323" s="120" t="s">
        <v>161</v>
      </c>
    </row>
    <row r="324" spans="1:24" ht="256.5" hidden="1" customHeight="1" x14ac:dyDescent="0.25">
      <c r="A324" s="126" t="s">
        <v>227</v>
      </c>
      <c r="B324" s="138"/>
      <c r="C324" s="138"/>
      <c r="D324" s="138"/>
      <c r="E324" s="138"/>
      <c r="F324" s="138"/>
      <c r="G324" s="138"/>
      <c r="H324" s="138"/>
      <c r="I324" s="138"/>
      <c r="J324" s="138"/>
      <c r="K324" s="138"/>
      <c r="L324" s="138"/>
      <c r="M324" s="138"/>
      <c r="N324" s="138"/>
      <c r="O324" s="138"/>
      <c r="P324" s="138"/>
      <c r="Q324" s="138"/>
      <c r="R324" s="138"/>
      <c r="S324" s="138"/>
      <c r="T324" s="165"/>
      <c r="U324" s="122"/>
      <c r="V324" s="122"/>
      <c r="W324" s="122"/>
      <c r="X324" s="126" t="s">
        <v>227</v>
      </c>
    </row>
    <row r="325" spans="1:24" ht="122.25" hidden="1" customHeight="1" x14ac:dyDescent="0.25">
      <c r="A325" s="126" t="s">
        <v>404</v>
      </c>
      <c r="B325" s="144"/>
      <c r="C325" s="144"/>
      <c r="D325" s="138"/>
      <c r="E325" s="144"/>
      <c r="F325" s="144"/>
      <c r="G325" s="144"/>
      <c r="H325" s="144"/>
      <c r="I325" s="144"/>
      <c r="J325" s="144"/>
      <c r="K325" s="144"/>
      <c r="L325" s="144"/>
      <c r="M325" s="144"/>
      <c r="N325" s="144"/>
      <c r="O325" s="144"/>
      <c r="P325" s="144"/>
      <c r="Q325" s="144"/>
      <c r="R325" s="144"/>
      <c r="S325" s="144"/>
      <c r="T325" s="164"/>
      <c r="U325" s="122"/>
      <c r="V325" s="122"/>
      <c r="W325" s="122"/>
      <c r="X325" s="126" t="s">
        <v>404</v>
      </c>
    </row>
    <row r="326" spans="1:24" ht="55.5" hidden="1" customHeight="1" x14ac:dyDescent="0.25">
      <c r="A326" s="126" t="s">
        <v>405</v>
      </c>
      <c r="B326" s="144"/>
      <c r="C326" s="144"/>
      <c r="D326" s="138"/>
      <c r="E326" s="144"/>
      <c r="F326" s="144"/>
      <c r="G326" s="144"/>
      <c r="H326" s="144"/>
      <c r="I326" s="144"/>
      <c r="J326" s="144"/>
      <c r="K326" s="144"/>
      <c r="L326" s="144"/>
      <c r="M326" s="144"/>
      <c r="N326" s="144"/>
      <c r="O326" s="144"/>
      <c r="P326" s="144"/>
      <c r="Q326" s="144"/>
      <c r="R326" s="144"/>
      <c r="S326" s="144"/>
      <c r="T326" s="164"/>
      <c r="U326" s="122"/>
      <c r="V326" s="122"/>
      <c r="W326" s="122"/>
      <c r="X326" s="126" t="s">
        <v>405</v>
      </c>
    </row>
    <row r="327" spans="1:24" ht="18.600000000000001" customHeight="1" x14ac:dyDescent="0.25">
      <c r="A327" s="118" t="s">
        <v>406</v>
      </c>
      <c r="B327" s="129" t="s">
        <v>143</v>
      </c>
      <c r="C327" s="129" t="s">
        <v>133</v>
      </c>
      <c r="D327" s="129"/>
      <c r="E327" s="129"/>
      <c r="F327" s="129"/>
      <c r="G327" s="129"/>
      <c r="H327" s="129"/>
      <c r="I327" s="129"/>
      <c r="J327" s="129"/>
      <c r="K327" s="129"/>
      <c r="L327" s="129"/>
      <c r="M327" s="129"/>
      <c r="N327" s="129"/>
      <c r="O327" s="129"/>
      <c r="P327" s="129"/>
      <c r="Q327" s="129"/>
      <c r="R327" s="129"/>
      <c r="S327" s="129"/>
      <c r="T327" s="118" t="s">
        <v>406</v>
      </c>
      <c r="U327" s="119">
        <f>U328+U334+U350+U370</f>
        <v>35274770.399999999</v>
      </c>
      <c r="V327" s="119">
        <f>V328+V334+V350+V370</f>
        <v>35567316.020000003</v>
      </c>
      <c r="W327" s="119">
        <f>W328+W334+W350+W370</f>
        <v>35217636.019999996</v>
      </c>
      <c r="X327" s="118" t="s">
        <v>406</v>
      </c>
    </row>
    <row r="328" spans="1:24" ht="18.600000000000001" customHeight="1" x14ac:dyDescent="0.25">
      <c r="A328" s="120" t="s">
        <v>162</v>
      </c>
      <c r="B328" s="121" t="s">
        <v>143</v>
      </c>
      <c r="C328" s="121" t="s">
        <v>122</v>
      </c>
      <c r="D328" s="121"/>
      <c r="E328" s="121"/>
      <c r="F328" s="121"/>
      <c r="G328" s="121"/>
      <c r="H328" s="121"/>
      <c r="I328" s="121"/>
      <c r="J328" s="121"/>
      <c r="K328" s="121"/>
      <c r="L328" s="121"/>
      <c r="M328" s="121"/>
      <c r="N328" s="121"/>
      <c r="O328" s="121"/>
      <c r="P328" s="121"/>
      <c r="Q328" s="121"/>
      <c r="R328" s="121"/>
      <c r="S328" s="121"/>
      <c r="T328" s="120" t="s">
        <v>162</v>
      </c>
      <c r="U328" s="122">
        <f>U329+U331</f>
        <v>2096470.4</v>
      </c>
      <c r="V328" s="122">
        <f>V329+V331</f>
        <v>2160716.02</v>
      </c>
      <c r="W328" s="122">
        <f>W329+W331</f>
        <v>2161036.02</v>
      </c>
      <c r="X328" s="120" t="s">
        <v>162</v>
      </c>
    </row>
    <row r="329" spans="1:24" ht="111.75" customHeight="1" x14ac:dyDescent="0.25">
      <c r="A329" s="120" t="s">
        <v>407</v>
      </c>
      <c r="B329" s="172" t="s">
        <v>143</v>
      </c>
      <c r="C329" s="172" t="s">
        <v>122</v>
      </c>
      <c r="D329" s="172" t="s">
        <v>655</v>
      </c>
      <c r="E329" s="172"/>
      <c r="F329" s="172"/>
      <c r="G329" s="172"/>
      <c r="H329" s="172"/>
      <c r="I329" s="172"/>
      <c r="J329" s="172"/>
      <c r="K329" s="172"/>
      <c r="L329" s="172"/>
      <c r="M329" s="172"/>
      <c r="N329" s="172"/>
      <c r="O329" s="172"/>
      <c r="P329" s="172"/>
      <c r="Q329" s="172"/>
      <c r="R329" s="172"/>
      <c r="S329" s="172"/>
      <c r="T329" s="162" t="s">
        <v>407</v>
      </c>
      <c r="U329" s="122">
        <f>U330</f>
        <v>1640707.4</v>
      </c>
      <c r="V329" s="122">
        <f>V330</f>
        <v>1640708.02</v>
      </c>
      <c r="W329" s="122">
        <f>W330</f>
        <v>1640708.02</v>
      </c>
      <c r="X329" s="120" t="s">
        <v>407</v>
      </c>
    </row>
    <row r="330" spans="1:24" ht="126" customHeight="1" x14ac:dyDescent="0.25">
      <c r="A330" s="120" t="s">
        <v>408</v>
      </c>
      <c r="B330" s="140" t="s">
        <v>143</v>
      </c>
      <c r="C330" s="140" t="s">
        <v>122</v>
      </c>
      <c r="D330" s="172" t="s">
        <v>655</v>
      </c>
      <c r="E330" s="140"/>
      <c r="F330" s="140"/>
      <c r="G330" s="140"/>
      <c r="H330" s="140"/>
      <c r="I330" s="140"/>
      <c r="J330" s="140"/>
      <c r="K330" s="140"/>
      <c r="L330" s="140"/>
      <c r="M330" s="140"/>
      <c r="N330" s="140"/>
      <c r="O330" s="140"/>
      <c r="P330" s="140"/>
      <c r="Q330" s="140"/>
      <c r="R330" s="140"/>
      <c r="S330" s="140" t="s">
        <v>409</v>
      </c>
      <c r="T330" s="139" t="s">
        <v>408</v>
      </c>
      <c r="U330" s="122">
        <f>П6ВСР!Z227</f>
        <v>1640707.4</v>
      </c>
      <c r="V330" s="122">
        <f>П6ВСР!AA227</f>
        <v>1640708.02</v>
      </c>
      <c r="W330" s="122">
        <f>П6ВСР!AB227</f>
        <v>1640708.02</v>
      </c>
      <c r="X330" s="120" t="s">
        <v>408</v>
      </c>
    </row>
    <row r="331" spans="1:24" ht="178.5" customHeight="1" x14ac:dyDescent="0.25">
      <c r="A331" s="126" t="s">
        <v>485</v>
      </c>
      <c r="B331" s="140" t="s">
        <v>143</v>
      </c>
      <c r="C331" s="140" t="s">
        <v>122</v>
      </c>
      <c r="D331" s="172" t="s">
        <v>656</v>
      </c>
      <c r="E331" s="140"/>
      <c r="F331" s="140"/>
      <c r="G331" s="140"/>
      <c r="H331" s="140"/>
      <c r="I331" s="140"/>
      <c r="J331" s="140"/>
      <c r="K331" s="140"/>
      <c r="L331" s="140"/>
      <c r="M331" s="140"/>
      <c r="N331" s="140"/>
      <c r="O331" s="140"/>
      <c r="P331" s="140"/>
      <c r="Q331" s="140"/>
      <c r="R331" s="140"/>
      <c r="S331" s="140"/>
      <c r="T331" s="165" t="s">
        <v>485</v>
      </c>
      <c r="U331" s="122">
        <f>U333+U332</f>
        <v>455763</v>
      </c>
      <c r="V331" s="122">
        <f>V333+V332</f>
        <v>520008</v>
      </c>
      <c r="W331" s="122">
        <f>W333+W332</f>
        <v>520328</v>
      </c>
      <c r="X331" s="126" t="s">
        <v>485</v>
      </c>
    </row>
    <row r="332" spans="1:24" ht="216" customHeight="1" x14ac:dyDescent="0.25">
      <c r="A332" s="126"/>
      <c r="B332" s="140" t="s">
        <v>143</v>
      </c>
      <c r="C332" s="140" t="s">
        <v>122</v>
      </c>
      <c r="D332" s="172" t="s">
        <v>656</v>
      </c>
      <c r="E332" s="140"/>
      <c r="F332" s="140"/>
      <c r="G332" s="140"/>
      <c r="H332" s="140"/>
      <c r="I332" s="140"/>
      <c r="J332" s="140"/>
      <c r="K332" s="140"/>
      <c r="L332" s="140"/>
      <c r="M332" s="140"/>
      <c r="N332" s="140"/>
      <c r="O332" s="140"/>
      <c r="P332" s="140"/>
      <c r="Q332" s="140"/>
      <c r="R332" s="140"/>
      <c r="S332" s="140" t="s">
        <v>290</v>
      </c>
      <c r="T332" s="164" t="s">
        <v>887</v>
      </c>
      <c r="U332" s="122">
        <f>П6ВСР!Z413</f>
        <v>30963</v>
      </c>
      <c r="V332" s="122">
        <f>П6ВСР!AA413</f>
        <v>40480</v>
      </c>
      <c r="W332" s="122">
        <f>П6ВСР!AB413</f>
        <v>40480</v>
      </c>
      <c r="X332" s="126"/>
    </row>
    <row r="333" spans="1:24" ht="204.75" customHeight="1" x14ac:dyDescent="0.25">
      <c r="A333" s="126" t="s">
        <v>486</v>
      </c>
      <c r="B333" s="140" t="s">
        <v>143</v>
      </c>
      <c r="C333" s="140" t="s">
        <v>122</v>
      </c>
      <c r="D333" s="172" t="s">
        <v>656</v>
      </c>
      <c r="E333" s="140"/>
      <c r="F333" s="140"/>
      <c r="G333" s="140"/>
      <c r="H333" s="140"/>
      <c r="I333" s="140"/>
      <c r="J333" s="140"/>
      <c r="K333" s="140"/>
      <c r="L333" s="140"/>
      <c r="M333" s="140"/>
      <c r="N333" s="140"/>
      <c r="O333" s="140"/>
      <c r="P333" s="140"/>
      <c r="Q333" s="140"/>
      <c r="R333" s="140"/>
      <c r="S333" s="140" t="s">
        <v>409</v>
      </c>
      <c r="T333" s="164" t="s">
        <v>486</v>
      </c>
      <c r="U333" s="122">
        <f>П6ВСР!Z229+П6ВСР!Z414</f>
        <v>424800</v>
      </c>
      <c r="V333" s="122">
        <f>П6ВСР!AA229+П6ВСР!AA414</f>
        <v>479528</v>
      </c>
      <c r="W333" s="122">
        <f>П6ВСР!AB229+П6ВСР!AB414</f>
        <v>479848</v>
      </c>
      <c r="X333" s="126" t="s">
        <v>486</v>
      </c>
    </row>
    <row r="334" spans="1:24" ht="18.600000000000001" customHeight="1" x14ac:dyDescent="0.25">
      <c r="A334" s="120" t="s">
        <v>163</v>
      </c>
      <c r="B334" s="121" t="s">
        <v>143</v>
      </c>
      <c r="C334" s="121" t="s">
        <v>123</v>
      </c>
      <c r="D334" s="121"/>
      <c r="E334" s="121"/>
      <c r="F334" s="121"/>
      <c r="G334" s="121"/>
      <c r="H334" s="121"/>
      <c r="I334" s="121"/>
      <c r="J334" s="121"/>
      <c r="K334" s="121"/>
      <c r="L334" s="121"/>
      <c r="M334" s="121"/>
      <c r="N334" s="121"/>
      <c r="O334" s="121"/>
      <c r="P334" s="121"/>
      <c r="Q334" s="121"/>
      <c r="R334" s="121"/>
      <c r="S334" s="121"/>
      <c r="T334" s="120" t="s">
        <v>163</v>
      </c>
      <c r="U334" s="122">
        <f>U335+U341+U343+U345+U348+U337+U339</f>
        <v>671000</v>
      </c>
      <c r="V334" s="122">
        <f>V335+V341+V343+V345+V348+V337+V339</f>
        <v>780000</v>
      </c>
      <c r="W334" s="122">
        <f>W335+W341+W343+W345+W348+W337+W339</f>
        <v>430000</v>
      </c>
      <c r="X334" s="120" t="s">
        <v>163</v>
      </c>
    </row>
    <row r="335" spans="1:24" ht="183" customHeight="1" x14ac:dyDescent="0.25">
      <c r="A335" s="120" t="s">
        <v>410</v>
      </c>
      <c r="B335" s="172" t="s">
        <v>143</v>
      </c>
      <c r="C335" s="172" t="s">
        <v>123</v>
      </c>
      <c r="D335" s="172" t="s">
        <v>658</v>
      </c>
      <c r="E335" s="172"/>
      <c r="F335" s="172"/>
      <c r="G335" s="172"/>
      <c r="H335" s="172"/>
      <c r="I335" s="172"/>
      <c r="J335" s="172"/>
      <c r="K335" s="172"/>
      <c r="L335" s="172"/>
      <c r="M335" s="172"/>
      <c r="N335" s="172"/>
      <c r="O335" s="172"/>
      <c r="P335" s="172"/>
      <c r="Q335" s="172"/>
      <c r="R335" s="172"/>
      <c r="S335" s="172"/>
      <c r="T335" s="162" t="s">
        <v>657</v>
      </c>
      <c r="U335" s="122">
        <f>U336</f>
        <v>50000</v>
      </c>
      <c r="V335" s="122">
        <f>V336</f>
        <v>100000</v>
      </c>
      <c r="W335" s="122">
        <f>W336</f>
        <v>50000</v>
      </c>
      <c r="X335" s="120" t="s">
        <v>410</v>
      </c>
    </row>
    <row r="336" spans="1:24" ht="109.5" customHeight="1" x14ac:dyDescent="0.25">
      <c r="A336" s="120" t="s">
        <v>411</v>
      </c>
      <c r="B336" s="140" t="s">
        <v>143</v>
      </c>
      <c r="C336" s="140" t="s">
        <v>123</v>
      </c>
      <c r="D336" s="172" t="s">
        <v>658</v>
      </c>
      <c r="E336" s="140"/>
      <c r="F336" s="140"/>
      <c r="G336" s="140"/>
      <c r="H336" s="140"/>
      <c r="I336" s="140"/>
      <c r="J336" s="140"/>
      <c r="K336" s="140"/>
      <c r="L336" s="140"/>
      <c r="M336" s="140"/>
      <c r="N336" s="140"/>
      <c r="O336" s="140"/>
      <c r="P336" s="140"/>
      <c r="Q336" s="140"/>
      <c r="R336" s="140"/>
      <c r="S336" s="140" t="s">
        <v>290</v>
      </c>
      <c r="T336" s="139" t="s">
        <v>411</v>
      </c>
      <c r="U336" s="122">
        <f>П6ВСР!Z232</f>
        <v>50000</v>
      </c>
      <c r="V336" s="122">
        <f>П6ВСР!AA232</f>
        <v>100000</v>
      </c>
      <c r="W336" s="122">
        <f>П6ВСР!AB232</f>
        <v>50000</v>
      </c>
      <c r="X336" s="120" t="s">
        <v>411</v>
      </c>
    </row>
    <row r="337" spans="1:24" ht="151.5" hidden="1" customHeight="1" x14ac:dyDescent="0.25">
      <c r="A337" s="120"/>
      <c r="B337" s="140" t="s">
        <v>143</v>
      </c>
      <c r="C337" s="140" t="s">
        <v>123</v>
      </c>
      <c r="D337" s="172" t="s">
        <v>913</v>
      </c>
      <c r="E337" s="140"/>
      <c r="F337" s="140"/>
      <c r="G337" s="140"/>
      <c r="H337" s="140"/>
      <c r="I337" s="140"/>
      <c r="J337" s="140"/>
      <c r="K337" s="140"/>
      <c r="L337" s="140"/>
      <c r="M337" s="140"/>
      <c r="N337" s="140"/>
      <c r="O337" s="140"/>
      <c r="P337" s="140"/>
      <c r="Q337" s="140"/>
      <c r="R337" s="140"/>
      <c r="S337" s="140"/>
      <c r="T337" s="248" t="s">
        <v>659</v>
      </c>
      <c r="U337" s="122">
        <f>U338</f>
        <v>0</v>
      </c>
      <c r="V337" s="122">
        <f>V338</f>
        <v>0</v>
      </c>
      <c r="W337" s="122">
        <f>W338</f>
        <v>0</v>
      </c>
      <c r="X337" s="120"/>
    </row>
    <row r="338" spans="1:24" ht="74.25" hidden="1" customHeight="1" x14ac:dyDescent="0.25">
      <c r="A338" s="120"/>
      <c r="B338" s="140" t="s">
        <v>143</v>
      </c>
      <c r="C338" s="140" t="s">
        <v>123</v>
      </c>
      <c r="D338" s="172" t="s">
        <v>913</v>
      </c>
      <c r="E338" s="140"/>
      <c r="F338" s="140"/>
      <c r="G338" s="140"/>
      <c r="H338" s="140"/>
      <c r="I338" s="140"/>
      <c r="J338" s="140"/>
      <c r="K338" s="140"/>
      <c r="L338" s="140"/>
      <c r="M338" s="140"/>
      <c r="N338" s="140"/>
      <c r="O338" s="140"/>
      <c r="P338" s="140"/>
      <c r="Q338" s="140"/>
      <c r="R338" s="140"/>
      <c r="S338" s="140" t="s">
        <v>409</v>
      </c>
      <c r="T338" s="298" t="s">
        <v>413</v>
      </c>
      <c r="U338" s="122">
        <f>П6ВСР!Z234</f>
        <v>0</v>
      </c>
      <c r="V338" s="122">
        <f>П6ВСР!AA234</f>
        <v>0</v>
      </c>
      <c r="W338" s="122">
        <f>П6ВСР!AB234</f>
        <v>0</v>
      </c>
      <c r="X338" s="120"/>
    </row>
    <row r="339" spans="1:24" ht="111.75" hidden="1" customHeight="1" x14ac:dyDescent="0.25">
      <c r="A339" s="120"/>
      <c r="B339" s="140" t="s">
        <v>143</v>
      </c>
      <c r="C339" s="140" t="s">
        <v>123</v>
      </c>
      <c r="D339" s="172" t="s">
        <v>913</v>
      </c>
      <c r="E339" s="140"/>
      <c r="F339" s="140"/>
      <c r="G339" s="140"/>
      <c r="H339" s="140"/>
      <c r="I339" s="140"/>
      <c r="J339" s="140"/>
      <c r="K339" s="140"/>
      <c r="L339" s="140"/>
      <c r="M339" s="140"/>
      <c r="N339" s="140"/>
      <c r="O339" s="140"/>
      <c r="P339" s="140"/>
      <c r="Q339" s="140"/>
      <c r="R339" s="140"/>
      <c r="S339" s="140"/>
      <c r="T339" s="162" t="s">
        <v>914</v>
      </c>
      <c r="U339" s="122">
        <f>U340</f>
        <v>0</v>
      </c>
      <c r="V339" s="122">
        <v>0</v>
      </c>
      <c r="W339" s="122">
        <v>0</v>
      </c>
      <c r="X339" s="120"/>
    </row>
    <row r="340" spans="1:24" ht="84.75" hidden="1" customHeight="1" x14ac:dyDescent="0.25">
      <c r="A340" s="120"/>
      <c r="B340" s="140" t="s">
        <v>143</v>
      </c>
      <c r="C340" s="140" t="s">
        <v>123</v>
      </c>
      <c r="D340" s="172" t="s">
        <v>913</v>
      </c>
      <c r="E340" s="140"/>
      <c r="F340" s="140"/>
      <c r="G340" s="140"/>
      <c r="H340" s="140"/>
      <c r="I340" s="140"/>
      <c r="J340" s="140"/>
      <c r="K340" s="140"/>
      <c r="L340" s="140"/>
      <c r="M340" s="140"/>
      <c r="N340" s="140"/>
      <c r="O340" s="140"/>
      <c r="P340" s="140"/>
      <c r="Q340" s="140"/>
      <c r="R340" s="140"/>
      <c r="S340" s="140" t="s">
        <v>409</v>
      </c>
      <c r="T340" s="298" t="s">
        <v>413</v>
      </c>
      <c r="U340" s="122">
        <f>П6ВСР!Z236</f>
        <v>0</v>
      </c>
      <c r="V340" s="122">
        <v>0</v>
      </c>
      <c r="W340" s="122">
        <v>0</v>
      </c>
      <c r="X340" s="120"/>
    </row>
    <row r="341" spans="1:24" ht="1.5" hidden="1" customHeight="1" x14ac:dyDescent="0.25">
      <c r="A341" s="120" t="s">
        <v>412</v>
      </c>
      <c r="B341" s="172" t="s">
        <v>143</v>
      </c>
      <c r="C341" s="172" t="s">
        <v>123</v>
      </c>
      <c r="D341" s="172" t="s">
        <v>660</v>
      </c>
      <c r="E341" s="172"/>
      <c r="F341" s="172"/>
      <c r="G341" s="172"/>
      <c r="H341" s="172"/>
      <c r="I341" s="172"/>
      <c r="J341" s="172"/>
      <c r="K341" s="172"/>
      <c r="L341" s="172"/>
      <c r="M341" s="172"/>
      <c r="N341" s="172"/>
      <c r="O341" s="172"/>
      <c r="P341" s="172"/>
      <c r="Q341" s="172"/>
      <c r="R341" s="172"/>
      <c r="S341" s="172"/>
      <c r="T341" s="162" t="s">
        <v>659</v>
      </c>
      <c r="U341" s="122">
        <f>U342</f>
        <v>0</v>
      </c>
      <c r="V341" s="122">
        <f>V342</f>
        <v>0</v>
      </c>
      <c r="W341" s="122">
        <f>W342</f>
        <v>0</v>
      </c>
      <c r="X341" s="120" t="s">
        <v>412</v>
      </c>
    </row>
    <row r="342" spans="1:24" ht="92.25" hidden="1" customHeight="1" x14ac:dyDescent="0.25">
      <c r="A342" s="120" t="s">
        <v>413</v>
      </c>
      <c r="B342" s="174" t="s">
        <v>143</v>
      </c>
      <c r="C342" s="174" t="s">
        <v>123</v>
      </c>
      <c r="D342" s="172" t="s">
        <v>660</v>
      </c>
      <c r="E342" s="174"/>
      <c r="F342" s="174"/>
      <c r="G342" s="174"/>
      <c r="H342" s="174"/>
      <c r="I342" s="174"/>
      <c r="J342" s="174"/>
      <c r="K342" s="174"/>
      <c r="L342" s="174"/>
      <c r="M342" s="174"/>
      <c r="N342" s="174"/>
      <c r="O342" s="174"/>
      <c r="P342" s="174"/>
      <c r="Q342" s="174"/>
      <c r="R342" s="174"/>
      <c r="S342" s="174" t="s">
        <v>409</v>
      </c>
      <c r="T342" s="173" t="s">
        <v>413</v>
      </c>
      <c r="U342" s="122">
        <f>П6ВСР!Z238</f>
        <v>0</v>
      </c>
      <c r="V342" s="122">
        <f>П6ВСР!AA238</f>
        <v>0</v>
      </c>
      <c r="W342" s="122">
        <f>П6ВСР!AB238</f>
        <v>0</v>
      </c>
      <c r="X342" s="120" t="s">
        <v>413</v>
      </c>
    </row>
    <row r="343" spans="1:24" ht="93" hidden="1" customHeight="1" x14ac:dyDescent="0.25">
      <c r="A343" s="120" t="s">
        <v>414</v>
      </c>
      <c r="B343" s="172" t="s">
        <v>143</v>
      </c>
      <c r="C343" s="172" t="s">
        <v>123</v>
      </c>
      <c r="D343" s="172" t="s">
        <v>661</v>
      </c>
      <c r="E343" s="172"/>
      <c r="F343" s="172"/>
      <c r="G343" s="172"/>
      <c r="H343" s="172"/>
      <c r="I343" s="172"/>
      <c r="J343" s="172"/>
      <c r="K343" s="172"/>
      <c r="L343" s="172"/>
      <c r="M343" s="172"/>
      <c r="N343" s="172"/>
      <c r="O343" s="172"/>
      <c r="P343" s="172"/>
      <c r="Q343" s="172"/>
      <c r="R343" s="172"/>
      <c r="S343" s="172"/>
      <c r="T343" s="162" t="s">
        <v>414</v>
      </c>
      <c r="U343" s="122">
        <f>U344</f>
        <v>0</v>
      </c>
      <c r="V343" s="122">
        <f>V344</f>
        <v>0</v>
      </c>
      <c r="W343" s="122">
        <f>W344</f>
        <v>0</v>
      </c>
      <c r="X343" s="120" t="s">
        <v>414</v>
      </c>
    </row>
    <row r="344" spans="1:24" ht="129.75" hidden="1" customHeight="1" x14ac:dyDescent="0.25">
      <c r="A344" s="120" t="s">
        <v>415</v>
      </c>
      <c r="B344" s="140" t="s">
        <v>143</v>
      </c>
      <c r="C344" s="140" t="s">
        <v>123</v>
      </c>
      <c r="D344" s="172" t="s">
        <v>661</v>
      </c>
      <c r="E344" s="140"/>
      <c r="F344" s="140"/>
      <c r="G344" s="140"/>
      <c r="H344" s="140"/>
      <c r="I344" s="140"/>
      <c r="J344" s="140"/>
      <c r="K344" s="140"/>
      <c r="L344" s="140"/>
      <c r="M344" s="140"/>
      <c r="N344" s="140"/>
      <c r="O344" s="140"/>
      <c r="P344" s="140"/>
      <c r="Q344" s="140"/>
      <c r="R344" s="140"/>
      <c r="S344" s="140" t="s">
        <v>290</v>
      </c>
      <c r="T344" s="139" t="s">
        <v>415</v>
      </c>
      <c r="U344" s="122">
        <f>П6ВСР!Z240</f>
        <v>0</v>
      </c>
      <c r="V344" s="122">
        <f>П6ВСР!AA240</f>
        <v>0</v>
      </c>
      <c r="W344" s="122">
        <f>П6ВСР!AB240</f>
        <v>0</v>
      </c>
      <c r="X344" s="120" t="s">
        <v>415</v>
      </c>
    </row>
    <row r="345" spans="1:24" ht="74.45" customHeight="1" x14ac:dyDescent="0.25">
      <c r="A345" s="120" t="s">
        <v>240</v>
      </c>
      <c r="B345" s="172" t="s">
        <v>143</v>
      </c>
      <c r="C345" s="172" t="s">
        <v>123</v>
      </c>
      <c r="D345" s="172" t="s">
        <v>662</v>
      </c>
      <c r="E345" s="138"/>
      <c r="F345" s="138"/>
      <c r="G345" s="138"/>
      <c r="H345" s="138"/>
      <c r="I345" s="138"/>
      <c r="J345" s="138"/>
      <c r="K345" s="138"/>
      <c r="L345" s="138"/>
      <c r="M345" s="138"/>
      <c r="N345" s="138"/>
      <c r="O345" s="138"/>
      <c r="P345" s="138"/>
      <c r="Q345" s="138"/>
      <c r="R345" s="138"/>
      <c r="S345" s="138"/>
      <c r="T345" s="162" t="s">
        <v>240</v>
      </c>
      <c r="U345" s="122">
        <f>U347+U346</f>
        <v>621000</v>
      </c>
      <c r="V345" s="122">
        <f>V347+V346</f>
        <v>500000</v>
      </c>
      <c r="W345" s="122">
        <f>W347+W346</f>
        <v>300000</v>
      </c>
      <c r="X345" s="120" t="s">
        <v>240</v>
      </c>
    </row>
    <row r="346" spans="1:24" ht="92.25" customHeight="1" x14ac:dyDescent="0.25">
      <c r="A346" s="120"/>
      <c r="B346" s="140" t="s">
        <v>143</v>
      </c>
      <c r="C346" s="140" t="s">
        <v>123</v>
      </c>
      <c r="D346" s="172" t="s">
        <v>662</v>
      </c>
      <c r="E346" s="140"/>
      <c r="F346" s="140"/>
      <c r="G346" s="140"/>
      <c r="H346" s="140"/>
      <c r="I346" s="140"/>
      <c r="J346" s="140"/>
      <c r="K346" s="140"/>
      <c r="L346" s="140"/>
      <c r="M346" s="140"/>
      <c r="N346" s="140"/>
      <c r="O346" s="140"/>
      <c r="P346" s="140"/>
      <c r="Q346" s="140"/>
      <c r="R346" s="140"/>
      <c r="S346" s="140" t="s">
        <v>290</v>
      </c>
      <c r="T346" s="162" t="s">
        <v>807</v>
      </c>
      <c r="U346" s="122">
        <f>П6ВСР!Z242</f>
        <v>300000</v>
      </c>
      <c r="V346" s="122">
        <f>П6ВСР!AA242</f>
        <v>300000</v>
      </c>
      <c r="W346" s="122">
        <f>П6ВСР!AB242</f>
        <v>100000</v>
      </c>
      <c r="X346" s="120"/>
    </row>
    <row r="347" spans="1:24" ht="111.75" customHeight="1" x14ac:dyDescent="0.25">
      <c r="A347" s="120" t="s">
        <v>416</v>
      </c>
      <c r="B347" s="140" t="s">
        <v>143</v>
      </c>
      <c r="C347" s="140" t="s">
        <v>123</v>
      </c>
      <c r="D347" s="172" t="s">
        <v>662</v>
      </c>
      <c r="E347" s="140"/>
      <c r="F347" s="140"/>
      <c r="G347" s="140"/>
      <c r="H347" s="140"/>
      <c r="I347" s="140"/>
      <c r="J347" s="140"/>
      <c r="K347" s="140"/>
      <c r="L347" s="140"/>
      <c r="M347" s="140"/>
      <c r="N347" s="140"/>
      <c r="O347" s="140"/>
      <c r="P347" s="140"/>
      <c r="Q347" s="140"/>
      <c r="R347" s="140"/>
      <c r="S347" s="140" t="s">
        <v>409</v>
      </c>
      <c r="T347" s="139" t="s">
        <v>416</v>
      </c>
      <c r="U347" s="122">
        <f>П6ВСР!Z243</f>
        <v>321000</v>
      </c>
      <c r="V347" s="122">
        <f>П6ВСР!AA243</f>
        <v>200000</v>
      </c>
      <c r="W347" s="122">
        <f>П6ВСР!AB243</f>
        <v>200000</v>
      </c>
      <c r="X347" s="120" t="s">
        <v>416</v>
      </c>
    </row>
    <row r="348" spans="1:24" ht="111.75" customHeight="1" x14ac:dyDescent="0.25">
      <c r="A348" s="120"/>
      <c r="B348" s="140" t="s">
        <v>143</v>
      </c>
      <c r="C348" s="140" t="s">
        <v>123</v>
      </c>
      <c r="D348" s="172" t="s">
        <v>664</v>
      </c>
      <c r="E348" s="140"/>
      <c r="F348" s="140"/>
      <c r="G348" s="140"/>
      <c r="H348" s="140"/>
      <c r="I348" s="140"/>
      <c r="J348" s="140"/>
      <c r="K348" s="140"/>
      <c r="L348" s="140"/>
      <c r="M348" s="140"/>
      <c r="N348" s="140"/>
      <c r="O348" s="140"/>
      <c r="P348" s="140"/>
      <c r="Q348" s="140"/>
      <c r="R348" s="140"/>
      <c r="S348" s="140"/>
      <c r="T348" s="20" t="s">
        <v>663</v>
      </c>
      <c r="U348" s="122">
        <f>U349</f>
        <v>0</v>
      </c>
      <c r="V348" s="122">
        <f>V349</f>
        <v>180000</v>
      </c>
      <c r="W348" s="122">
        <f>W349</f>
        <v>80000</v>
      </c>
      <c r="X348" s="120"/>
    </row>
    <row r="349" spans="1:24" ht="123.75" customHeight="1" x14ac:dyDescent="0.25">
      <c r="A349" s="120"/>
      <c r="B349" s="140" t="s">
        <v>143</v>
      </c>
      <c r="C349" s="140" t="s">
        <v>123</v>
      </c>
      <c r="D349" s="172" t="s">
        <v>664</v>
      </c>
      <c r="E349" s="140"/>
      <c r="F349" s="140"/>
      <c r="G349" s="140"/>
      <c r="H349" s="140"/>
      <c r="I349" s="140"/>
      <c r="J349" s="140"/>
      <c r="K349" s="140"/>
      <c r="L349" s="140"/>
      <c r="M349" s="140"/>
      <c r="N349" s="140"/>
      <c r="O349" s="140"/>
      <c r="P349" s="140"/>
      <c r="Q349" s="140"/>
      <c r="R349" s="140"/>
      <c r="S349" s="140" t="s">
        <v>409</v>
      </c>
      <c r="T349" s="251" t="s">
        <v>833</v>
      </c>
      <c r="U349" s="122">
        <f>П6ВСР!Z245</f>
        <v>0</v>
      </c>
      <c r="V349" s="122">
        <f>П6ВСР!AA245</f>
        <v>180000</v>
      </c>
      <c r="W349" s="122">
        <f>П6ВСР!AB245</f>
        <v>80000</v>
      </c>
      <c r="X349" s="120"/>
    </row>
    <row r="350" spans="1:24" ht="18.600000000000001" customHeight="1" x14ac:dyDescent="0.25">
      <c r="A350" s="120" t="s">
        <v>164</v>
      </c>
      <c r="B350" s="121" t="s">
        <v>143</v>
      </c>
      <c r="C350" s="121" t="s">
        <v>136</v>
      </c>
      <c r="D350" s="121"/>
      <c r="E350" s="121"/>
      <c r="F350" s="121"/>
      <c r="G350" s="121"/>
      <c r="H350" s="121"/>
      <c r="I350" s="121"/>
      <c r="J350" s="121"/>
      <c r="K350" s="121"/>
      <c r="L350" s="121"/>
      <c r="M350" s="121"/>
      <c r="N350" s="121"/>
      <c r="O350" s="121"/>
      <c r="P350" s="121"/>
      <c r="Q350" s="121"/>
      <c r="R350" s="121"/>
      <c r="S350" s="121"/>
      <c r="T350" s="120" t="s">
        <v>164</v>
      </c>
      <c r="U350" s="122">
        <f>U351+U354+U356+U359+U361+U363+U367</f>
        <v>30757100</v>
      </c>
      <c r="V350" s="122">
        <f>V351+V354+V356+V359+V361+V363+V367</f>
        <v>30876400</v>
      </c>
      <c r="W350" s="122">
        <f>W351+W354+W356+W359+W361+W363+W367</f>
        <v>30876400</v>
      </c>
      <c r="X350" s="120" t="s">
        <v>164</v>
      </c>
    </row>
    <row r="351" spans="1:24" ht="161.25" customHeight="1" x14ac:dyDescent="0.25">
      <c r="A351" s="120" t="s">
        <v>487</v>
      </c>
      <c r="B351" s="172" t="s">
        <v>143</v>
      </c>
      <c r="C351" s="172" t="s">
        <v>136</v>
      </c>
      <c r="D351" s="172" t="s">
        <v>1178</v>
      </c>
      <c r="E351" s="172"/>
      <c r="F351" s="172"/>
      <c r="G351" s="172"/>
      <c r="H351" s="172"/>
      <c r="I351" s="172"/>
      <c r="J351" s="172"/>
      <c r="K351" s="172"/>
      <c r="L351" s="172"/>
      <c r="M351" s="172"/>
      <c r="N351" s="172"/>
      <c r="O351" s="172"/>
      <c r="P351" s="172"/>
      <c r="Q351" s="172"/>
      <c r="R351" s="172"/>
      <c r="S351" s="172"/>
      <c r="T351" s="357" t="s">
        <v>1153</v>
      </c>
      <c r="U351" s="122">
        <f>U353+U352</f>
        <v>992500</v>
      </c>
      <c r="V351" s="122">
        <f>V353</f>
        <v>1032100</v>
      </c>
      <c r="W351" s="122">
        <f>W353</f>
        <v>1032100</v>
      </c>
      <c r="X351" s="120" t="s">
        <v>487</v>
      </c>
    </row>
    <row r="352" spans="1:24" ht="59.25" hidden="1" customHeight="1" x14ac:dyDescent="0.25">
      <c r="A352" s="120"/>
      <c r="B352" s="140" t="s">
        <v>143</v>
      </c>
      <c r="C352" s="140" t="s">
        <v>136</v>
      </c>
      <c r="D352" s="172" t="s">
        <v>1178</v>
      </c>
      <c r="E352" s="140"/>
      <c r="F352" s="140"/>
      <c r="G352" s="140"/>
      <c r="H352" s="140"/>
      <c r="I352" s="140"/>
      <c r="J352" s="140"/>
      <c r="K352" s="140"/>
      <c r="L352" s="140"/>
      <c r="M352" s="140"/>
      <c r="N352" s="140"/>
      <c r="O352" s="140"/>
      <c r="P352" s="140"/>
      <c r="Q352" s="140"/>
      <c r="R352" s="140"/>
      <c r="S352" s="140" t="s">
        <v>290</v>
      </c>
      <c r="T352" s="139" t="s">
        <v>889</v>
      </c>
      <c r="U352" s="122">
        <f>П6ВСР!Z417</f>
        <v>0</v>
      </c>
      <c r="V352" s="122">
        <v>0</v>
      </c>
      <c r="W352" s="122">
        <v>0</v>
      </c>
      <c r="X352" s="120"/>
    </row>
    <row r="353" spans="1:24" ht="49.5" customHeight="1" x14ac:dyDescent="0.25">
      <c r="A353" s="120" t="s">
        <v>488</v>
      </c>
      <c r="B353" s="140" t="s">
        <v>143</v>
      </c>
      <c r="C353" s="140" t="s">
        <v>136</v>
      </c>
      <c r="D353" s="172" t="s">
        <v>1178</v>
      </c>
      <c r="E353" s="140"/>
      <c r="F353" s="140"/>
      <c r="G353" s="140"/>
      <c r="H353" s="140"/>
      <c r="I353" s="140"/>
      <c r="J353" s="140"/>
      <c r="K353" s="140"/>
      <c r="L353" s="140"/>
      <c r="M353" s="140"/>
      <c r="N353" s="140"/>
      <c r="O353" s="140"/>
      <c r="P353" s="140"/>
      <c r="Q353" s="140"/>
      <c r="R353" s="140"/>
      <c r="S353" s="140" t="s">
        <v>409</v>
      </c>
      <c r="T353" s="139" t="s">
        <v>820</v>
      </c>
      <c r="U353" s="122">
        <f>П6ВСР!Z418</f>
        <v>992500</v>
      </c>
      <c r="V353" s="122">
        <f>П6ВСР!AA418</f>
        <v>1032100</v>
      </c>
      <c r="W353" s="122">
        <f>П6ВСР!AB418</f>
        <v>1032100</v>
      </c>
      <c r="X353" s="120" t="s">
        <v>488</v>
      </c>
    </row>
    <row r="354" spans="1:24" ht="147.75" customHeight="1" x14ac:dyDescent="0.25">
      <c r="A354" s="120" t="s">
        <v>489</v>
      </c>
      <c r="B354" s="172" t="s">
        <v>143</v>
      </c>
      <c r="C354" s="172" t="s">
        <v>136</v>
      </c>
      <c r="D354" s="172" t="s">
        <v>1179</v>
      </c>
      <c r="E354" s="172"/>
      <c r="F354" s="172"/>
      <c r="G354" s="172"/>
      <c r="H354" s="172"/>
      <c r="I354" s="172"/>
      <c r="J354" s="172"/>
      <c r="K354" s="172"/>
      <c r="L354" s="172"/>
      <c r="M354" s="172"/>
      <c r="N354" s="172"/>
      <c r="O354" s="172"/>
      <c r="P354" s="172"/>
      <c r="Q354" s="172"/>
      <c r="R354" s="172"/>
      <c r="S354" s="172"/>
      <c r="T354" s="414" t="s">
        <v>1327</v>
      </c>
      <c r="U354" s="122">
        <f>U355</f>
        <v>116800</v>
      </c>
      <c r="V354" s="122">
        <f>V355</f>
        <v>120900</v>
      </c>
      <c r="W354" s="122">
        <f>W355</f>
        <v>120900</v>
      </c>
      <c r="X354" s="120" t="s">
        <v>489</v>
      </c>
    </row>
    <row r="355" spans="1:24" ht="60" customHeight="1" x14ac:dyDescent="0.25">
      <c r="A355" s="120" t="s">
        <v>490</v>
      </c>
      <c r="B355" s="140" t="s">
        <v>143</v>
      </c>
      <c r="C355" s="140" t="s">
        <v>136</v>
      </c>
      <c r="D355" s="172" t="s">
        <v>1179</v>
      </c>
      <c r="E355" s="140"/>
      <c r="F355" s="140"/>
      <c r="G355" s="140"/>
      <c r="H355" s="140"/>
      <c r="I355" s="140"/>
      <c r="J355" s="140"/>
      <c r="K355" s="140"/>
      <c r="L355" s="140"/>
      <c r="M355" s="140"/>
      <c r="N355" s="140"/>
      <c r="O355" s="140"/>
      <c r="P355" s="140"/>
      <c r="Q355" s="140"/>
      <c r="R355" s="140"/>
      <c r="S355" s="140" t="s">
        <v>409</v>
      </c>
      <c r="T355" s="139" t="s">
        <v>820</v>
      </c>
      <c r="U355" s="122">
        <f>П6ВСР!Z420</f>
        <v>116800</v>
      </c>
      <c r="V355" s="122">
        <f>П6ВСР!AA420</f>
        <v>120900</v>
      </c>
      <c r="W355" s="122">
        <f>П6ВСР!AB420</f>
        <v>120900</v>
      </c>
      <c r="X355" s="120" t="s">
        <v>490</v>
      </c>
    </row>
    <row r="356" spans="1:24" ht="163.5" customHeight="1" x14ac:dyDescent="0.25">
      <c r="A356" s="120" t="s">
        <v>491</v>
      </c>
      <c r="B356" s="172" t="s">
        <v>143</v>
      </c>
      <c r="C356" s="172" t="s">
        <v>136</v>
      </c>
      <c r="D356" s="172" t="s">
        <v>1180</v>
      </c>
      <c r="E356" s="121"/>
      <c r="F356" s="121"/>
      <c r="G356" s="121"/>
      <c r="H356" s="121"/>
      <c r="I356" s="121"/>
      <c r="J356" s="121"/>
      <c r="K356" s="121"/>
      <c r="L356" s="121"/>
      <c r="M356" s="121"/>
      <c r="N356" s="121"/>
      <c r="O356" s="121"/>
      <c r="P356" s="121"/>
      <c r="Q356" s="121"/>
      <c r="R356" s="121"/>
      <c r="S356" s="121"/>
      <c r="T356" s="357" t="s">
        <v>1154</v>
      </c>
      <c r="U356" s="122">
        <f>U358+U357</f>
        <v>13315800</v>
      </c>
      <c r="V356" s="122">
        <f>V358</f>
        <v>13391400</v>
      </c>
      <c r="W356" s="122">
        <f>W358</f>
        <v>13391400</v>
      </c>
      <c r="X356" s="120" t="s">
        <v>491</v>
      </c>
    </row>
    <row r="357" spans="1:24" ht="1.5" hidden="1" customHeight="1" x14ac:dyDescent="0.25">
      <c r="A357" s="120"/>
      <c r="B357" s="140" t="s">
        <v>143</v>
      </c>
      <c r="C357" s="140" t="s">
        <v>136</v>
      </c>
      <c r="D357" s="172" t="s">
        <v>1180</v>
      </c>
      <c r="E357" s="140"/>
      <c r="F357" s="140"/>
      <c r="G357" s="140"/>
      <c r="H357" s="140"/>
      <c r="I357" s="140"/>
      <c r="J357" s="140"/>
      <c r="K357" s="140"/>
      <c r="L357" s="140"/>
      <c r="M357" s="140"/>
      <c r="N357" s="140"/>
      <c r="O357" s="140"/>
      <c r="P357" s="140"/>
      <c r="Q357" s="140"/>
      <c r="R357" s="140"/>
      <c r="S357" s="140" t="s">
        <v>290</v>
      </c>
      <c r="T357" s="139" t="s">
        <v>889</v>
      </c>
      <c r="U357" s="122">
        <f>П6ВСР!Z422</f>
        <v>0</v>
      </c>
      <c r="V357" s="122">
        <v>0</v>
      </c>
      <c r="W357" s="122">
        <v>0</v>
      </c>
      <c r="X357" s="120"/>
    </row>
    <row r="358" spans="1:24" ht="63" customHeight="1" x14ac:dyDescent="0.25">
      <c r="A358" s="120" t="s">
        <v>492</v>
      </c>
      <c r="B358" s="140" t="s">
        <v>143</v>
      </c>
      <c r="C358" s="140" t="s">
        <v>136</v>
      </c>
      <c r="D358" s="172" t="s">
        <v>1180</v>
      </c>
      <c r="E358" s="140"/>
      <c r="F358" s="140"/>
      <c r="G358" s="140"/>
      <c r="H358" s="140"/>
      <c r="I358" s="140"/>
      <c r="J358" s="140"/>
      <c r="K358" s="140"/>
      <c r="L358" s="140"/>
      <c r="M358" s="140"/>
      <c r="N358" s="140"/>
      <c r="O358" s="140"/>
      <c r="P358" s="140"/>
      <c r="Q358" s="140"/>
      <c r="R358" s="140"/>
      <c r="S358" s="140" t="s">
        <v>409</v>
      </c>
      <c r="T358" s="139" t="s">
        <v>820</v>
      </c>
      <c r="U358" s="122">
        <f>П6ВСР!Z423</f>
        <v>13315800</v>
      </c>
      <c r="V358" s="122">
        <f>П6ВСР!AA423</f>
        <v>13391400</v>
      </c>
      <c r="W358" s="122">
        <f>П6ВСР!AB423</f>
        <v>13391400</v>
      </c>
      <c r="X358" s="120" t="s">
        <v>492</v>
      </c>
    </row>
    <row r="359" spans="1:24" ht="228.75" customHeight="1" x14ac:dyDescent="0.25">
      <c r="A359" s="120" t="s">
        <v>228</v>
      </c>
      <c r="B359" s="140" t="s">
        <v>143</v>
      </c>
      <c r="C359" s="140" t="s">
        <v>136</v>
      </c>
      <c r="D359" s="263" t="s">
        <v>1175</v>
      </c>
      <c r="E359" s="140"/>
      <c r="F359" s="140"/>
      <c r="G359" s="140"/>
      <c r="H359" s="140"/>
      <c r="I359" s="140"/>
      <c r="J359" s="140"/>
      <c r="K359" s="140"/>
      <c r="L359" s="140"/>
      <c r="M359" s="140"/>
      <c r="N359" s="140"/>
      <c r="O359" s="140"/>
      <c r="P359" s="140"/>
      <c r="Q359" s="140"/>
      <c r="R359" s="140"/>
      <c r="S359" s="140"/>
      <c r="T359" s="162" t="s">
        <v>1157</v>
      </c>
      <c r="U359" s="122">
        <f>U360</f>
        <v>4303200</v>
      </c>
      <c r="V359" s="122">
        <f>V360</f>
        <v>4303200</v>
      </c>
      <c r="W359" s="122">
        <f>W360</f>
        <v>4303200</v>
      </c>
      <c r="X359" s="120" t="s">
        <v>228</v>
      </c>
    </row>
    <row r="360" spans="1:24" ht="68.25" customHeight="1" x14ac:dyDescent="0.25">
      <c r="A360" s="120" t="s">
        <v>417</v>
      </c>
      <c r="B360" s="172" t="s">
        <v>143</v>
      </c>
      <c r="C360" s="172" t="s">
        <v>136</v>
      </c>
      <c r="D360" s="263" t="s">
        <v>1175</v>
      </c>
      <c r="E360" s="172"/>
      <c r="F360" s="172"/>
      <c r="G360" s="172"/>
      <c r="H360" s="172"/>
      <c r="I360" s="172"/>
      <c r="J360" s="172"/>
      <c r="K360" s="172"/>
      <c r="L360" s="172"/>
      <c r="M360" s="172"/>
      <c r="N360" s="172"/>
      <c r="O360" s="172"/>
      <c r="P360" s="172"/>
      <c r="Q360" s="172"/>
      <c r="R360" s="172"/>
      <c r="S360" s="172" t="s">
        <v>366</v>
      </c>
      <c r="T360" s="139" t="s">
        <v>817</v>
      </c>
      <c r="U360" s="122">
        <f>П6ВСР!Z248</f>
        <v>4303200</v>
      </c>
      <c r="V360" s="122">
        <f>П6ВСР!AA248</f>
        <v>4303200</v>
      </c>
      <c r="W360" s="122">
        <f>П6ВСР!AB248</f>
        <v>4303200</v>
      </c>
      <c r="X360" s="120" t="s">
        <v>417</v>
      </c>
    </row>
    <row r="361" spans="1:24" ht="242.25" hidden="1" customHeight="1" x14ac:dyDescent="0.25">
      <c r="A361" s="120" t="s">
        <v>229</v>
      </c>
      <c r="B361" s="172" t="s">
        <v>143</v>
      </c>
      <c r="C361" s="172" t="s">
        <v>136</v>
      </c>
      <c r="D361" s="172" t="s">
        <v>666</v>
      </c>
      <c r="E361" s="172"/>
      <c r="F361" s="172"/>
      <c r="G361" s="172"/>
      <c r="H361" s="172"/>
      <c r="I361" s="172"/>
      <c r="J361" s="172"/>
      <c r="K361" s="172"/>
      <c r="L361" s="172"/>
      <c r="M361" s="172"/>
      <c r="N361" s="172"/>
      <c r="O361" s="172"/>
      <c r="P361" s="172"/>
      <c r="Q361" s="172"/>
      <c r="R361" s="172"/>
      <c r="S361" s="172"/>
      <c r="T361" s="162" t="s">
        <v>665</v>
      </c>
      <c r="U361" s="122">
        <f>U362</f>
        <v>0</v>
      </c>
      <c r="V361" s="122">
        <f>V362</f>
        <v>0</v>
      </c>
      <c r="W361" s="122">
        <f>W362</f>
        <v>0</v>
      </c>
      <c r="X361" s="120" t="s">
        <v>229</v>
      </c>
    </row>
    <row r="362" spans="1:24" ht="0.75" hidden="1" customHeight="1" x14ac:dyDescent="0.25">
      <c r="A362" s="126" t="s">
        <v>418</v>
      </c>
      <c r="B362" s="140" t="s">
        <v>143</v>
      </c>
      <c r="C362" s="140" t="s">
        <v>136</v>
      </c>
      <c r="D362" s="172" t="s">
        <v>666</v>
      </c>
      <c r="E362" s="140"/>
      <c r="F362" s="140"/>
      <c r="G362" s="140"/>
      <c r="H362" s="140"/>
      <c r="I362" s="140"/>
      <c r="J362" s="140"/>
      <c r="K362" s="140"/>
      <c r="L362" s="140"/>
      <c r="M362" s="140"/>
      <c r="N362" s="140"/>
      <c r="O362" s="140"/>
      <c r="P362" s="140"/>
      <c r="Q362" s="140"/>
      <c r="R362" s="140"/>
      <c r="S362" s="140" t="s">
        <v>366</v>
      </c>
      <c r="T362" s="164" t="s">
        <v>418</v>
      </c>
      <c r="U362" s="122">
        <f>П6ВСР!Z250</f>
        <v>0</v>
      </c>
      <c r="V362" s="122">
        <f>П6ВСР!AA250</f>
        <v>0</v>
      </c>
      <c r="W362" s="122">
        <f>П6ВСР!AB250</f>
        <v>0</v>
      </c>
      <c r="X362" s="126" t="s">
        <v>418</v>
      </c>
    </row>
    <row r="363" spans="1:24" ht="170.25" customHeight="1" x14ac:dyDescent="0.25">
      <c r="A363" s="126" t="s">
        <v>232</v>
      </c>
      <c r="B363" s="172" t="s">
        <v>143</v>
      </c>
      <c r="C363" s="172" t="s">
        <v>136</v>
      </c>
      <c r="D363" s="172" t="s">
        <v>1181</v>
      </c>
      <c r="E363" s="172"/>
      <c r="F363" s="172"/>
      <c r="G363" s="172"/>
      <c r="H363" s="172"/>
      <c r="I363" s="172"/>
      <c r="J363" s="172"/>
      <c r="K363" s="172"/>
      <c r="L363" s="172"/>
      <c r="M363" s="172"/>
      <c r="N363" s="172"/>
      <c r="O363" s="172"/>
      <c r="P363" s="172"/>
      <c r="Q363" s="172"/>
      <c r="R363" s="172"/>
      <c r="S363" s="172"/>
      <c r="T363" s="356" t="s">
        <v>1155</v>
      </c>
      <c r="U363" s="122">
        <f>U365+U366+U364</f>
        <v>12028800</v>
      </c>
      <c r="V363" s="122">
        <f>V365+V366</f>
        <v>12028800</v>
      </c>
      <c r="W363" s="122">
        <f>W365+W366</f>
        <v>12028800</v>
      </c>
      <c r="X363" s="126" t="s">
        <v>232</v>
      </c>
    </row>
    <row r="364" spans="1:24" ht="51" hidden="1" customHeight="1" x14ac:dyDescent="0.25">
      <c r="A364" s="126"/>
      <c r="B364" s="140" t="s">
        <v>143</v>
      </c>
      <c r="C364" s="140" t="s">
        <v>136</v>
      </c>
      <c r="D364" s="172" t="s">
        <v>1181</v>
      </c>
      <c r="E364" s="140"/>
      <c r="F364" s="140"/>
      <c r="G364" s="140"/>
      <c r="H364" s="140"/>
      <c r="I364" s="140"/>
      <c r="J364" s="140"/>
      <c r="K364" s="140"/>
      <c r="L364" s="140"/>
      <c r="M364" s="140"/>
      <c r="N364" s="140"/>
      <c r="O364" s="140"/>
      <c r="P364" s="140"/>
      <c r="Q364" s="140"/>
      <c r="R364" s="140"/>
      <c r="S364" s="140" t="s">
        <v>290</v>
      </c>
      <c r="T364" s="139" t="s">
        <v>889</v>
      </c>
      <c r="U364" s="122">
        <f>П6ВСР!Z425</f>
        <v>0</v>
      </c>
      <c r="V364" s="122">
        <v>0</v>
      </c>
      <c r="W364" s="122">
        <v>0</v>
      </c>
      <c r="X364" s="126"/>
    </row>
    <row r="365" spans="1:24" ht="58.5" customHeight="1" x14ac:dyDescent="0.25">
      <c r="A365" s="126" t="s">
        <v>493</v>
      </c>
      <c r="B365" s="140" t="s">
        <v>143</v>
      </c>
      <c r="C365" s="140" t="s">
        <v>136</v>
      </c>
      <c r="D365" s="172" t="s">
        <v>1181</v>
      </c>
      <c r="E365" s="140"/>
      <c r="F365" s="140"/>
      <c r="G365" s="140"/>
      <c r="H365" s="140"/>
      <c r="I365" s="140"/>
      <c r="J365" s="140"/>
      <c r="K365" s="140"/>
      <c r="L365" s="140"/>
      <c r="M365" s="140"/>
      <c r="N365" s="140"/>
      <c r="O365" s="140"/>
      <c r="P365" s="140"/>
      <c r="Q365" s="140"/>
      <c r="R365" s="140"/>
      <c r="S365" s="140" t="s">
        <v>409</v>
      </c>
      <c r="T365" s="164" t="s">
        <v>820</v>
      </c>
      <c r="U365" s="122">
        <f>П6ВСР!Z426</f>
        <v>3249985</v>
      </c>
      <c r="V365" s="122">
        <f>П6ВСР!AA426</f>
        <v>3249985</v>
      </c>
      <c r="W365" s="122">
        <f>П6ВСР!AB426</f>
        <v>3249985</v>
      </c>
      <c r="X365" s="126" t="s">
        <v>493</v>
      </c>
    </row>
    <row r="366" spans="1:24" ht="63" customHeight="1" x14ac:dyDescent="0.25">
      <c r="A366" s="126"/>
      <c r="B366" s="140" t="s">
        <v>143</v>
      </c>
      <c r="C366" s="140" t="s">
        <v>136</v>
      </c>
      <c r="D366" s="172" t="s">
        <v>1181</v>
      </c>
      <c r="E366" s="140"/>
      <c r="F366" s="140"/>
      <c r="G366" s="140"/>
      <c r="H366" s="140"/>
      <c r="I366" s="140"/>
      <c r="J366" s="140"/>
      <c r="K366" s="140"/>
      <c r="L366" s="140"/>
      <c r="M366" s="140"/>
      <c r="N366" s="140"/>
      <c r="O366" s="140"/>
      <c r="P366" s="140"/>
      <c r="Q366" s="140"/>
      <c r="R366" s="140"/>
      <c r="S366" s="140" t="s">
        <v>309</v>
      </c>
      <c r="T366" s="139" t="s">
        <v>796</v>
      </c>
      <c r="U366" s="122">
        <f>П6ВСР!Z427</f>
        <v>8778815</v>
      </c>
      <c r="V366" s="122">
        <f>П6ВСР!AA427</f>
        <v>8778815</v>
      </c>
      <c r="W366" s="122">
        <f>П6ВСР!AB427</f>
        <v>8778815</v>
      </c>
      <c r="X366" s="126"/>
    </row>
    <row r="367" spans="1:24" ht="162" hidden="1" customHeight="1" x14ac:dyDescent="0.25">
      <c r="A367" s="126"/>
      <c r="B367" s="172"/>
      <c r="C367" s="172"/>
      <c r="D367" s="172"/>
      <c r="E367" s="172"/>
      <c r="F367" s="172"/>
      <c r="G367" s="172"/>
      <c r="H367" s="172"/>
      <c r="I367" s="172"/>
      <c r="J367" s="172"/>
      <c r="K367" s="172"/>
      <c r="L367" s="172"/>
      <c r="M367" s="172"/>
      <c r="N367" s="172"/>
      <c r="O367" s="172"/>
      <c r="P367" s="172"/>
      <c r="Q367" s="172"/>
      <c r="R367" s="172"/>
      <c r="S367" s="172"/>
      <c r="T367" s="162"/>
      <c r="U367" s="122"/>
      <c r="V367" s="122"/>
      <c r="W367" s="122"/>
      <c r="X367" s="126"/>
    </row>
    <row r="368" spans="1:24" ht="102.75" hidden="1" customHeight="1" x14ac:dyDescent="0.25">
      <c r="A368" s="126"/>
      <c r="B368" s="140"/>
      <c r="C368" s="140"/>
      <c r="D368" s="172"/>
      <c r="E368" s="140"/>
      <c r="F368" s="140"/>
      <c r="G368" s="140"/>
      <c r="H368" s="140"/>
      <c r="I368" s="140"/>
      <c r="J368" s="140"/>
      <c r="K368" s="140"/>
      <c r="L368" s="140"/>
      <c r="M368" s="140"/>
      <c r="N368" s="140"/>
      <c r="O368" s="140"/>
      <c r="P368" s="140"/>
      <c r="Q368" s="140"/>
      <c r="R368" s="140"/>
      <c r="S368" s="140"/>
      <c r="T368" s="164"/>
      <c r="U368" s="122"/>
      <c r="V368" s="122"/>
      <c r="W368" s="122"/>
      <c r="X368" s="126"/>
    </row>
    <row r="369" spans="1:24" ht="57" hidden="1" customHeight="1" x14ac:dyDescent="0.25">
      <c r="A369" s="126"/>
      <c r="B369" s="140"/>
      <c r="C369" s="140"/>
      <c r="D369" s="172"/>
      <c r="E369" s="140"/>
      <c r="F369" s="140"/>
      <c r="G369" s="140"/>
      <c r="H369" s="140"/>
      <c r="I369" s="140"/>
      <c r="J369" s="140"/>
      <c r="K369" s="140"/>
      <c r="L369" s="140"/>
      <c r="M369" s="140"/>
      <c r="N369" s="140"/>
      <c r="O369" s="140"/>
      <c r="P369" s="140"/>
      <c r="Q369" s="140"/>
      <c r="R369" s="140"/>
      <c r="S369" s="140"/>
      <c r="T369" s="139"/>
      <c r="U369" s="122"/>
      <c r="V369" s="122"/>
      <c r="W369" s="122"/>
      <c r="X369" s="126"/>
    </row>
    <row r="370" spans="1:24" ht="45.75" customHeight="1" x14ac:dyDescent="0.25">
      <c r="A370" s="126"/>
      <c r="B370" s="140" t="s">
        <v>143</v>
      </c>
      <c r="C370" s="140" t="s">
        <v>125</v>
      </c>
      <c r="D370" s="172"/>
      <c r="E370" s="140"/>
      <c r="F370" s="140"/>
      <c r="G370" s="140"/>
      <c r="H370" s="140"/>
      <c r="I370" s="140"/>
      <c r="J370" s="140"/>
      <c r="K370" s="140"/>
      <c r="L370" s="140"/>
      <c r="M370" s="140"/>
      <c r="N370" s="140"/>
      <c r="O370" s="140"/>
      <c r="P370" s="140"/>
      <c r="Q370" s="140"/>
      <c r="R370" s="140"/>
      <c r="S370" s="140"/>
      <c r="T370" s="162" t="s">
        <v>857</v>
      </c>
      <c r="U370" s="122">
        <f>U371</f>
        <v>1750200</v>
      </c>
      <c r="V370" s="122">
        <f>V371</f>
        <v>1750200</v>
      </c>
      <c r="W370" s="122">
        <f>W371</f>
        <v>1750200</v>
      </c>
      <c r="X370" s="126"/>
    </row>
    <row r="371" spans="1:24" ht="166.5" customHeight="1" x14ac:dyDescent="0.25">
      <c r="A371" s="126"/>
      <c r="B371" s="140" t="s">
        <v>143</v>
      </c>
      <c r="C371" s="140" t="s">
        <v>125</v>
      </c>
      <c r="D371" s="172" t="s">
        <v>1182</v>
      </c>
      <c r="E371" s="140"/>
      <c r="F371" s="140"/>
      <c r="G371" s="140"/>
      <c r="H371" s="140"/>
      <c r="I371" s="140"/>
      <c r="J371" s="140"/>
      <c r="K371" s="140"/>
      <c r="L371" s="140"/>
      <c r="M371" s="140"/>
      <c r="N371" s="140"/>
      <c r="O371" s="140"/>
      <c r="P371" s="140"/>
      <c r="Q371" s="140"/>
      <c r="R371" s="140"/>
      <c r="S371" s="140"/>
      <c r="T371" s="162" t="s">
        <v>821</v>
      </c>
      <c r="U371" s="122">
        <f>U372+U373</f>
        <v>1750200</v>
      </c>
      <c r="V371" s="122">
        <f>V372+V373</f>
        <v>1750200</v>
      </c>
      <c r="W371" s="122">
        <f>W372+W373</f>
        <v>1750200</v>
      </c>
      <c r="X371" s="126"/>
    </row>
    <row r="372" spans="1:24" ht="105.75" customHeight="1" x14ac:dyDescent="0.25">
      <c r="A372" s="126"/>
      <c r="B372" s="140" t="s">
        <v>143</v>
      </c>
      <c r="C372" s="140" t="s">
        <v>125</v>
      </c>
      <c r="D372" s="172" t="s">
        <v>1182</v>
      </c>
      <c r="E372" s="140"/>
      <c r="F372" s="140"/>
      <c r="G372" s="140"/>
      <c r="H372" s="140"/>
      <c r="I372" s="140"/>
      <c r="J372" s="140"/>
      <c r="K372" s="140"/>
      <c r="L372" s="140"/>
      <c r="M372" s="140"/>
      <c r="N372" s="140"/>
      <c r="O372" s="140"/>
      <c r="P372" s="140"/>
      <c r="Q372" s="140"/>
      <c r="R372" s="140"/>
      <c r="S372" s="140" t="s">
        <v>38</v>
      </c>
      <c r="T372" s="164" t="s">
        <v>815</v>
      </c>
      <c r="U372" s="122">
        <f>П6ВСР!Z433</f>
        <v>1455064</v>
      </c>
      <c r="V372" s="122">
        <f>П6ВСР!AA433</f>
        <v>1455064</v>
      </c>
      <c r="W372" s="122">
        <f>П6ВСР!AB433</f>
        <v>1455064</v>
      </c>
      <c r="X372" s="126"/>
    </row>
    <row r="373" spans="1:24" ht="57" customHeight="1" x14ac:dyDescent="0.25">
      <c r="A373" s="126"/>
      <c r="B373" s="140" t="s">
        <v>143</v>
      </c>
      <c r="C373" s="140" t="s">
        <v>125</v>
      </c>
      <c r="D373" s="172" t="s">
        <v>1182</v>
      </c>
      <c r="E373" s="140"/>
      <c r="F373" s="140"/>
      <c r="G373" s="140"/>
      <c r="H373" s="140"/>
      <c r="I373" s="140"/>
      <c r="J373" s="140"/>
      <c r="K373" s="140"/>
      <c r="L373" s="140"/>
      <c r="M373" s="140"/>
      <c r="N373" s="140"/>
      <c r="O373" s="140"/>
      <c r="P373" s="140"/>
      <c r="Q373" s="140"/>
      <c r="R373" s="140"/>
      <c r="S373" s="140" t="s">
        <v>290</v>
      </c>
      <c r="T373" s="139" t="s">
        <v>587</v>
      </c>
      <c r="U373" s="122">
        <f>П6ВСР!Z434</f>
        <v>295136</v>
      </c>
      <c r="V373" s="122">
        <f>П6ВСР!AA434</f>
        <v>295136</v>
      </c>
      <c r="W373" s="122">
        <f>П6ВСР!AB434</f>
        <v>295136</v>
      </c>
      <c r="X373" s="126"/>
    </row>
    <row r="374" spans="1:24" ht="18.600000000000001" customHeight="1" x14ac:dyDescent="0.25">
      <c r="A374" s="118" t="s">
        <v>419</v>
      </c>
      <c r="B374" s="129" t="s">
        <v>128</v>
      </c>
      <c r="C374" s="129" t="s">
        <v>133</v>
      </c>
      <c r="D374" s="129"/>
      <c r="E374" s="129"/>
      <c r="F374" s="129"/>
      <c r="G374" s="129"/>
      <c r="H374" s="129"/>
      <c r="I374" s="129"/>
      <c r="J374" s="129"/>
      <c r="K374" s="129"/>
      <c r="L374" s="129"/>
      <c r="M374" s="129"/>
      <c r="N374" s="129"/>
      <c r="O374" s="129"/>
      <c r="P374" s="129"/>
      <c r="Q374" s="129"/>
      <c r="R374" s="129"/>
      <c r="S374" s="129"/>
      <c r="T374" s="118" t="s">
        <v>419</v>
      </c>
      <c r="U374" s="119">
        <f>U375+U380</f>
        <v>1150000.0000000002</v>
      </c>
      <c r="V374" s="119">
        <f>V375+V380</f>
        <v>950000</v>
      </c>
      <c r="W374" s="119">
        <f>W375+W380</f>
        <v>250000</v>
      </c>
      <c r="X374" s="118" t="s">
        <v>419</v>
      </c>
    </row>
    <row r="375" spans="1:24" ht="18.600000000000001" customHeight="1" x14ac:dyDescent="0.25">
      <c r="A375" s="120" t="s">
        <v>119</v>
      </c>
      <c r="B375" s="121" t="s">
        <v>128</v>
      </c>
      <c r="C375" s="121" t="s">
        <v>122</v>
      </c>
      <c r="D375" s="121"/>
      <c r="E375" s="121"/>
      <c r="F375" s="121"/>
      <c r="G375" s="121"/>
      <c r="H375" s="121"/>
      <c r="I375" s="121"/>
      <c r="J375" s="121"/>
      <c r="K375" s="121"/>
      <c r="L375" s="121"/>
      <c r="M375" s="121"/>
      <c r="N375" s="121"/>
      <c r="O375" s="121"/>
      <c r="P375" s="121"/>
      <c r="Q375" s="121"/>
      <c r="R375" s="121"/>
      <c r="S375" s="121"/>
      <c r="T375" s="120" t="s">
        <v>119</v>
      </c>
      <c r="U375" s="122">
        <f>U376+U378</f>
        <v>550000</v>
      </c>
      <c r="V375" s="122">
        <f>V376+V378</f>
        <v>550000</v>
      </c>
      <c r="W375" s="122">
        <f>W376+W378</f>
        <v>150000</v>
      </c>
      <c r="X375" s="120" t="s">
        <v>119</v>
      </c>
    </row>
    <row r="376" spans="1:24" ht="143.25" customHeight="1" x14ac:dyDescent="0.25">
      <c r="A376" s="120" t="s">
        <v>420</v>
      </c>
      <c r="B376" s="172" t="s">
        <v>128</v>
      </c>
      <c r="C376" s="172" t="s">
        <v>122</v>
      </c>
      <c r="D376" s="172" t="s">
        <v>668</v>
      </c>
      <c r="E376" s="172"/>
      <c r="F376" s="172"/>
      <c r="G376" s="172"/>
      <c r="H376" s="172"/>
      <c r="I376" s="172"/>
      <c r="J376" s="172"/>
      <c r="K376" s="172"/>
      <c r="L376" s="172"/>
      <c r="M376" s="172"/>
      <c r="N376" s="172"/>
      <c r="O376" s="172"/>
      <c r="P376" s="172"/>
      <c r="Q376" s="172"/>
      <c r="R376" s="172"/>
      <c r="S376" s="172"/>
      <c r="T376" s="162" t="s">
        <v>667</v>
      </c>
      <c r="U376" s="122">
        <f>U377</f>
        <v>500000</v>
      </c>
      <c r="V376" s="122">
        <f>V377</f>
        <v>500000</v>
      </c>
      <c r="W376" s="122">
        <f>W377</f>
        <v>100000</v>
      </c>
      <c r="X376" s="120" t="s">
        <v>420</v>
      </c>
    </row>
    <row r="377" spans="1:24" ht="93" customHeight="1" x14ac:dyDescent="0.25">
      <c r="A377" s="120" t="s">
        <v>421</v>
      </c>
      <c r="B377" s="140" t="s">
        <v>128</v>
      </c>
      <c r="C377" s="140" t="s">
        <v>122</v>
      </c>
      <c r="D377" s="172" t="s">
        <v>668</v>
      </c>
      <c r="E377" s="140"/>
      <c r="F377" s="140"/>
      <c r="G377" s="140"/>
      <c r="H377" s="140"/>
      <c r="I377" s="140"/>
      <c r="J377" s="140"/>
      <c r="K377" s="140"/>
      <c r="L377" s="140"/>
      <c r="M377" s="140"/>
      <c r="N377" s="140"/>
      <c r="O377" s="140"/>
      <c r="P377" s="140"/>
      <c r="Q377" s="140"/>
      <c r="R377" s="140"/>
      <c r="S377" s="140" t="s">
        <v>290</v>
      </c>
      <c r="T377" s="139" t="s">
        <v>421</v>
      </c>
      <c r="U377" s="122">
        <f>П6ВСР!Z254</f>
        <v>500000</v>
      </c>
      <c r="V377" s="122">
        <f>П6ВСР!AA254</f>
        <v>500000</v>
      </c>
      <c r="W377" s="122">
        <f>П6ВСР!AB254</f>
        <v>100000</v>
      </c>
      <c r="X377" s="120" t="s">
        <v>421</v>
      </c>
    </row>
    <row r="378" spans="1:24" ht="173.25" customHeight="1" x14ac:dyDescent="0.25">
      <c r="A378" s="120" t="s">
        <v>422</v>
      </c>
      <c r="B378" s="172" t="s">
        <v>128</v>
      </c>
      <c r="C378" s="172" t="s">
        <v>122</v>
      </c>
      <c r="D378" s="172" t="s">
        <v>670</v>
      </c>
      <c r="E378" s="172"/>
      <c r="F378" s="172"/>
      <c r="G378" s="172"/>
      <c r="H378" s="172"/>
      <c r="I378" s="172"/>
      <c r="J378" s="172"/>
      <c r="K378" s="172"/>
      <c r="L378" s="172"/>
      <c r="M378" s="172"/>
      <c r="N378" s="172"/>
      <c r="O378" s="172"/>
      <c r="P378" s="172"/>
      <c r="Q378" s="172"/>
      <c r="R378" s="172"/>
      <c r="S378" s="172"/>
      <c r="T378" s="162" t="s">
        <v>669</v>
      </c>
      <c r="U378" s="122">
        <f>U379</f>
        <v>50000</v>
      </c>
      <c r="V378" s="122">
        <f>V379</f>
        <v>50000</v>
      </c>
      <c r="W378" s="122">
        <f>W379</f>
        <v>50000</v>
      </c>
      <c r="X378" s="120" t="s">
        <v>422</v>
      </c>
    </row>
    <row r="379" spans="1:24" ht="111.75" customHeight="1" x14ac:dyDescent="0.25">
      <c r="A379" s="120" t="s">
        <v>423</v>
      </c>
      <c r="B379" s="140" t="s">
        <v>128</v>
      </c>
      <c r="C379" s="140" t="s">
        <v>122</v>
      </c>
      <c r="D379" s="172" t="s">
        <v>670</v>
      </c>
      <c r="E379" s="140"/>
      <c r="F379" s="140"/>
      <c r="G379" s="140"/>
      <c r="H379" s="140"/>
      <c r="I379" s="140"/>
      <c r="J379" s="140"/>
      <c r="K379" s="140"/>
      <c r="L379" s="140"/>
      <c r="M379" s="140"/>
      <c r="N379" s="140"/>
      <c r="O379" s="140"/>
      <c r="P379" s="140"/>
      <c r="Q379" s="140"/>
      <c r="R379" s="140"/>
      <c r="S379" s="140" t="s">
        <v>290</v>
      </c>
      <c r="T379" s="139" t="s">
        <v>423</v>
      </c>
      <c r="U379" s="122">
        <f>П6ВСР!Z256</f>
        <v>50000</v>
      </c>
      <c r="V379" s="122">
        <f>П6ВСР!AA256</f>
        <v>50000</v>
      </c>
      <c r="W379" s="122">
        <f>П6ВСР!AB256</f>
        <v>50000</v>
      </c>
      <c r="X379" s="120" t="s">
        <v>423</v>
      </c>
    </row>
    <row r="380" spans="1:24" ht="18.600000000000001" customHeight="1" x14ac:dyDescent="0.25">
      <c r="A380" s="120" t="s">
        <v>166</v>
      </c>
      <c r="B380" s="121" t="s">
        <v>128</v>
      </c>
      <c r="C380" s="121" t="s">
        <v>132</v>
      </c>
      <c r="D380" s="121"/>
      <c r="E380" s="121"/>
      <c r="F380" s="121"/>
      <c r="G380" s="121"/>
      <c r="H380" s="121"/>
      <c r="I380" s="121"/>
      <c r="J380" s="121"/>
      <c r="K380" s="121"/>
      <c r="L380" s="121"/>
      <c r="M380" s="121"/>
      <c r="N380" s="121"/>
      <c r="O380" s="121"/>
      <c r="P380" s="121"/>
      <c r="Q380" s="121"/>
      <c r="R380" s="121"/>
      <c r="S380" s="121"/>
      <c r="T380" s="120" t="s">
        <v>166</v>
      </c>
      <c r="U380" s="122">
        <f>U381+U383+U385</f>
        <v>600000.00000000023</v>
      </c>
      <c r="V380" s="122">
        <f>V381+V383+V385</f>
        <v>400000</v>
      </c>
      <c r="W380" s="122">
        <f>W381+W383+W385</f>
        <v>100000</v>
      </c>
      <c r="X380" s="120" t="s">
        <v>166</v>
      </c>
    </row>
    <row r="381" spans="1:24" ht="153" customHeight="1" x14ac:dyDescent="0.25">
      <c r="A381" s="120" t="s">
        <v>424</v>
      </c>
      <c r="B381" s="172" t="s">
        <v>128</v>
      </c>
      <c r="C381" s="172" t="s">
        <v>132</v>
      </c>
      <c r="D381" s="172" t="s">
        <v>672</v>
      </c>
      <c r="E381" s="172"/>
      <c r="F381" s="172"/>
      <c r="G381" s="172"/>
      <c r="H381" s="172"/>
      <c r="I381" s="172"/>
      <c r="J381" s="172"/>
      <c r="K381" s="172"/>
      <c r="L381" s="172"/>
      <c r="M381" s="172"/>
      <c r="N381" s="172"/>
      <c r="O381" s="172"/>
      <c r="P381" s="172"/>
      <c r="Q381" s="172"/>
      <c r="R381" s="172"/>
      <c r="S381" s="172"/>
      <c r="T381" s="162" t="s">
        <v>671</v>
      </c>
      <c r="U381" s="122">
        <f>U382</f>
        <v>300000</v>
      </c>
      <c r="V381" s="122">
        <f>V382</f>
        <v>200000</v>
      </c>
      <c r="W381" s="122">
        <f>W382</f>
        <v>50000</v>
      </c>
      <c r="X381" s="120" t="s">
        <v>424</v>
      </c>
    </row>
    <row r="382" spans="1:24" ht="74.45" customHeight="1" x14ac:dyDescent="0.25">
      <c r="A382" s="120" t="s">
        <v>425</v>
      </c>
      <c r="B382" s="140" t="s">
        <v>128</v>
      </c>
      <c r="C382" s="140" t="s">
        <v>132</v>
      </c>
      <c r="D382" s="172" t="s">
        <v>672</v>
      </c>
      <c r="E382" s="140"/>
      <c r="F382" s="140"/>
      <c r="G382" s="140"/>
      <c r="H382" s="140"/>
      <c r="I382" s="140"/>
      <c r="J382" s="140"/>
      <c r="K382" s="140"/>
      <c r="L382" s="140"/>
      <c r="M382" s="140"/>
      <c r="N382" s="140"/>
      <c r="O382" s="140"/>
      <c r="P382" s="140"/>
      <c r="Q382" s="140"/>
      <c r="R382" s="140"/>
      <c r="S382" s="140" t="s">
        <v>290</v>
      </c>
      <c r="T382" s="139" t="s">
        <v>425</v>
      </c>
      <c r="U382" s="122">
        <f>П6ВСР!Z259</f>
        <v>300000</v>
      </c>
      <c r="V382" s="122">
        <f>П6ВСР!AA259</f>
        <v>200000</v>
      </c>
      <c r="W382" s="122">
        <f>П6ВСР!AB259</f>
        <v>50000</v>
      </c>
      <c r="X382" s="120" t="s">
        <v>425</v>
      </c>
    </row>
    <row r="383" spans="1:24" ht="147" customHeight="1" x14ac:dyDescent="0.25">
      <c r="A383" s="120" t="s">
        <v>426</v>
      </c>
      <c r="B383" s="172" t="s">
        <v>128</v>
      </c>
      <c r="C383" s="172" t="s">
        <v>132</v>
      </c>
      <c r="D383" s="172" t="s">
        <v>674</v>
      </c>
      <c r="E383" s="172"/>
      <c r="F383" s="172"/>
      <c r="G383" s="172"/>
      <c r="H383" s="172"/>
      <c r="I383" s="172"/>
      <c r="J383" s="172"/>
      <c r="K383" s="172"/>
      <c r="L383" s="172"/>
      <c r="M383" s="172"/>
      <c r="N383" s="172"/>
      <c r="O383" s="172"/>
      <c r="P383" s="172"/>
      <c r="Q383" s="172"/>
      <c r="R383" s="172"/>
      <c r="S383" s="172"/>
      <c r="T383" s="162" t="s">
        <v>673</v>
      </c>
      <c r="U383" s="122">
        <f>U384</f>
        <v>300000</v>
      </c>
      <c r="V383" s="122">
        <f>V384</f>
        <v>200000</v>
      </c>
      <c r="W383" s="122">
        <f>W384</f>
        <v>50000</v>
      </c>
      <c r="X383" s="120" t="s">
        <v>426</v>
      </c>
    </row>
    <row r="384" spans="1:24" ht="74.45" customHeight="1" x14ac:dyDescent="0.25">
      <c r="A384" s="120" t="s">
        <v>427</v>
      </c>
      <c r="B384" s="140" t="s">
        <v>128</v>
      </c>
      <c r="C384" s="140" t="s">
        <v>132</v>
      </c>
      <c r="D384" s="172" t="s">
        <v>674</v>
      </c>
      <c r="E384" s="140"/>
      <c r="F384" s="140"/>
      <c r="G384" s="140"/>
      <c r="H384" s="140"/>
      <c r="I384" s="140"/>
      <c r="J384" s="140"/>
      <c r="K384" s="140"/>
      <c r="L384" s="140"/>
      <c r="M384" s="140"/>
      <c r="N384" s="140"/>
      <c r="O384" s="140"/>
      <c r="P384" s="140"/>
      <c r="Q384" s="140"/>
      <c r="R384" s="140"/>
      <c r="S384" s="140" t="s">
        <v>290</v>
      </c>
      <c r="T384" s="139" t="s">
        <v>427</v>
      </c>
      <c r="U384" s="122">
        <f>П6ВСР!Z261</f>
        <v>300000</v>
      </c>
      <c r="V384" s="122">
        <f>П6ВСР!AA261</f>
        <v>200000</v>
      </c>
      <c r="W384" s="122">
        <f>П6ВСР!AB261</f>
        <v>50000</v>
      </c>
      <c r="X384" s="120" t="s">
        <v>427</v>
      </c>
    </row>
    <row r="385" spans="1:24" ht="148.5" hidden="1" customHeight="1" x14ac:dyDescent="0.25">
      <c r="A385" s="120" t="s">
        <v>428</v>
      </c>
      <c r="B385" s="140" t="s">
        <v>128</v>
      </c>
      <c r="C385" s="140" t="s">
        <v>132</v>
      </c>
      <c r="D385" s="172" t="s">
        <v>676</v>
      </c>
      <c r="E385" s="140"/>
      <c r="F385" s="140"/>
      <c r="G385" s="140"/>
      <c r="H385" s="140"/>
      <c r="I385" s="140"/>
      <c r="J385" s="140"/>
      <c r="K385" s="140"/>
      <c r="L385" s="140"/>
      <c r="M385" s="140"/>
      <c r="N385" s="140"/>
      <c r="O385" s="140"/>
      <c r="P385" s="140"/>
      <c r="Q385" s="140"/>
      <c r="R385" s="140"/>
      <c r="S385" s="140"/>
      <c r="T385" s="162" t="s">
        <v>675</v>
      </c>
      <c r="U385" s="122">
        <f>U386</f>
        <v>2.7648638933897018E-10</v>
      </c>
      <c r="V385" s="122">
        <f>V386</f>
        <v>0</v>
      </c>
      <c r="W385" s="122">
        <f>W386</f>
        <v>0</v>
      </c>
      <c r="X385" s="120" t="s">
        <v>428</v>
      </c>
    </row>
    <row r="386" spans="1:24" ht="90" hidden="1" customHeight="1" x14ac:dyDescent="0.25">
      <c r="A386" s="120" t="s">
        <v>429</v>
      </c>
      <c r="B386" s="140" t="s">
        <v>128</v>
      </c>
      <c r="C386" s="140" t="s">
        <v>132</v>
      </c>
      <c r="D386" s="172" t="s">
        <v>676</v>
      </c>
      <c r="E386" s="140"/>
      <c r="F386" s="140"/>
      <c r="G386" s="140"/>
      <c r="H386" s="140"/>
      <c r="I386" s="140"/>
      <c r="J386" s="140"/>
      <c r="K386" s="140"/>
      <c r="L386" s="140"/>
      <c r="M386" s="140"/>
      <c r="N386" s="140"/>
      <c r="O386" s="140"/>
      <c r="P386" s="140"/>
      <c r="Q386" s="140"/>
      <c r="R386" s="140"/>
      <c r="S386" s="140" t="s">
        <v>366</v>
      </c>
      <c r="T386" s="254" t="s">
        <v>834</v>
      </c>
      <c r="U386" s="122">
        <f>П6ВСР!Z263</f>
        <v>2.7648638933897018E-10</v>
      </c>
      <c r="V386" s="122">
        <f>П6ВСР!AA263</f>
        <v>0</v>
      </c>
      <c r="W386" s="122">
        <f>П6ВСР!AB263</f>
        <v>0</v>
      </c>
      <c r="X386" s="120" t="s">
        <v>429</v>
      </c>
    </row>
    <row r="387" spans="1:24" ht="93" customHeight="1" x14ac:dyDescent="0.25">
      <c r="A387" s="118" t="s">
        <v>440</v>
      </c>
      <c r="B387" s="129" t="s">
        <v>131</v>
      </c>
      <c r="C387" s="129" t="s">
        <v>133</v>
      </c>
      <c r="D387" s="129"/>
      <c r="E387" s="129"/>
      <c r="F387" s="129"/>
      <c r="G387" s="129"/>
      <c r="H387" s="129"/>
      <c r="I387" s="129"/>
      <c r="J387" s="129"/>
      <c r="K387" s="129"/>
      <c r="L387" s="129"/>
      <c r="M387" s="129"/>
      <c r="N387" s="129"/>
      <c r="O387" s="129"/>
      <c r="P387" s="129"/>
      <c r="Q387" s="129"/>
      <c r="R387" s="129"/>
      <c r="S387" s="129"/>
      <c r="T387" s="118" t="s">
        <v>440</v>
      </c>
      <c r="U387" s="119">
        <f t="shared" ref="U387:W389" si="9">U388</f>
        <v>20000000</v>
      </c>
      <c r="V387" s="119">
        <f t="shared" si="9"/>
        <v>20000000</v>
      </c>
      <c r="W387" s="119">
        <f t="shared" si="9"/>
        <v>20000000</v>
      </c>
      <c r="X387" s="118" t="s">
        <v>440</v>
      </c>
    </row>
    <row r="388" spans="1:24" ht="70.5" customHeight="1" x14ac:dyDescent="0.25">
      <c r="A388" s="120" t="s">
        <v>169</v>
      </c>
      <c r="B388" s="121" t="s">
        <v>131</v>
      </c>
      <c r="C388" s="121" t="s">
        <v>122</v>
      </c>
      <c r="D388" s="121"/>
      <c r="E388" s="121"/>
      <c r="F388" s="121"/>
      <c r="G388" s="121"/>
      <c r="H388" s="121"/>
      <c r="I388" s="121"/>
      <c r="J388" s="121"/>
      <c r="K388" s="121"/>
      <c r="L388" s="121"/>
      <c r="M388" s="121"/>
      <c r="N388" s="121"/>
      <c r="O388" s="121"/>
      <c r="P388" s="121"/>
      <c r="Q388" s="121"/>
      <c r="R388" s="121"/>
      <c r="S388" s="121"/>
      <c r="T388" s="118" t="s">
        <v>169</v>
      </c>
      <c r="U388" s="122">
        <f t="shared" si="9"/>
        <v>20000000</v>
      </c>
      <c r="V388" s="122">
        <f t="shared" si="9"/>
        <v>20000000</v>
      </c>
      <c r="W388" s="122">
        <f t="shared" si="9"/>
        <v>20000000</v>
      </c>
      <c r="X388" s="120" t="s">
        <v>169</v>
      </c>
    </row>
    <row r="389" spans="1:24" ht="192" customHeight="1" x14ac:dyDescent="0.25">
      <c r="A389" s="126" t="s">
        <v>441</v>
      </c>
      <c r="B389" s="172" t="s">
        <v>131</v>
      </c>
      <c r="C389" s="172" t="s">
        <v>122</v>
      </c>
      <c r="D389" s="172" t="s">
        <v>682</v>
      </c>
      <c r="E389" s="172"/>
      <c r="F389" s="172"/>
      <c r="G389" s="172"/>
      <c r="H389" s="172"/>
      <c r="I389" s="172"/>
      <c r="J389" s="172"/>
      <c r="K389" s="172"/>
      <c r="L389" s="172"/>
      <c r="M389" s="172"/>
      <c r="N389" s="172"/>
      <c r="O389" s="172"/>
      <c r="P389" s="172"/>
      <c r="Q389" s="172"/>
      <c r="R389" s="172"/>
      <c r="S389" s="172"/>
      <c r="T389" s="165" t="s">
        <v>681</v>
      </c>
      <c r="U389" s="122">
        <f t="shared" si="9"/>
        <v>20000000</v>
      </c>
      <c r="V389" s="122">
        <f t="shared" si="9"/>
        <v>20000000</v>
      </c>
      <c r="W389" s="122">
        <f t="shared" si="9"/>
        <v>20000000</v>
      </c>
      <c r="X389" s="126" t="s">
        <v>441</v>
      </c>
    </row>
    <row r="390" spans="1:24" ht="105" customHeight="1" x14ac:dyDescent="0.25">
      <c r="A390" s="126" t="s">
        <v>442</v>
      </c>
      <c r="B390" s="140" t="s">
        <v>131</v>
      </c>
      <c r="C390" s="140" t="s">
        <v>122</v>
      </c>
      <c r="D390" s="172" t="s">
        <v>682</v>
      </c>
      <c r="E390" s="140"/>
      <c r="F390" s="140"/>
      <c r="G390" s="140"/>
      <c r="H390" s="140"/>
      <c r="I390" s="140"/>
      <c r="J390" s="140"/>
      <c r="K390" s="140"/>
      <c r="L390" s="140"/>
      <c r="M390" s="140"/>
      <c r="N390" s="140"/>
      <c r="O390" s="140"/>
      <c r="P390" s="140"/>
      <c r="Q390" s="140"/>
      <c r="R390" s="140"/>
      <c r="S390" s="140" t="s">
        <v>443</v>
      </c>
      <c r="T390" s="164" t="s">
        <v>683</v>
      </c>
      <c r="U390" s="122">
        <f>П6ВСР!Z341</f>
        <v>20000000</v>
      </c>
      <c r="V390" s="122">
        <f>П6ВСР!AA341</f>
        <v>20000000</v>
      </c>
      <c r="W390" s="122">
        <f>П6ВСР!AB341</f>
        <v>20000000</v>
      </c>
      <c r="X390" s="126" t="s">
        <v>442</v>
      </c>
    </row>
    <row r="391" spans="1:24" ht="51" customHeight="1" x14ac:dyDescent="0.25">
      <c r="A391" s="126"/>
      <c r="B391" s="132" t="s">
        <v>122</v>
      </c>
      <c r="C391" s="132" t="s">
        <v>125</v>
      </c>
      <c r="D391" s="246" t="s">
        <v>810</v>
      </c>
      <c r="E391" s="132"/>
      <c r="F391" s="132"/>
      <c r="G391" s="132"/>
      <c r="H391" s="132"/>
      <c r="I391" s="132"/>
      <c r="J391" s="132"/>
      <c r="K391" s="132"/>
      <c r="L391" s="132"/>
      <c r="M391" s="132"/>
      <c r="N391" s="132"/>
      <c r="O391" s="132"/>
      <c r="P391" s="132"/>
      <c r="Q391" s="132"/>
      <c r="R391" s="132"/>
      <c r="S391" s="132" t="s">
        <v>519</v>
      </c>
      <c r="T391" s="118" t="s">
        <v>518</v>
      </c>
      <c r="U391" s="122">
        <v>0</v>
      </c>
      <c r="V391" s="119">
        <f>П6ВСР!AA265</f>
        <v>0</v>
      </c>
      <c r="W391" s="119">
        <f>П6ВСР!AB265</f>
        <v>0</v>
      </c>
      <c r="X391" s="126"/>
    </row>
    <row r="392" spans="1:24" ht="18.600000000000001" customHeight="1" x14ac:dyDescent="0.25">
      <c r="A392" s="118" t="s">
        <v>511</v>
      </c>
      <c r="B392" s="129"/>
      <c r="C392" s="129"/>
      <c r="D392" s="129"/>
      <c r="E392" s="129"/>
      <c r="F392" s="129"/>
      <c r="G392" s="129"/>
      <c r="H392" s="129"/>
      <c r="I392" s="129"/>
      <c r="J392" s="129"/>
      <c r="K392" s="129"/>
      <c r="L392" s="129"/>
      <c r="M392" s="129"/>
      <c r="N392" s="129"/>
      <c r="O392" s="129"/>
      <c r="P392" s="129"/>
      <c r="Q392" s="129"/>
      <c r="R392" s="129"/>
      <c r="S392" s="129"/>
      <c r="T392" s="118" t="s">
        <v>511</v>
      </c>
      <c r="U392" s="119">
        <f>U11+U84+U99+U171+U215+U302+U322+U327+U374+U387</f>
        <v>724426057.34000003</v>
      </c>
      <c r="V392" s="119">
        <f>V11+V84+V99+V171+V215+V302+V322+V327+V374+V387+V391</f>
        <v>704368209.96000004</v>
      </c>
      <c r="W392" s="119">
        <f>W11+W84+W99+W171+W215+W302+W322+W327+W374+W387+W391</f>
        <v>726242950.96000004</v>
      </c>
      <c r="X392" s="118" t="s">
        <v>511</v>
      </c>
    </row>
    <row r="393" spans="1:24" ht="10.15" customHeight="1" x14ac:dyDescent="0.25"/>
    <row r="394" spans="1:24" ht="10.15" customHeight="1" x14ac:dyDescent="0.25"/>
    <row r="395" spans="1:24" ht="10.15" customHeight="1" x14ac:dyDescent="0.25"/>
    <row r="396" spans="1:24" ht="10.15" customHeight="1" x14ac:dyDescent="0.25"/>
    <row r="397" spans="1:24" ht="10.15" customHeight="1" x14ac:dyDescent="0.25"/>
    <row r="398" spans="1:24" ht="10.15" customHeight="1" x14ac:dyDescent="0.25"/>
    <row r="399" spans="1:24" ht="10.15" customHeight="1" x14ac:dyDescent="0.25"/>
    <row r="400" spans="1:24" ht="10.15" customHeight="1" x14ac:dyDescent="0.25"/>
    <row r="401" ht="10.15" customHeight="1" x14ac:dyDescent="0.25"/>
    <row r="402" ht="10.15" customHeight="1" x14ac:dyDescent="0.25"/>
    <row r="403" ht="10.15" customHeight="1" x14ac:dyDescent="0.25"/>
    <row r="404" ht="10.15" customHeight="1" x14ac:dyDescent="0.25"/>
    <row r="405" ht="10.15" customHeight="1" x14ac:dyDescent="0.25"/>
    <row r="406" ht="10.15" customHeight="1" x14ac:dyDescent="0.25"/>
    <row r="407" ht="10.15" customHeight="1" x14ac:dyDescent="0.25"/>
    <row r="408" ht="10.15" customHeight="1" x14ac:dyDescent="0.25"/>
    <row r="409" ht="10.15" customHeight="1" x14ac:dyDescent="0.25"/>
    <row r="410" ht="10.15" customHeight="1" x14ac:dyDescent="0.25"/>
    <row r="411" ht="10.15" customHeight="1" x14ac:dyDescent="0.25"/>
    <row r="412" ht="10.15" customHeight="1" x14ac:dyDescent="0.25"/>
    <row r="413" ht="10.15" customHeight="1" x14ac:dyDescent="0.25"/>
    <row r="414" ht="10.15" customHeight="1" x14ac:dyDescent="0.25"/>
    <row r="415" ht="10.15" customHeight="1" x14ac:dyDescent="0.25"/>
    <row r="416" ht="10.15" customHeight="1" x14ac:dyDescent="0.25"/>
    <row r="417" ht="10.15" customHeight="1" x14ac:dyDescent="0.25"/>
    <row r="418" ht="10.15" customHeight="1" x14ac:dyDescent="0.25"/>
    <row r="419" ht="10.15" customHeight="1" x14ac:dyDescent="0.25"/>
    <row r="420" ht="10.15" customHeight="1" x14ac:dyDescent="0.25"/>
    <row r="421" ht="10.15" customHeight="1" x14ac:dyDescent="0.25"/>
    <row r="422" ht="10.15" customHeight="1" x14ac:dyDescent="0.25"/>
    <row r="423" ht="10.15" customHeight="1" x14ac:dyDescent="0.25"/>
    <row r="424" ht="10.15" customHeight="1" x14ac:dyDescent="0.25"/>
    <row r="425" ht="10.15" customHeight="1" x14ac:dyDescent="0.25"/>
    <row r="426" ht="10.15" customHeight="1" x14ac:dyDescent="0.25"/>
    <row r="427" ht="10.15" customHeight="1" x14ac:dyDescent="0.25"/>
    <row r="428" ht="10.15" customHeight="1" x14ac:dyDescent="0.25"/>
    <row r="429" ht="10.15" customHeight="1" x14ac:dyDescent="0.25"/>
    <row r="430" ht="10.15" customHeight="1" x14ac:dyDescent="0.25"/>
    <row r="431" ht="10.15" customHeight="1" x14ac:dyDescent="0.25"/>
    <row r="432" ht="10.15" customHeight="1" x14ac:dyDescent="0.25"/>
    <row r="433" ht="10.15" customHeight="1" x14ac:dyDescent="0.25"/>
    <row r="434" ht="10.15" customHeight="1" x14ac:dyDescent="0.25"/>
    <row r="435" ht="10.15" customHeight="1" x14ac:dyDescent="0.25"/>
    <row r="436" ht="10.15" customHeight="1" x14ac:dyDescent="0.25"/>
    <row r="437" ht="10.15" customHeight="1" x14ac:dyDescent="0.25"/>
    <row r="438" ht="10.15" customHeight="1" x14ac:dyDescent="0.25"/>
    <row r="439" ht="10.15" customHeight="1" x14ac:dyDescent="0.25"/>
  </sheetData>
  <mergeCells count="11">
    <mergeCell ref="B5:X5"/>
    <mergeCell ref="A8:A9"/>
    <mergeCell ref="B8:B9"/>
    <mergeCell ref="C8:C9"/>
    <mergeCell ref="D8:R9"/>
    <mergeCell ref="S8:S9"/>
    <mergeCell ref="T8:T9"/>
    <mergeCell ref="U8:U9"/>
    <mergeCell ref="V8:V9"/>
    <mergeCell ref="W8:W9"/>
    <mergeCell ref="X8:X9"/>
  </mergeCells>
  <pageMargins left="0.51181102362204722" right="0.11811023622047245" top="0.35433070866141736" bottom="0.35433070866141736" header="0.31496062992125984" footer="0.31496062992125984"/>
  <pageSetup paperSize="9" scale="5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1"/>
  <sheetViews>
    <sheetView tabSelected="1" topLeftCell="A141" zoomScale="80" zoomScaleNormal="80" workbookViewId="0">
      <selection activeCell="AB4" sqref="AB4"/>
    </sheetView>
  </sheetViews>
  <sheetFormatPr defaultRowHeight="15" x14ac:dyDescent="0.25"/>
  <cols>
    <col min="1" max="1" width="43.140625" customWidth="1"/>
    <col min="2" max="2" width="16.7109375" customWidth="1"/>
    <col min="3" max="4" width="10.7109375" customWidth="1"/>
    <col min="5" max="5" width="16.28515625" customWidth="1"/>
    <col min="6" max="19" width="8.85546875" hidden="1" customWidth="1"/>
    <col min="20" max="20" width="10.7109375" customWidth="1"/>
    <col min="21" max="25" width="8.85546875" hidden="1" customWidth="1"/>
    <col min="26" max="28" width="26" customWidth="1"/>
    <col min="29" max="29" width="8.85546875" hidden="1" customWidth="1"/>
    <col min="30" max="30" width="16" customWidth="1"/>
    <col min="31" max="31" width="15" bestFit="1" customWidth="1"/>
    <col min="32" max="32" width="19.5703125" customWidth="1"/>
    <col min="33" max="33" width="16" customWidth="1"/>
    <col min="34" max="34" width="9.140625" customWidth="1"/>
    <col min="257" max="257" width="43.140625" customWidth="1"/>
    <col min="258" max="258" width="16.7109375" customWidth="1"/>
    <col min="259" max="260" width="10.7109375" customWidth="1"/>
    <col min="261" max="261" width="16.28515625" customWidth="1"/>
    <col min="262" max="275" width="0" hidden="1" customWidth="1"/>
    <col min="276" max="276" width="10.7109375" customWidth="1"/>
    <col min="277" max="281" width="0" hidden="1" customWidth="1"/>
    <col min="282" max="284" width="26" customWidth="1"/>
    <col min="285" max="285" width="0" hidden="1" customWidth="1"/>
    <col min="513" max="513" width="43.140625" customWidth="1"/>
    <col min="514" max="514" width="16.7109375" customWidth="1"/>
    <col min="515" max="516" width="10.7109375" customWidth="1"/>
    <col min="517" max="517" width="16.28515625" customWidth="1"/>
    <col min="518" max="531" width="0" hidden="1" customWidth="1"/>
    <col min="532" max="532" width="10.7109375" customWidth="1"/>
    <col min="533" max="537" width="0" hidden="1" customWidth="1"/>
    <col min="538" max="540" width="26" customWidth="1"/>
    <col min="541" max="541" width="0" hidden="1" customWidth="1"/>
    <col min="769" max="769" width="43.140625" customWidth="1"/>
    <col min="770" max="770" width="16.7109375" customWidth="1"/>
    <col min="771" max="772" width="10.7109375" customWidth="1"/>
    <col min="773" max="773" width="16.28515625" customWidth="1"/>
    <col min="774" max="787" width="0" hidden="1" customWidth="1"/>
    <col min="788" max="788" width="10.7109375" customWidth="1"/>
    <col min="789" max="793" width="0" hidden="1" customWidth="1"/>
    <col min="794" max="796" width="26" customWidth="1"/>
    <col min="797" max="797" width="0" hidden="1" customWidth="1"/>
    <col min="1025" max="1025" width="43.140625" customWidth="1"/>
    <col min="1026" max="1026" width="16.7109375" customWidth="1"/>
    <col min="1027" max="1028" width="10.7109375" customWidth="1"/>
    <col min="1029" max="1029" width="16.28515625" customWidth="1"/>
    <col min="1030" max="1043" width="0" hidden="1" customWidth="1"/>
    <col min="1044" max="1044" width="10.7109375" customWidth="1"/>
    <col min="1045" max="1049" width="0" hidden="1" customWidth="1"/>
    <col min="1050" max="1052" width="26" customWidth="1"/>
    <col min="1053" max="1053" width="0" hidden="1" customWidth="1"/>
    <col min="1281" max="1281" width="43.140625" customWidth="1"/>
    <col min="1282" max="1282" width="16.7109375" customWidth="1"/>
    <col min="1283" max="1284" width="10.7109375" customWidth="1"/>
    <col min="1285" max="1285" width="16.28515625" customWidth="1"/>
    <col min="1286" max="1299" width="0" hidden="1" customWidth="1"/>
    <col min="1300" max="1300" width="10.7109375" customWidth="1"/>
    <col min="1301" max="1305" width="0" hidden="1" customWidth="1"/>
    <col min="1306" max="1308" width="26" customWidth="1"/>
    <col min="1309" max="1309" width="0" hidden="1" customWidth="1"/>
    <col min="1537" max="1537" width="43.140625" customWidth="1"/>
    <col min="1538" max="1538" width="16.7109375" customWidth="1"/>
    <col min="1539" max="1540" width="10.7109375" customWidth="1"/>
    <col min="1541" max="1541" width="16.28515625" customWidth="1"/>
    <col min="1542" max="1555" width="0" hidden="1" customWidth="1"/>
    <col min="1556" max="1556" width="10.7109375" customWidth="1"/>
    <col min="1557" max="1561" width="0" hidden="1" customWidth="1"/>
    <col min="1562" max="1564" width="26" customWidth="1"/>
    <col min="1565" max="1565" width="0" hidden="1" customWidth="1"/>
    <col min="1793" max="1793" width="43.140625" customWidth="1"/>
    <col min="1794" max="1794" width="16.7109375" customWidth="1"/>
    <col min="1795" max="1796" width="10.7109375" customWidth="1"/>
    <col min="1797" max="1797" width="16.28515625" customWidth="1"/>
    <col min="1798" max="1811" width="0" hidden="1" customWidth="1"/>
    <col min="1812" max="1812" width="10.7109375" customWidth="1"/>
    <col min="1813" max="1817" width="0" hidden="1" customWidth="1"/>
    <col min="1818" max="1820" width="26" customWidth="1"/>
    <col min="1821" max="1821" width="0" hidden="1" customWidth="1"/>
    <col min="2049" max="2049" width="43.140625" customWidth="1"/>
    <col min="2050" max="2050" width="16.7109375" customWidth="1"/>
    <col min="2051" max="2052" width="10.7109375" customWidth="1"/>
    <col min="2053" max="2053" width="16.28515625" customWidth="1"/>
    <col min="2054" max="2067" width="0" hidden="1" customWidth="1"/>
    <col min="2068" max="2068" width="10.7109375" customWidth="1"/>
    <col min="2069" max="2073" width="0" hidden="1" customWidth="1"/>
    <col min="2074" max="2076" width="26" customWidth="1"/>
    <col min="2077" max="2077" width="0" hidden="1" customWidth="1"/>
    <col min="2305" max="2305" width="43.140625" customWidth="1"/>
    <col min="2306" max="2306" width="16.7109375" customWidth="1"/>
    <col min="2307" max="2308" width="10.7109375" customWidth="1"/>
    <col min="2309" max="2309" width="16.28515625" customWidth="1"/>
    <col min="2310" max="2323" width="0" hidden="1" customWidth="1"/>
    <col min="2324" max="2324" width="10.7109375" customWidth="1"/>
    <col min="2325" max="2329" width="0" hidden="1" customWidth="1"/>
    <col min="2330" max="2332" width="26" customWidth="1"/>
    <col min="2333" max="2333" width="0" hidden="1" customWidth="1"/>
    <col min="2561" max="2561" width="43.140625" customWidth="1"/>
    <col min="2562" max="2562" width="16.7109375" customWidth="1"/>
    <col min="2563" max="2564" width="10.7109375" customWidth="1"/>
    <col min="2565" max="2565" width="16.28515625" customWidth="1"/>
    <col min="2566" max="2579" width="0" hidden="1" customWidth="1"/>
    <col min="2580" max="2580" width="10.7109375" customWidth="1"/>
    <col min="2581" max="2585" width="0" hidden="1" customWidth="1"/>
    <col min="2586" max="2588" width="26" customWidth="1"/>
    <col min="2589" max="2589" width="0" hidden="1" customWidth="1"/>
    <col min="2817" max="2817" width="43.140625" customWidth="1"/>
    <col min="2818" max="2818" width="16.7109375" customWidth="1"/>
    <col min="2819" max="2820" width="10.7109375" customWidth="1"/>
    <col min="2821" max="2821" width="16.28515625" customWidth="1"/>
    <col min="2822" max="2835" width="0" hidden="1" customWidth="1"/>
    <col min="2836" max="2836" width="10.7109375" customWidth="1"/>
    <col min="2837" max="2841" width="0" hidden="1" customWidth="1"/>
    <col min="2842" max="2844" width="26" customWidth="1"/>
    <col min="2845" max="2845" width="0" hidden="1" customWidth="1"/>
    <col min="3073" max="3073" width="43.140625" customWidth="1"/>
    <col min="3074" max="3074" width="16.7109375" customWidth="1"/>
    <col min="3075" max="3076" width="10.7109375" customWidth="1"/>
    <col min="3077" max="3077" width="16.28515625" customWidth="1"/>
    <col min="3078" max="3091" width="0" hidden="1" customWidth="1"/>
    <col min="3092" max="3092" width="10.7109375" customWidth="1"/>
    <col min="3093" max="3097" width="0" hidden="1" customWidth="1"/>
    <col min="3098" max="3100" width="26" customWidth="1"/>
    <col min="3101" max="3101" width="0" hidden="1" customWidth="1"/>
    <col min="3329" max="3329" width="43.140625" customWidth="1"/>
    <col min="3330" max="3330" width="16.7109375" customWidth="1"/>
    <col min="3331" max="3332" width="10.7109375" customWidth="1"/>
    <col min="3333" max="3333" width="16.28515625" customWidth="1"/>
    <col min="3334" max="3347" width="0" hidden="1" customWidth="1"/>
    <col min="3348" max="3348" width="10.7109375" customWidth="1"/>
    <col min="3349" max="3353" width="0" hidden="1" customWidth="1"/>
    <col min="3354" max="3356" width="26" customWidth="1"/>
    <col min="3357" max="3357" width="0" hidden="1" customWidth="1"/>
    <col min="3585" max="3585" width="43.140625" customWidth="1"/>
    <col min="3586" max="3586" width="16.7109375" customWidth="1"/>
    <col min="3587" max="3588" width="10.7109375" customWidth="1"/>
    <col min="3589" max="3589" width="16.28515625" customWidth="1"/>
    <col min="3590" max="3603" width="0" hidden="1" customWidth="1"/>
    <col min="3604" max="3604" width="10.7109375" customWidth="1"/>
    <col min="3605" max="3609" width="0" hidden="1" customWidth="1"/>
    <col min="3610" max="3612" width="26" customWidth="1"/>
    <col min="3613" max="3613" width="0" hidden="1" customWidth="1"/>
    <col min="3841" max="3841" width="43.140625" customWidth="1"/>
    <col min="3842" max="3842" width="16.7109375" customWidth="1"/>
    <col min="3843" max="3844" width="10.7109375" customWidth="1"/>
    <col min="3845" max="3845" width="16.28515625" customWidth="1"/>
    <col min="3846" max="3859" width="0" hidden="1" customWidth="1"/>
    <col min="3860" max="3860" width="10.7109375" customWidth="1"/>
    <col min="3861" max="3865" width="0" hidden="1" customWidth="1"/>
    <col min="3866" max="3868" width="26" customWidth="1"/>
    <col min="3869" max="3869" width="0" hidden="1" customWidth="1"/>
    <col min="4097" max="4097" width="43.140625" customWidth="1"/>
    <col min="4098" max="4098" width="16.7109375" customWidth="1"/>
    <col min="4099" max="4100" width="10.7109375" customWidth="1"/>
    <col min="4101" max="4101" width="16.28515625" customWidth="1"/>
    <col min="4102" max="4115" width="0" hidden="1" customWidth="1"/>
    <col min="4116" max="4116" width="10.7109375" customWidth="1"/>
    <col min="4117" max="4121" width="0" hidden="1" customWidth="1"/>
    <col min="4122" max="4124" width="26" customWidth="1"/>
    <col min="4125" max="4125" width="0" hidden="1" customWidth="1"/>
    <col min="4353" max="4353" width="43.140625" customWidth="1"/>
    <col min="4354" max="4354" width="16.7109375" customWidth="1"/>
    <col min="4355" max="4356" width="10.7109375" customWidth="1"/>
    <col min="4357" max="4357" width="16.28515625" customWidth="1"/>
    <col min="4358" max="4371" width="0" hidden="1" customWidth="1"/>
    <col min="4372" max="4372" width="10.7109375" customWidth="1"/>
    <col min="4373" max="4377" width="0" hidden="1" customWidth="1"/>
    <col min="4378" max="4380" width="26" customWidth="1"/>
    <col min="4381" max="4381" width="0" hidden="1" customWidth="1"/>
    <col min="4609" max="4609" width="43.140625" customWidth="1"/>
    <col min="4610" max="4610" width="16.7109375" customWidth="1"/>
    <col min="4611" max="4612" width="10.7109375" customWidth="1"/>
    <col min="4613" max="4613" width="16.28515625" customWidth="1"/>
    <col min="4614" max="4627" width="0" hidden="1" customWidth="1"/>
    <col min="4628" max="4628" width="10.7109375" customWidth="1"/>
    <col min="4629" max="4633" width="0" hidden="1" customWidth="1"/>
    <col min="4634" max="4636" width="26" customWidth="1"/>
    <col min="4637" max="4637" width="0" hidden="1" customWidth="1"/>
    <col min="4865" max="4865" width="43.140625" customWidth="1"/>
    <col min="4866" max="4866" width="16.7109375" customWidth="1"/>
    <col min="4867" max="4868" width="10.7109375" customWidth="1"/>
    <col min="4869" max="4869" width="16.28515625" customWidth="1"/>
    <col min="4870" max="4883" width="0" hidden="1" customWidth="1"/>
    <col min="4884" max="4884" width="10.7109375" customWidth="1"/>
    <col min="4885" max="4889" width="0" hidden="1" customWidth="1"/>
    <col min="4890" max="4892" width="26" customWidth="1"/>
    <col min="4893" max="4893" width="0" hidden="1" customWidth="1"/>
    <col min="5121" max="5121" width="43.140625" customWidth="1"/>
    <col min="5122" max="5122" width="16.7109375" customWidth="1"/>
    <col min="5123" max="5124" width="10.7109375" customWidth="1"/>
    <col min="5125" max="5125" width="16.28515625" customWidth="1"/>
    <col min="5126" max="5139" width="0" hidden="1" customWidth="1"/>
    <col min="5140" max="5140" width="10.7109375" customWidth="1"/>
    <col min="5141" max="5145" width="0" hidden="1" customWidth="1"/>
    <col min="5146" max="5148" width="26" customWidth="1"/>
    <col min="5149" max="5149" width="0" hidden="1" customWidth="1"/>
    <col min="5377" max="5377" width="43.140625" customWidth="1"/>
    <col min="5378" max="5378" width="16.7109375" customWidth="1"/>
    <col min="5379" max="5380" width="10.7109375" customWidth="1"/>
    <col min="5381" max="5381" width="16.28515625" customWidth="1"/>
    <col min="5382" max="5395" width="0" hidden="1" customWidth="1"/>
    <col min="5396" max="5396" width="10.7109375" customWidth="1"/>
    <col min="5397" max="5401" width="0" hidden="1" customWidth="1"/>
    <col min="5402" max="5404" width="26" customWidth="1"/>
    <col min="5405" max="5405" width="0" hidden="1" customWidth="1"/>
    <col min="5633" max="5633" width="43.140625" customWidth="1"/>
    <col min="5634" max="5634" width="16.7109375" customWidth="1"/>
    <col min="5635" max="5636" width="10.7109375" customWidth="1"/>
    <col min="5637" max="5637" width="16.28515625" customWidth="1"/>
    <col min="5638" max="5651" width="0" hidden="1" customWidth="1"/>
    <col min="5652" max="5652" width="10.7109375" customWidth="1"/>
    <col min="5653" max="5657" width="0" hidden="1" customWidth="1"/>
    <col min="5658" max="5660" width="26" customWidth="1"/>
    <col min="5661" max="5661" width="0" hidden="1" customWidth="1"/>
    <col min="5889" max="5889" width="43.140625" customWidth="1"/>
    <col min="5890" max="5890" width="16.7109375" customWidth="1"/>
    <col min="5891" max="5892" width="10.7109375" customWidth="1"/>
    <col min="5893" max="5893" width="16.28515625" customWidth="1"/>
    <col min="5894" max="5907" width="0" hidden="1" customWidth="1"/>
    <col min="5908" max="5908" width="10.7109375" customWidth="1"/>
    <col min="5909" max="5913" width="0" hidden="1" customWidth="1"/>
    <col min="5914" max="5916" width="26" customWidth="1"/>
    <col min="5917" max="5917" width="0" hidden="1" customWidth="1"/>
    <col min="6145" max="6145" width="43.140625" customWidth="1"/>
    <col min="6146" max="6146" width="16.7109375" customWidth="1"/>
    <col min="6147" max="6148" width="10.7109375" customWidth="1"/>
    <col min="6149" max="6149" width="16.28515625" customWidth="1"/>
    <col min="6150" max="6163" width="0" hidden="1" customWidth="1"/>
    <col min="6164" max="6164" width="10.7109375" customWidth="1"/>
    <col min="6165" max="6169" width="0" hidden="1" customWidth="1"/>
    <col min="6170" max="6172" width="26" customWidth="1"/>
    <col min="6173" max="6173" width="0" hidden="1" customWidth="1"/>
    <col min="6401" max="6401" width="43.140625" customWidth="1"/>
    <col min="6402" max="6402" width="16.7109375" customWidth="1"/>
    <col min="6403" max="6404" width="10.7109375" customWidth="1"/>
    <col min="6405" max="6405" width="16.28515625" customWidth="1"/>
    <col min="6406" max="6419" width="0" hidden="1" customWidth="1"/>
    <col min="6420" max="6420" width="10.7109375" customWidth="1"/>
    <col min="6421" max="6425" width="0" hidden="1" customWidth="1"/>
    <col min="6426" max="6428" width="26" customWidth="1"/>
    <col min="6429" max="6429" width="0" hidden="1" customWidth="1"/>
    <col min="6657" max="6657" width="43.140625" customWidth="1"/>
    <col min="6658" max="6658" width="16.7109375" customWidth="1"/>
    <col min="6659" max="6660" width="10.7109375" customWidth="1"/>
    <col min="6661" max="6661" width="16.28515625" customWidth="1"/>
    <col min="6662" max="6675" width="0" hidden="1" customWidth="1"/>
    <col min="6676" max="6676" width="10.7109375" customWidth="1"/>
    <col min="6677" max="6681" width="0" hidden="1" customWidth="1"/>
    <col min="6682" max="6684" width="26" customWidth="1"/>
    <col min="6685" max="6685" width="0" hidden="1" customWidth="1"/>
    <col min="6913" max="6913" width="43.140625" customWidth="1"/>
    <col min="6914" max="6914" width="16.7109375" customWidth="1"/>
    <col min="6915" max="6916" width="10.7109375" customWidth="1"/>
    <col min="6917" max="6917" width="16.28515625" customWidth="1"/>
    <col min="6918" max="6931" width="0" hidden="1" customWidth="1"/>
    <col min="6932" max="6932" width="10.7109375" customWidth="1"/>
    <col min="6933" max="6937" width="0" hidden="1" customWidth="1"/>
    <col min="6938" max="6940" width="26" customWidth="1"/>
    <col min="6941" max="6941" width="0" hidden="1" customWidth="1"/>
    <col min="7169" max="7169" width="43.140625" customWidth="1"/>
    <col min="7170" max="7170" width="16.7109375" customWidth="1"/>
    <col min="7171" max="7172" width="10.7109375" customWidth="1"/>
    <col min="7173" max="7173" width="16.28515625" customWidth="1"/>
    <col min="7174" max="7187" width="0" hidden="1" customWidth="1"/>
    <col min="7188" max="7188" width="10.7109375" customWidth="1"/>
    <col min="7189" max="7193" width="0" hidden="1" customWidth="1"/>
    <col min="7194" max="7196" width="26" customWidth="1"/>
    <col min="7197" max="7197" width="0" hidden="1" customWidth="1"/>
    <col min="7425" max="7425" width="43.140625" customWidth="1"/>
    <col min="7426" max="7426" width="16.7109375" customWidth="1"/>
    <col min="7427" max="7428" width="10.7109375" customWidth="1"/>
    <col min="7429" max="7429" width="16.28515625" customWidth="1"/>
    <col min="7430" max="7443" width="0" hidden="1" customWidth="1"/>
    <col min="7444" max="7444" width="10.7109375" customWidth="1"/>
    <col min="7445" max="7449" width="0" hidden="1" customWidth="1"/>
    <col min="7450" max="7452" width="26" customWidth="1"/>
    <col min="7453" max="7453" width="0" hidden="1" customWidth="1"/>
    <col min="7681" max="7681" width="43.140625" customWidth="1"/>
    <col min="7682" max="7682" width="16.7109375" customWidth="1"/>
    <col min="7683" max="7684" width="10.7109375" customWidth="1"/>
    <col min="7685" max="7685" width="16.28515625" customWidth="1"/>
    <col min="7686" max="7699" width="0" hidden="1" customWidth="1"/>
    <col min="7700" max="7700" width="10.7109375" customWidth="1"/>
    <col min="7701" max="7705" width="0" hidden="1" customWidth="1"/>
    <col min="7706" max="7708" width="26" customWidth="1"/>
    <col min="7709" max="7709" width="0" hidden="1" customWidth="1"/>
    <col min="7937" max="7937" width="43.140625" customWidth="1"/>
    <col min="7938" max="7938" width="16.7109375" customWidth="1"/>
    <col min="7939" max="7940" width="10.7109375" customWidth="1"/>
    <col min="7941" max="7941" width="16.28515625" customWidth="1"/>
    <col min="7942" max="7955" width="0" hidden="1" customWidth="1"/>
    <col min="7956" max="7956" width="10.7109375" customWidth="1"/>
    <col min="7957" max="7961" width="0" hidden="1" customWidth="1"/>
    <col min="7962" max="7964" width="26" customWidth="1"/>
    <col min="7965" max="7965" width="0" hidden="1" customWidth="1"/>
    <col min="8193" max="8193" width="43.140625" customWidth="1"/>
    <col min="8194" max="8194" width="16.7109375" customWidth="1"/>
    <col min="8195" max="8196" width="10.7109375" customWidth="1"/>
    <col min="8197" max="8197" width="16.28515625" customWidth="1"/>
    <col min="8198" max="8211" width="0" hidden="1" customWidth="1"/>
    <col min="8212" max="8212" width="10.7109375" customWidth="1"/>
    <col min="8213" max="8217" width="0" hidden="1" customWidth="1"/>
    <col min="8218" max="8220" width="26" customWidth="1"/>
    <col min="8221" max="8221" width="0" hidden="1" customWidth="1"/>
    <col min="8449" max="8449" width="43.140625" customWidth="1"/>
    <col min="8450" max="8450" width="16.7109375" customWidth="1"/>
    <col min="8451" max="8452" width="10.7109375" customWidth="1"/>
    <col min="8453" max="8453" width="16.28515625" customWidth="1"/>
    <col min="8454" max="8467" width="0" hidden="1" customWidth="1"/>
    <col min="8468" max="8468" width="10.7109375" customWidth="1"/>
    <col min="8469" max="8473" width="0" hidden="1" customWidth="1"/>
    <col min="8474" max="8476" width="26" customWidth="1"/>
    <col min="8477" max="8477" width="0" hidden="1" customWidth="1"/>
    <col min="8705" max="8705" width="43.140625" customWidth="1"/>
    <col min="8706" max="8706" width="16.7109375" customWidth="1"/>
    <col min="8707" max="8708" width="10.7109375" customWidth="1"/>
    <col min="8709" max="8709" width="16.28515625" customWidth="1"/>
    <col min="8710" max="8723" width="0" hidden="1" customWidth="1"/>
    <col min="8724" max="8724" width="10.7109375" customWidth="1"/>
    <col min="8725" max="8729" width="0" hidden="1" customWidth="1"/>
    <col min="8730" max="8732" width="26" customWidth="1"/>
    <col min="8733" max="8733" width="0" hidden="1" customWidth="1"/>
    <col min="8961" max="8961" width="43.140625" customWidth="1"/>
    <col min="8962" max="8962" width="16.7109375" customWidth="1"/>
    <col min="8963" max="8964" width="10.7109375" customWidth="1"/>
    <col min="8965" max="8965" width="16.28515625" customWidth="1"/>
    <col min="8966" max="8979" width="0" hidden="1" customWidth="1"/>
    <col min="8980" max="8980" width="10.7109375" customWidth="1"/>
    <col min="8981" max="8985" width="0" hidden="1" customWidth="1"/>
    <col min="8986" max="8988" width="26" customWidth="1"/>
    <col min="8989" max="8989" width="0" hidden="1" customWidth="1"/>
    <col min="9217" max="9217" width="43.140625" customWidth="1"/>
    <col min="9218" max="9218" width="16.7109375" customWidth="1"/>
    <col min="9219" max="9220" width="10.7109375" customWidth="1"/>
    <col min="9221" max="9221" width="16.28515625" customWidth="1"/>
    <col min="9222" max="9235" width="0" hidden="1" customWidth="1"/>
    <col min="9236" max="9236" width="10.7109375" customWidth="1"/>
    <col min="9237" max="9241" width="0" hidden="1" customWidth="1"/>
    <col min="9242" max="9244" width="26" customWidth="1"/>
    <col min="9245" max="9245" width="0" hidden="1" customWidth="1"/>
    <col min="9473" max="9473" width="43.140625" customWidth="1"/>
    <col min="9474" max="9474" width="16.7109375" customWidth="1"/>
    <col min="9475" max="9476" width="10.7109375" customWidth="1"/>
    <col min="9477" max="9477" width="16.28515625" customWidth="1"/>
    <col min="9478" max="9491" width="0" hidden="1" customWidth="1"/>
    <col min="9492" max="9492" width="10.7109375" customWidth="1"/>
    <col min="9493" max="9497" width="0" hidden="1" customWidth="1"/>
    <col min="9498" max="9500" width="26" customWidth="1"/>
    <col min="9501" max="9501" width="0" hidden="1" customWidth="1"/>
    <col min="9729" max="9729" width="43.140625" customWidth="1"/>
    <col min="9730" max="9730" width="16.7109375" customWidth="1"/>
    <col min="9731" max="9732" width="10.7109375" customWidth="1"/>
    <col min="9733" max="9733" width="16.28515625" customWidth="1"/>
    <col min="9734" max="9747" width="0" hidden="1" customWidth="1"/>
    <col min="9748" max="9748" width="10.7109375" customWidth="1"/>
    <col min="9749" max="9753" width="0" hidden="1" customWidth="1"/>
    <col min="9754" max="9756" width="26" customWidth="1"/>
    <col min="9757" max="9757" width="0" hidden="1" customWidth="1"/>
    <col min="9985" max="9985" width="43.140625" customWidth="1"/>
    <col min="9986" max="9986" width="16.7109375" customWidth="1"/>
    <col min="9987" max="9988" width="10.7109375" customWidth="1"/>
    <col min="9989" max="9989" width="16.28515625" customWidth="1"/>
    <col min="9990" max="10003" width="0" hidden="1" customWidth="1"/>
    <col min="10004" max="10004" width="10.7109375" customWidth="1"/>
    <col min="10005" max="10009" width="0" hidden="1" customWidth="1"/>
    <col min="10010" max="10012" width="26" customWidth="1"/>
    <col min="10013" max="10013" width="0" hidden="1" customWidth="1"/>
    <col min="10241" max="10241" width="43.140625" customWidth="1"/>
    <col min="10242" max="10242" width="16.7109375" customWidth="1"/>
    <col min="10243" max="10244" width="10.7109375" customWidth="1"/>
    <col min="10245" max="10245" width="16.28515625" customWidth="1"/>
    <col min="10246" max="10259" width="0" hidden="1" customWidth="1"/>
    <col min="10260" max="10260" width="10.7109375" customWidth="1"/>
    <col min="10261" max="10265" width="0" hidden="1" customWidth="1"/>
    <col min="10266" max="10268" width="26" customWidth="1"/>
    <col min="10269" max="10269" width="0" hidden="1" customWidth="1"/>
    <col min="10497" max="10497" width="43.140625" customWidth="1"/>
    <col min="10498" max="10498" width="16.7109375" customWidth="1"/>
    <col min="10499" max="10500" width="10.7109375" customWidth="1"/>
    <col min="10501" max="10501" width="16.28515625" customWidth="1"/>
    <col min="10502" max="10515" width="0" hidden="1" customWidth="1"/>
    <col min="10516" max="10516" width="10.7109375" customWidth="1"/>
    <col min="10517" max="10521" width="0" hidden="1" customWidth="1"/>
    <col min="10522" max="10524" width="26" customWidth="1"/>
    <col min="10525" max="10525" width="0" hidden="1" customWidth="1"/>
    <col min="10753" max="10753" width="43.140625" customWidth="1"/>
    <col min="10754" max="10754" width="16.7109375" customWidth="1"/>
    <col min="10755" max="10756" width="10.7109375" customWidth="1"/>
    <col min="10757" max="10757" width="16.28515625" customWidth="1"/>
    <col min="10758" max="10771" width="0" hidden="1" customWidth="1"/>
    <col min="10772" max="10772" width="10.7109375" customWidth="1"/>
    <col min="10773" max="10777" width="0" hidden="1" customWidth="1"/>
    <col min="10778" max="10780" width="26" customWidth="1"/>
    <col min="10781" max="10781" width="0" hidden="1" customWidth="1"/>
    <col min="11009" max="11009" width="43.140625" customWidth="1"/>
    <col min="11010" max="11010" width="16.7109375" customWidth="1"/>
    <col min="11011" max="11012" width="10.7109375" customWidth="1"/>
    <col min="11013" max="11013" width="16.28515625" customWidth="1"/>
    <col min="11014" max="11027" width="0" hidden="1" customWidth="1"/>
    <col min="11028" max="11028" width="10.7109375" customWidth="1"/>
    <col min="11029" max="11033" width="0" hidden="1" customWidth="1"/>
    <col min="11034" max="11036" width="26" customWidth="1"/>
    <col min="11037" max="11037" width="0" hidden="1" customWidth="1"/>
    <col min="11265" max="11265" width="43.140625" customWidth="1"/>
    <col min="11266" max="11266" width="16.7109375" customWidth="1"/>
    <col min="11267" max="11268" width="10.7109375" customWidth="1"/>
    <col min="11269" max="11269" width="16.28515625" customWidth="1"/>
    <col min="11270" max="11283" width="0" hidden="1" customWidth="1"/>
    <col min="11284" max="11284" width="10.7109375" customWidth="1"/>
    <col min="11285" max="11289" width="0" hidden="1" customWidth="1"/>
    <col min="11290" max="11292" width="26" customWidth="1"/>
    <col min="11293" max="11293" width="0" hidden="1" customWidth="1"/>
    <col min="11521" max="11521" width="43.140625" customWidth="1"/>
    <col min="11522" max="11522" width="16.7109375" customWidth="1"/>
    <col min="11523" max="11524" width="10.7109375" customWidth="1"/>
    <col min="11525" max="11525" width="16.28515625" customWidth="1"/>
    <col min="11526" max="11539" width="0" hidden="1" customWidth="1"/>
    <col min="11540" max="11540" width="10.7109375" customWidth="1"/>
    <col min="11541" max="11545" width="0" hidden="1" customWidth="1"/>
    <col min="11546" max="11548" width="26" customWidth="1"/>
    <col min="11549" max="11549" width="0" hidden="1" customWidth="1"/>
    <col min="11777" max="11777" width="43.140625" customWidth="1"/>
    <col min="11778" max="11778" width="16.7109375" customWidth="1"/>
    <col min="11779" max="11780" width="10.7109375" customWidth="1"/>
    <col min="11781" max="11781" width="16.28515625" customWidth="1"/>
    <col min="11782" max="11795" width="0" hidden="1" customWidth="1"/>
    <col min="11796" max="11796" width="10.7109375" customWidth="1"/>
    <col min="11797" max="11801" width="0" hidden="1" customWidth="1"/>
    <col min="11802" max="11804" width="26" customWidth="1"/>
    <col min="11805" max="11805" width="0" hidden="1" customWidth="1"/>
    <col min="12033" max="12033" width="43.140625" customWidth="1"/>
    <col min="12034" max="12034" width="16.7109375" customWidth="1"/>
    <col min="12035" max="12036" width="10.7109375" customWidth="1"/>
    <col min="12037" max="12037" width="16.28515625" customWidth="1"/>
    <col min="12038" max="12051" width="0" hidden="1" customWidth="1"/>
    <col min="12052" max="12052" width="10.7109375" customWidth="1"/>
    <col min="12053" max="12057" width="0" hidden="1" customWidth="1"/>
    <col min="12058" max="12060" width="26" customWidth="1"/>
    <col min="12061" max="12061" width="0" hidden="1" customWidth="1"/>
    <col min="12289" max="12289" width="43.140625" customWidth="1"/>
    <col min="12290" max="12290" width="16.7109375" customWidth="1"/>
    <col min="12291" max="12292" width="10.7109375" customWidth="1"/>
    <col min="12293" max="12293" width="16.28515625" customWidth="1"/>
    <col min="12294" max="12307" width="0" hidden="1" customWidth="1"/>
    <col min="12308" max="12308" width="10.7109375" customWidth="1"/>
    <col min="12309" max="12313" width="0" hidden="1" customWidth="1"/>
    <col min="12314" max="12316" width="26" customWidth="1"/>
    <col min="12317" max="12317" width="0" hidden="1" customWidth="1"/>
    <col min="12545" max="12545" width="43.140625" customWidth="1"/>
    <col min="12546" max="12546" width="16.7109375" customWidth="1"/>
    <col min="12547" max="12548" width="10.7109375" customWidth="1"/>
    <col min="12549" max="12549" width="16.28515625" customWidth="1"/>
    <col min="12550" max="12563" width="0" hidden="1" customWidth="1"/>
    <col min="12564" max="12564" width="10.7109375" customWidth="1"/>
    <col min="12565" max="12569" width="0" hidden="1" customWidth="1"/>
    <col min="12570" max="12572" width="26" customWidth="1"/>
    <col min="12573" max="12573" width="0" hidden="1" customWidth="1"/>
    <col min="12801" max="12801" width="43.140625" customWidth="1"/>
    <col min="12802" max="12802" width="16.7109375" customWidth="1"/>
    <col min="12803" max="12804" width="10.7109375" customWidth="1"/>
    <col min="12805" max="12805" width="16.28515625" customWidth="1"/>
    <col min="12806" max="12819" width="0" hidden="1" customWidth="1"/>
    <col min="12820" max="12820" width="10.7109375" customWidth="1"/>
    <col min="12821" max="12825" width="0" hidden="1" customWidth="1"/>
    <col min="12826" max="12828" width="26" customWidth="1"/>
    <col min="12829" max="12829" width="0" hidden="1" customWidth="1"/>
    <col min="13057" max="13057" width="43.140625" customWidth="1"/>
    <col min="13058" max="13058" width="16.7109375" customWidth="1"/>
    <col min="13059" max="13060" width="10.7109375" customWidth="1"/>
    <col min="13061" max="13061" width="16.28515625" customWidth="1"/>
    <col min="13062" max="13075" width="0" hidden="1" customWidth="1"/>
    <col min="13076" max="13076" width="10.7109375" customWidth="1"/>
    <col min="13077" max="13081" width="0" hidden="1" customWidth="1"/>
    <col min="13082" max="13084" width="26" customWidth="1"/>
    <col min="13085" max="13085" width="0" hidden="1" customWidth="1"/>
    <col min="13313" max="13313" width="43.140625" customWidth="1"/>
    <col min="13314" max="13314" width="16.7109375" customWidth="1"/>
    <col min="13315" max="13316" width="10.7109375" customWidth="1"/>
    <col min="13317" max="13317" width="16.28515625" customWidth="1"/>
    <col min="13318" max="13331" width="0" hidden="1" customWidth="1"/>
    <col min="13332" max="13332" width="10.7109375" customWidth="1"/>
    <col min="13333" max="13337" width="0" hidden="1" customWidth="1"/>
    <col min="13338" max="13340" width="26" customWidth="1"/>
    <col min="13341" max="13341" width="0" hidden="1" customWidth="1"/>
    <col min="13569" max="13569" width="43.140625" customWidth="1"/>
    <col min="13570" max="13570" width="16.7109375" customWidth="1"/>
    <col min="13571" max="13572" width="10.7109375" customWidth="1"/>
    <col min="13573" max="13573" width="16.28515625" customWidth="1"/>
    <col min="13574" max="13587" width="0" hidden="1" customWidth="1"/>
    <col min="13588" max="13588" width="10.7109375" customWidth="1"/>
    <col min="13589" max="13593" width="0" hidden="1" customWidth="1"/>
    <col min="13594" max="13596" width="26" customWidth="1"/>
    <col min="13597" max="13597" width="0" hidden="1" customWidth="1"/>
    <col min="13825" max="13825" width="43.140625" customWidth="1"/>
    <col min="13826" max="13826" width="16.7109375" customWidth="1"/>
    <col min="13827" max="13828" width="10.7109375" customWidth="1"/>
    <col min="13829" max="13829" width="16.28515625" customWidth="1"/>
    <col min="13830" max="13843" width="0" hidden="1" customWidth="1"/>
    <col min="13844" max="13844" width="10.7109375" customWidth="1"/>
    <col min="13845" max="13849" width="0" hidden="1" customWidth="1"/>
    <col min="13850" max="13852" width="26" customWidth="1"/>
    <col min="13853" max="13853" width="0" hidden="1" customWidth="1"/>
    <col min="14081" max="14081" width="43.140625" customWidth="1"/>
    <col min="14082" max="14082" width="16.7109375" customWidth="1"/>
    <col min="14083" max="14084" width="10.7109375" customWidth="1"/>
    <col min="14085" max="14085" width="16.28515625" customWidth="1"/>
    <col min="14086" max="14099" width="0" hidden="1" customWidth="1"/>
    <col min="14100" max="14100" width="10.7109375" customWidth="1"/>
    <col min="14101" max="14105" width="0" hidden="1" customWidth="1"/>
    <col min="14106" max="14108" width="26" customWidth="1"/>
    <col min="14109" max="14109" width="0" hidden="1" customWidth="1"/>
    <col min="14337" max="14337" width="43.140625" customWidth="1"/>
    <col min="14338" max="14338" width="16.7109375" customWidth="1"/>
    <col min="14339" max="14340" width="10.7109375" customWidth="1"/>
    <col min="14341" max="14341" width="16.28515625" customWidth="1"/>
    <col min="14342" max="14355" width="0" hidden="1" customWidth="1"/>
    <col min="14356" max="14356" width="10.7109375" customWidth="1"/>
    <col min="14357" max="14361" width="0" hidden="1" customWidth="1"/>
    <col min="14362" max="14364" width="26" customWidth="1"/>
    <col min="14365" max="14365" width="0" hidden="1" customWidth="1"/>
    <col min="14593" max="14593" width="43.140625" customWidth="1"/>
    <col min="14594" max="14594" width="16.7109375" customWidth="1"/>
    <col min="14595" max="14596" width="10.7109375" customWidth="1"/>
    <col min="14597" max="14597" width="16.28515625" customWidth="1"/>
    <col min="14598" max="14611" width="0" hidden="1" customWidth="1"/>
    <col min="14612" max="14612" width="10.7109375" customWidth="1"/>
    <col min="14613" max="14617" width="0" hidden="1" customWidth="1"/>
    <col min="14618" max="14620" width="26" customWidth="1"/>
    <col min="14621" max="14621" width="0" hidden="1" customWidth="1"/>
    <col min="14849" max="14849" width="43.140625" customWidth="1"/>
    <col min="14850" max="14850" width="16.7109375" customWidth="1"/>
    <col min="14851" max="14852" width="10.7109375" customWidth="1"/>
    <col min="14853" max="14853" width="16.28515625" customWidth="1"/>
    <col min="14854" max="14867" width="0" hidden="1" customWidth="1"/>
    <col min="14868" max="14868" width="10.7109375" customWidth="1"/>
    <col min="14869" max="14873" width="0" hidden="1" customWidth="1"/>
    <col min="14874" max="14876" width="26" customWidth="1"/>
    <col min="14877" max="14877" width="0" hidden="1" customWidth="1"/>
    <col min="15105" max="15105" width="43.140625" customWidth="1"/>
    <col min="15106" max="15106" width="16.7109375" customWidth="1"/>
    <col min="15107" max="15108" width="10.7109375" customWidth="1"/>
    <col min="15109" max="15109" width="16.28515625" customWidth="1"/>
    <col min="15110" max="15123" width="0" hidden="1" customWidth="1"/>
    <col min="15124" max="15124" width="10.7109375" customWidth="1"/>
    <col min="15125" max="15129" width="0" hidden="1" customWidth="1"/>
    <col min="15130" max="15132" width="26" customWidth="1"/>
    <col min="15133" max="15133" width="0" hidden="1" customWidth="1"/>
    <col min="15361" max="15361" width="43.140625" customWidth="1"/>
    <col min="15362" max="15362" width="16.7109375" customWidth="1"/>
    <col min="15363" max="15364" width="10.7109375" customWidth="1"/>
    <col min="15365" max="15365" width="16.28515625" customWidth="1"/>
    <col min="15366" max="15379" width="0" hidden="1" customWidth="1"/>
    <col min="15380" max="15380" width="10.7109375" customWidth="1"/>
    <col min="15381" max="15385" width="0" hidden="1" customWidth="1"/>
    <col min="15386" max="15388" width="26" customWidth="1"/>
    <col min="15389" max="15389" width="0" hidden="1" customWidth="1"/>
    <col min="15617" max="15617" width="43.140625" customWidth="1"/>
    <col min="15618" max="15618" width="16.7109375" customWidth="1"/>
    <col min="15619" max="15620" width="10.7109375" customWidth="1"/>
    <col min="15621" max="15621" width="16.28515625" customWidth="1"/>
    <col min="15622" max="15635" width="0" hidden="1" customWidth="1"/>
    <col min="15636" max="15636" width="10.7109375" customWidth="1"/>
    <col min="15637" max="15641" width="0" hidden="1" customWidth="1"/>
    <col min="15642" max="15644" width="26" customWidth="1"/>
    <col min="15645" max="15645" width="0" hidden="1" customWidth="1"/>
    <col min="15873" max="15873" width="43.140625" customWidth="1"/>
    <col min="15874" max="15874" width="16.7109375" customWidth="1"/>
    <col min="15875" max="15876" width="10.7109375" customWidth="1"/>
    <col min="15877" max="15877" width="16.28515625" customWidth="1"/>
    <col min="15878" max="15891" width="0" hidden="1" customWidth="1"/>
    <col min="15892" max="15892" width="10.7109375" customWidth="1"/>
    <col min="15893" max="15897" width="0" hidden="1" customWidth="1"/>
    <col min="15898" max="15900" width="26" customWidth="1"/>
    <col min="15901" max="15901" width="0" hidden="1" customWidth="1"/>
    <col min="16129" max="16129" width="43.140625" customWidth="1"/>
    <col min="16130" max="16130" width="16.7109375" customWidth="1"/>
    <col min="16131" max="16132" width="10.7109375" customWidth="1"/>
    <col min="16133" max="16133" width="16.28515625" customWidth="1"/>
    <col min="16134" max="16147" width="0" hidden="1" customWidth="1"/>
    <col min="16148" max="16148" width="10.7109375" customWidth="1"/>
    <col min="16149" max="16153" width="0" hidden="1" customWidth="1"/>
    <col min="16154" max="16156" width="26" customWidth="1"/>
    <col min="16157" max="16157" width="0" hidden="1" customWidth="1"/>
  </cols>
  <sheetData>
    <row r="1" spans="1:30" x14ac:dyDescent="0.25">
      <c r="AB1" s="265" t="s">
        <v>1129</v>
      </c>
    </row>
    <row r="2" spans="1:30" x14ac:dyDescent="0.25">
      <c r="AB2" s="265" t="s">
        <v>512</v>
      </c>
    </row>
    <row r="3" spans="1:30" x14ac:dyDescent="0.25">
      <c r="AB3" s="265" t="s">
        <v>257</v>
      </c>
    </row>
    <row r="4" spans="1:30" ht="15.75" x14ac:dyDescent="0.25">
      <c r="AA4" s="2"/>
      <c r="AB4" s="2" t="s">
        <v>1356</v>
      </c>
    </row>
    <row r="5" spans="1:30" ht="33.75" customHeight="1" x14ac:dyDescent="0.25">
      <c r="A5" s="525" t="s">
        <v>1135</v>
      </c>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row>
    <row r="7" spans="1:30" ht="21.75" customHeight="1" x14ac:dyDescent="0.25">
      <c r="A7" s="113"/>
      <c r="B7" s="113"/>
      <c r="C7" s="113"/>
      <c r="D7" s="113"/>
      <c r="E7" s="113"/>
      <c r="F7" s="113"/>
      <c r="G7" s="113"/>
      <c r="H7" s="113"/>
      <c r="I7" s="113"/>
      <c r="J7" s="113"/>
      <c r="K7" s="113"/>
      <c r="L7" s="113"/>
      <c r="M7" s="113"/>
      <c r="N7" s="113"/>
      <c r="O7" s="113"/>
      <c r="P7" s="113"/>
      <c r="Q7" s="113"/>
      <c r="R7" s="113"/>
      <c r="S7" s="113"/>
      <c r="T7" s="113"/>
      <c r="U7" s="113"/>
      <c r="V7" s="114"/>
      <c r="W7" s="114"/>
      <c r="X7" s="114"/>
      <c r="Y7" s="113"/>
      <c r="Z7" s="113"/>
      <c r="AA7" s="113"/>
      <c r="AB7" s="113" t="s">
        <v>277</v>
      </c>
      <c r="AC7" s="113"/>
    </row>
    <row r="8" spans="1:30" ht="15" customHeight="1" x14ac:dyDescent="0.25">
      <c r="A8" s="526" t="s">
        <v>1</v>
      </c>
      <c r="B8" s="528" t="s">
        <v>792</v>
      </c>
      <c r="C8" s="521" t="s">
        <v>278</v>
      </c>
      <c r="D8" s="521" t="s">
        <v>279</v>
      </c>
      <c r="E8" s="521" t="s">
        <v>197</v>
      </c>
      <c r="F8" s="199" t="s">
        <v>197</v>
      </c>
      <c r="G8" s="199" t="s">
        <v>197</v>
      </c>
      <c r="H8" s="199" t="s">
        <v>197</v>
      </c>
      <c r="I8" s="199" t="s">
        <v>197</v>
      </c>
      <c r="J8" s="199" t="s">
        <v>197</v>
      </c>
      <c r="K8" s="199" t="s">
        <v>197</v>
      </c>
      <c r="L8" s="199" t="s">
        <v>197</v>
      </c>
      <c r="M8" s="199" t="s">
        <v>197</v>
      </c>
      <c r="N8" s="199" t="s">
        <v>197</v>
      </c>
      <c r="O8" s="199" t="s">
        <v>197</v>
      </c>
      <c r="P8" s="199" t="s">
        <v>197</v>
      </c>
      <c r="Q8" s="199" t="s">
        <v>197</v>
      </c>
      <c r="R8" s="199" t="s">
        <v>197</v>
      </c>
      <c r="S8" s="199" t="s">
        <v>197</v>
      </c>
      <c r="T8" s="521" t="s">
        <v>225</v>
      </c>
      <c r="U8" s="199" t="s">
        <v>280</v>
      </c>
      <c r="V8" s="199" t="s">
        <v>52</v>
      </c>
      <c r="W8" s="199" t="s">
        <v>281</v>
      </c>
      <c r="X8" s="521" t="s">
        <v>282</v>
      </c>
      <c r="Y8" s="526" t="s">
        <v>1</v>
      </c>
      <c r="Z8" s="526">
        <v>2018</v>
      </c>
      <c r="AA8" s="526">
        <v>2019</v>
      </c>
      <c r="AB8" s="529">
        <v>2020</v>
      </c>
      <c r="AC8" s="523" t="s">
        <v>1</v>
      </c>
    </row>
    <row r="9" spans="1:30" ht="15" customHeight="1" x14ac:dyDescent="0.25">
      <c r="A9" s="527"/>
      <c r="B9" s="522"/>
      <c r="C9" s="522"/>
      <c r="D9" s="522"/>
      <c r="E9" s="522"/>
      <c r="F9" s="199" t="s">
        <v>197</v>
      </c>
      <c r="G9" s="199" t="s">
        <v>197</v>
      </c>
      <c r="H9" s="199" t="s">
        <v>197</v>
      </c>
      <c r="I9" s="199" t="s">
        <v>197</v>
      </c>
      <c r="J9" s="199" t="s">
        <v>197</v>
      </c>
      <c r="K9" s="199" t="s">
        <v>197</v>
      </c>
      <c r="L9" s="199" t="s">
        <v>197</v>
      </c>
      <c r="M9" s="199" t="s">
        <v>197</v>
      </c>
      <c r="N9" s="199" t="s">
        <v>197</v>
      </c>
      <c r="O9" s="199" t="s">
        <v>197</v>
      </c>
      <c r="P9" s="199" t="s">
        <v>197</v>
      </c>
      <c r="Q9" s="199" t="s">
        <v>197</v>
      </c>
      <c r="R9" s="199" t="s">
        <v>197</v>
      </c>
      <c r="S9" s="199" t="s">
        <v>197</v>
      </c>
      <c r="T9" s="522" t="s">
        <v>225</v>
      </c>
      <c r="U9" s="199" t="s">
        <v>280</v>
      </c>
      <c r="V9" s="199" t="s">
        <v>52</v>
      </c>
      <c r="W9" s="199" t="s">
        <v>281</v>
      </c>
      <c r="X9" s="522" t="s">
        <v>282</v>
      </c>
      <c r="Y9" s="527"/>
      <c r="Z9" s="527"/>
      <c r="AA9" s="527" t="s">
        <v>283</v>
      </c>
      <c r="AB9" s="530" t="s">
        <v>283</v>
      </c>
      <c r="AC9" s="524"/>
    </row>
    <row r="10" spans="1:30" ht="15" hidden="1" customHeight="1" x14ac:dyDescent="0.25">
      <c r="A10" s="115"/>
      <c r="B10" s="115"/>
      <c r="C10" s="115"/>
      <c r="D10" s="115"/>
      <c r="E10" s="115"/>
      <c r="F10" s="115"/>
      <c r="G10" s="115"/>
      <c r="H10" s="115"/>
      <c r="I10" s="115"/>
      <c r="J10" s="115"/>
      <c r="K10" s="115"/>
      <c r="L10" s="115"/>
      <c r="M10" s="115"/>
      <c r="N10" s="115"/>
      <c r="O10" s="115"/>
      <c r="P10" s="115"/>
      <c r="Q10" s="115"/>
      <c r="R10" s="115"/>
      <c r="S10" s="115"/>
      <c r="T10" s="115"/>
      <c r="U10" s="115"/>
      <c r="V10" s="116"/>
      <c r="W10" s="116"/>
      <c r="X10" s="116"/>
      <c r="Y10" s="115"/>
      <c r="Z10" s="115"/>
      <c r="AA10" s="115"/>
      <c r="AB10" s="115"/>
      <c r="AC10" s="117"/>
    </row>
    <row r="11" spans="1:30" ht="37.15" customHeight="1" x14ac:dyDescent="0.3">
      <c r="A11" s="170" t="s">
        <v>284</v>
      </c>
      <c r="B11" s="171" t="s">
        <v>15</v>
      </c>
      <c r="C11" s="171"/>
      <c r="D11" s="171"/>
      <c r="E11" s="171"/>
      <c r="F11" s="171"/>
      <c r="G11" s="171"/>
      <c r="H11" s="171"/>
      <c r="I11" s="171"/>
      <c r="J11" s="171"/>
      <c r="K11" s="171"/>
      <c r="L11" s="171"/>
      <c r="M11" s="171"/>
      <c r="N11" s="171"/>
      <c r="O11" s="171"/>
      <c r="P11" s="171"/>
      <c r="Q11" s="171"/>
      <c r="R11" s="171"/>
      <c r="S11" s="171"/>
      <c r="T11" s="171"/>
      <c r="U11" s="171"/>
      <c r="V11" s="240"/>
      <c r="W11" s="240"/>
      <c r="X11" s="240"/>
      <c r="Y11" s="170" t="s">
        <v>284</v>
      </c>
      <c r="Z11" s="241">
        <f>Z12+Z69+Z82+Z150+Z186+Z207+Z219+Z224+Z251</f>
        <v>233006855.17000002</v>
      </c>
      <c r="AA11" s="241">
        <f>AA12+AA69+AA82+AA150+AA186+AA207+AA219+AA224+AA251</f>
        <v>205322918.18000004</v>
      </c>
      <c r="AB11" s="241">
        <f>AB12+AB69+AB82+AB150+AB186+AB207+AB219+AB224+AB251</f>
        <v>226356896.84000003</v>
      </c>
      <c r="AC11" s="226" t="s">
        <v>284</v>
      </c>
      <c r="AD11" s="227"/>
    </row>
    <row r="12" spans="1:30" ht="37.15" customHeight="1" x14ac:dyDescent="0.3">
      <c r="A12" s="170" t="s">
        <v>285</v>
      </c>
      <c r="B12" s="171" t="s">
        <v>15</v>
      </c>
      <c r="C12" s="171" t="s">
        <v>122</v>
      </c>
      <c r="D12" s="171" t="s">
        <v>133</v>
      </c>
      <c r="E12" s="171"/>
      <c r="F12" s="171"/>
      <c r="G12" s="171"/>
      <c r="H12" s="171"/>
      <c r="I12" s="171"/>
      <c r="J12" s="171"/>
      <c r="K12" s="171"/>
      <c r="L12" s="171"/>
      <c r="M12" s="171"/>
      <c r="N12" s="171"/>
      <c r="O12" s="171"/>
      <c r="P12" s="171"/>
      <c r="Q12" s="171"/>
      <c r="R12" s="171"/>
      <c r="S12" s="171"/>
      <c r="T12" s="171"/>
      <c r="U12" s="171"/>
      <c r="V12" s="240"/>
      <c r="W12" s="240"/>
      <c r="X12" s="240"/>
      <c r="Y12" s="170" t="s">
        <v>285</v>
      </c>
      <c r="Z12" s="241">
        <f>Z13+Z16+Z23+Z35+Z38+Z44+Z47+Z41</f>
        <v>54674480.760000005</v>
      </c>
      <c r="AA12" s="241">
        <f>AA13+AA16+AA23+AA35+AA38+AA44+AA47+AA41</f>
        <v>54489259.060000002</v>
      </c>
      <c r="AB12" s="241">
        <f>AB13+AB16+AB23+AB35+AB38+AB44+AB47+AB41</f>
        <v>54841523.120000005</v>
      </c>
      <c r="AC12" s="226" t="s">
        <v>285</v>
      </c>
      <c r="AD12" s="227"/>
    </row>
    <row r="13" spans="1:30" ht="74.45" customHeight="1" x14ac:dyDescent="0.3">
      <c r="A13" s="170" t="s">
        <v>247</v>
      </c>
      <c r="B13" s="171" t="s">
        <v>15</v>
      </c>
      <c r="C13" s="171" t="s">
        <v>122</v>
      </c>
      <c r="D13" s="171" t="s">
        <v>132</v>
      </c>
      <c r="E13" s="171"/>
      <c r="F13" s="171"/>
      <c r="G13" s="171"/>
      <c r="H13" s="171"/>
      <c r="I13" s="171"/>
      <c r="J13" s="171"/>
      <c r="K13" s="171"/>
      <c r="L13" s="171"/>
      <c r="M13" s="171"/>
      <c r="N13" s="171"/>
      <c r="O13" s="171"/>
      <c r="P13" s="171"/>
      <c r="Q13" s="171"/>
      <c r="R13" s="171"/>
      <c r="S13" s="171"/>
      <c r="T13" s="171"/>
      <c r="U13" s="171"/>
      <c r="V13" s="240"/>
      <c r="W13" s="240"/>
      <c r="X13" s="240"/>
      <c r="Y13" s="170" t="s">
        <v>247</v>
      </c>
      <c r="Z13" s="241">
        <f t="shared" ref="Z13:AB14" si="0">Z14</f>
        <v>1554484</v>
      </c>
      <c r="AA13" s="241">
        <f t="shared" si="0"/>
        <v>1554484</v>
      </c>
      <c r="AB13" s="241">
        <f t="shared" si="0"/>
        <v>1554484</v>
      </c>
      <c r="AC13" s="226" t="s">
        <v>247</v>
      </c>
      <c r="AD13" s="227"/>
    </row>
    <row r="14" spans="1:30" ht="108" customHeight="1" x14ac:dyDescent="0.3">
      <c r="A14" s="162" t="s">
        <v>236</v>
      </c>
      <c r="B14" s="172" t="s">
        <v>15</v>
      </c>
      <c r="C14" s="172" t="s">
        <v>122</v>
      </c>
      <c r="D14" s="172" t="s">
        <v>132</v>
      </c>
      <c r="E14" s="263" t="s">
        <v>542</v>
      </c>
      <c r="F14" s="172"/>
      <c r="G14" s="172"/>
      <c r="H14" s="172"/>
      <c r="I14" s="172"/>
      <c r="J14" s="172"/>
      <c r="K14" s="172"/>
      <c r="L14" s="172"/>
      <c r="M14" s="172"/>
      <c r="N14" s="172"/>
      <c r="O14" s="172"/>
      <c r="P14" s="172"/>
      <c r="Q14" s="172"/>
      <c r="R14" s="172"/>
      <c r="S14" s="172"/>
      <c r="T14" s="172"/>
      <c r="U14" s="172"/>
      <c r="V14" s="221"/>
      <c r="W14" s="221"/>
      <c r="X14" s="221"/>
      <c r="Y14" s="162" t="s">
        <v>236</v>
      </c>
      <c r="Z14" s="268">
        <f t="shared" si="0"/>
        <v>1554484</v>
      </c>
      <c r="AA14" s="268">
        <f t="shared" si="0"/>
        <v>1554484</v>
      </c>
      <c r="AB14" s="268">
        <f t="shared" si="0"/>
        <v>1554484</v>
      </c>
      <c r="AC14" s="228" t="s">
        <v>236</v>
      </c>
      <c r="AD14" s="227"/>
    </row>
    <row r="15" spans="1:30" ht="201" customHeight="1" x14ac:dyDescent="0.3">
      <c r="A15" s="164" t="s">
        <v>286</v>
      </c>
      <c r="B15" s="140" t="s">
        <v>15</v>
      </c>
      <c r="C15" s="140" t="s">
        <v>122</v>
      </c>
      <c r="D15" s="140" t="s">
        <v>132</v>
      </c>
      <c r="E15" s="263" t="s">
        <v>542</v>
      </c>
      <c r="F15" s="140"/>
      <c r="G15" s="140"/>
      <c r="H15" s="140"/>
      <c r="I15" s="140"/>
      <c r="J15" s="140"/>
      <c r="K15" s="140"/>
      <c r="L15" s="140"/>
      <c r="M15" s="140"/>
      <c r="N15" s="140"/>
      <c r="O15" s="140"/>
      <c r="P15" s="140"/>
      <c r="Q15" s="140"/>
      <c r="R15" s="140"/>
      <c r="S15" s="140"/>
      <c r="T15" s="140" t="s">
        <v>38</v>
      </c>
      <c r="U15" s="140"/>
      <c r="V15" s="141"/>
      <c r="W15" s="141"/>
      <c r="X15" s="141"/>
      <c r="Y15" s="164" t="s">
        <v>286</v>
      </c>
      <c r="Z15" s="230">
        <v>1554484</v>
      </c>
      <c r="AA15" s="230">
        <v>1554484</v>
      </c>
      <c r="AB15" s="230">
        <v>1554484</v>
      </c>
      <c r="AC15" s="229" t="s">
        <v>286</v>
      </c>
      <c r="AD15" s="227"/>
    </row>
    <row r="16" spans="1:30" ht="85.5" customHeight="1" x14ac:dyDescent="0.3">
      <c r="A16" s="170" t="s">
        <v>248</v>
      </c>
      <c r="B16" s="171" t="s">
        <v>15</v>
      </c>
      <c r="C16" s="171" t="s">
        <v>122</v>
      </c>
      <c r="D16" s="171" t="s">
        <v>123</v>
      </c>
      <c r="E16" s="171"/>
      <c r="F16" s="171"/>
      <c r="G16" s="171"/>
      <c r="H16" s="171"/>
      <c r="I16" s="171"/>
      <c r="J16" s="171"/>
      <c r="K16" s="171"/>
      <c r="L16" s="171"/>
      <c r="M16" s="171"/>
      <c r="N16" s="171"/>
      <c r="O16" s="171"/>
      <c r="P16" s="171"/>
      <c r="Q16" s="171"/>
      <c r="R16" s="171"/>
      <c r="S16" s="171"/>
      <c r="T16" s="171"/>
      <c r="U16" s="171"/>
      <c r="V16" s="240"/>
      <c r="W16" s="240"/>
      <c r="X16" s="240"/>
      <c r="Y16" s="170" t="s">
        <v>248</v>
      </c>
      <c r="Z16" s="241">
        <f>Z17+Z19</f>
        <v>3006545.2199999997</v>
      </c>
      <c r="AA16" s="241">
        <f>AA17+AA19</f>
        <v>3006545.2199999997</v>
      </c>
      <c r="AB16" s="241">
        <f>AB17+AB19</f>
        <v>3006545.12</v>
      </c>
      <c r="AC16" s="226" t="s">
        <v>248</v>
      </c>
      <c r="AD16" s="227"/>
    </row>
    <row r="17" spans="1:30" ht="130.5" customHeight="1" x14ac:dyDescent="0.3">
      <c r="A17" s="162" t="s">
        <v>237</v>
      </c>
      <c r="B17" s="172" t="s">
        <v>15</v>
      </c>
      <c r="C17" s="172" t="s">
        <v>122</v>
      </c>
      <c r="D17" s="172" t="s">
        <v>123</v>
      </c>
      <c r="E17" s="263" t="s">
        <v>543</v>
      </c>
      <c r="F17" s="172"/>
      <c r="G17" s="172"/>
      <c r="H17" s="172"/>
      <c r="I17" s="172"/>
      <c r="J17" s="172"/>
      <c r="K17" s="172"/>
      <c r="L17" s="172"/>
      <c r="M17" s="172"/>
      <c r="N17" s="172"/>
      <c r="O17" s="172"/>
      <c r="P17" s="172"/>
      <c r="Q17" s="172"/>
      <c r="R17" s="172"/>
      <c r="S17" s="172"/>
      <c r="T17" s="172"/>
      <c r="U17" s="172"/>
      <c r="V17" s="221"/>
      <c r="W17" s="221"/>
      <c r="X17" s="221"/>
      <c r="Y17" s="162" t="s">
        <v>237</v>
      </c>
      <c r="Z17" s="268">
        <f>Z18</f>
        <v>1398388</v>
      </c>
      <c r="AA17" s="268">
        <f>AA18</f>
        <v>1398388</v>
      </c>
      <c r="AB17" s="268">
        <f>AB18</f>
        <v>1398388</v>
      </c>
      <c r="AC17" s="228" t="s">
        <v>237</v>
      </c>
      <c r="AD17" s="227"/>
    </row>
    <row r="18" spans="1:30" ht="228.75" customHeight="1" x14ac:dyDescent="0.3">
      <c r="A18" s="164" t="s">
        <v>287</v>
      </c>
      <c r="B18" s="140" t="s">
        <v>15</v>
      </c>
      <c r="C18" s="140" t="s">
        <v>122</v>
      </c>
      <c r="D18" s="140" t="s">
        <v>123</v>
      </c>
      <c r="E18" s="263" t="s">
        <v>543</v>
      </c>
      <c r="F18" s="140"/>
      <c r="G18" s="140"/>
      <c r="H18" s="140"/>
      <c r="I18" s="140"/>
      <c r="J18" s="140"/>
      <c r="K18" s="140"/>
      <c r="L18" s="140"/>
      <c r="M18" s="140"/>
      <c r="N18" s="140"/>
      <c r="O18" s="140"/>
      <c r="P18" s="140"/>
      <c r="Q18" s="140"/>
      <c r="R18" s="140"/>
      <c r="S18" s="140"/>
      <c r="T18" s="140" t="s">
        <v>38</v>
      </c>
      <c r="U18" s="140"/>
      <c r="V18" s="141"/>
      <c r="W18" s="141"/>
      <c r="X18" s="141"/>
      <c r="Y18" s="164" t="s">
        <v>287</v>
      </c>
      <c r="Z18" s="230">
        <v>1398388</v>
      </c>
      <c r="AA18" s="230">
        <v>1398388</v>
      </c>
      <c r="AB18" s="230">
        <v>1398388</v>
      </c>
      <c r="AC18" s="229" t="s">
        <v>287</v>
      </c>
      <c r="AD18" s="227"/>
    </row>
    <row r="19" spans="1:30" ht="93" customHeight="1" x14ac:dyDescent="0.3">
      <c r="A19" s="162" t="s">
        <v>238</v>
      </c>
      <c r="B19" s="172" t="s">
        <v>15</v>
      </c>
      <c r="C19" s="172" t="s">
        <v>122</v>
      </c>
      <c r="D19" s="172" t="s">
        <v>123</v>
      </c>
      <c r="E19" s="263" t="s">
        <v>544</v>
      </c>
      <c r="F19" s="172"/>
      <c r="G19" s="172"/>
      <c r="H19" s="172"/>
      <c r="I19" s="172"/>
      <c r="J19" s="172"/>
      <c r="K19" s="172"/>
      <c r="L19" s="172"/>
      <c r="M19" s="172"/>
      <c r="N19" s="172"/>
      <c r="O19" s="172"/>
      <c r="P19" s="172"/>
      <c r="Q19" s="172"/>
      <c r="R19" s="172"/>
      <c r="S19" s="172"/>
      <c r="T19" s="172"/>
      <c r="U19" s="172"/>
      <c r="V19" s="221"/>
      <c r="W19" s="221"/>
      <c r="X19" s="221"/>
      <c r="Y19" s="162" t="s">
        <v>238</v>
      </c>
      <c r="Z19" s="268">
        <f>Z20+Z21+Z22</f>
        <v>1608157.22</v>
      </c>
      <c r="AA19" s="268">
        <f>AA20+AA21+AA22</f>
        <v>1608157.22</v>
      </c>
      <c r="AB19" s="268">
        <f>AB20+AB21+AB22</f>
        <v>1608157.1199999999</v>
      </c>
      <c r="AC19" s="228" t="s">
        <v>238</v>
      </c>
      <c r="AD19" s="227"/>
    </row>
    <row r="20" spans="1:30" ht="182.25" customHeight="1" x14ac:dyDescent="0.3">
      <c r="A20" s="164" t="s">
        <v>288</v>
      </c>
      <c r="B20" s="140" t="s">
        <v>15</v>
      </c>
      <c r="C20" s="140" t="s">
        <v>122</v>
      </c>
      <c r="D20" s="140" t="s">
        <v>123</v>
      </c>
      <c r="E20" s="263" t="s">
        <v>544</v>
      </c>
      <c r="F20" s="140"/>
      <c r="G20" s="140"/>
      <c r="H20" s="140"/>
      <c r="I20" s="140"/>
      <c r="J20" s="140"/>
      <c r="K20" s="140"/>
      <c r="L20" s="140"/>
      <c r="M20" s="140"/>
      <c r="N20" s="140"/>
      <c r="O20" s="140"/>
      <c r="P20" s="140"/>
      <c r="Q20" s="140"/>
      <c r="R20" s="140"/>
      <c r="S20" s="140"/>
      <c r="T20" s="140" t="s">
        <v>38</v>
      </c>
      <c r="U20" s="140"/>
      <c r="V20" s="141"/>
      <c r="W20" s="141"/>
      <c r="X20" s="141"/>
      <c r="Y20" s="164" t="s">
        <v>288</v>
      </c>
      <c r="Z20" s="230">
        <f>1263747.75+63212.5+38884+11743</f>
        <v>1377587.25</v>
      </c>
      <c r="AA20" s="230">
        <v>1377587.25</v>
      </c>
      <c r="AB20" s="230">
        <v>1377587.25</v>
      </c>
      <c r="AC20" s="229" t="s">
        <v>288</v>
      </c>
      <c r="AD20" s="227"/>
    </row>
    <row r="21" spans="1:30" ht="116.25" customHeight="1" x14ac:dyDescent="0.3">
      <c r="A21" s="139" t="s">
        <v>289</v>
      </c>
      <c r="B21" s="140" t="s">
        <v>15</v>
      </c>
      <c r="C21" s="140" t="s">
        <v>122</v>
      </c>
      <c r="D21" s="140" t="s">
        <v>123</v>
      </c>
      <c r="E21" s="263" t="s">
        <v>544</v>
      </c>
      <c r="F21" s="140"/>
      <c r="G21" s="140"/>
      <c r="H21" s="140"/>
      <c r="I21" s="140"/>
      <c r="J21" s="140"/>
      <c r="K21" s="140"/>
      <c r="L21" s="140"/>
      <c r="M21" s="140"/>
      <c r="N21" s="140"/>
      <c r="O21" s="140"/>
      <c r="P21" s="140"/>
      <c r="Q21" s="140"/>
      <c r="R21" s="140"/>
      <c r="S21" s="140"/>
      <c r="T21" s="140" t="s">
        <v>290</v>
      </c>
      <c r="U21" s="140"/>
      <c r="V21" s="141"/>
      <c r="W21" s="141"/>
      <c r="X21" s="141"/>
      <c r="Y21" s="139" t="s">
        <v>289</v>
      </c>
      <c r="Z21" s="230">
        <v>222573.32</v>
      </c>
      <c r="AA21" s="230">
        <v>222573.32</v>
      </c>
      <c r="AB21" s="230">
        <v>222573.22</v>
      </c>
      <c r="AC21" s="231" t="s">
        <v>289</v>
      </c>
      <c r="AD21" s="227"/>
    </row>
    <row r="22" spans="1:30" ht="111.75" customHeight="1" x14ac:dyDescent="0.3">
      <c r="A22" s="139" t="s">
        <v>291</v>
      </c>
      <c r="B22" s="140" t="s">
        <v>15</v>
      </c>
      <c r="C22" s="140" t="s">
        <v>122</v>
      </c>
      <c r="D22" s="140" t="s">
        <v>123</v>
      </c>
      <c r="E22" s="263" t="s">
        <v>544</v>
      </c>
      <c r="F22" s="140"/>
      <c r="G22" s="140"/>
      <c r="H22" s="140"/>
      <c r="I22" s="140"/>
      <c r="J22" s="140"/>
      <c r="K22" s="140"/>
      <c r="L22" s="140"/>
      <c r="M22" s="140"/>
      <c r="N22" s="140"/>
      <c r="O22" s="140"/>
      <c r="P22" s="140"/>
      <c r="Q22" s="140"/>
      <c r="R22" s="140"/>
      <c r="S22" s="140"/>
      <c r="T22" s="140" t="s">
        <v>243</v>
      </c>
      <c r="U22" s="140"/>
      <c r="V22" s="141"/>
      <c r="W22" s="141"/>
      <c r="X22" s="141"/>
      <c r="Y22" s="139" t="s">
        <v>291</v>
      </c>
      <c r="Z22" s="230">
        <v>7996.65</v>
      </c>
      <c r="AA22" s="230">
        <v>7996.65</v>
      </c>
      <c r="AB22" s="230">
        <v>7996.65</v>
      </c>
      <c r="AC22" s="231" t="s">
        <v>291</v>
      </c>
      <c r="AD22" s="227"/>
    </row>
    <row r="23" spans="1:30" ht="103.5" customHeight="1" x14ac:dyDescent="0.3">
      <c r="A23" s="170" t="s">
        <v>249</v>
      </c>
      <c r="B23" s="171" t="s">
        <v>15</v>
      </c>
      <c r="C23" s="171" t="s">
        <v>122</v>
      </c>
      <c r="D23" s="171" t="s">
        <v>136</v>
      </c>
      <c r="E23" s="171"/>
      <c r="F23" s="171"/>
      <c r="G23" s="171"/>
      <c r="H23" s="171"/>
      <c r="I23" s="171"/>
      <c r="J23" s="171"/>
      <c r="K23" s="171"/>
      <c r="L23" s="171"/>
      <c r="M23" s="171"/>
      <c r="N23" s="171"/>
      <c r="O23" s="171"/>
      <c r="P23" s="171"/>
      <c r="Q23" s="171"/>
      <c r="R23" s="171"/>
      <c r="S23" s="171"/>
      <c r="T23" s="171"/>
      <c r="U23" s="171"/>
      <c r="V23" s="240"/>
      <c r="W23" s="240"/>
      <c r="X23" s="240"/>
      <c r="Y23" s="170" t="s">
        <v>249</v>
      </c>
      <c r="Z23" s="241">
        <f>Z24+Z26+Z32+Z30</f>
        <v>30217711.690000001</v>
      </c>
      <c r="AA23" s="241">
        <f>AA24+AA26+AA32+AA30</f>
        <v>30325711.680000003</v>
      </c>
      <c r="AB23" s="241">
        <f>AB24+AB26+AB32+AB30</f>
        <v>30325711.680000003</v>
      </c>
      <c r="AC23" s="241" t="e">
        <f>AC24+AC26+AC32+AC30</f>
        <v>#VALUE!</v>
      </c>
      <c r="AD23" s="227"/>
    </row>
    <row r="24" spans="1:30" ht="117.75" hidden="1" customHeight="1" x14ac:dyDescent="0.3">
      <c r="A24" s="162" t="s">
        <v>822</v>
      </c>
      <c r="B24" s="172" t="s">
        <v>15</v>
      </c>
      <c r="C24" s="172" t="s">
        <v>122</v>
      </c>
      <c r="D24" s="172" t="s">
        <v>136</v>
      </c>
      <c r="E24" s="263" t="s">
        <v>545</v>
      </c>
      <c r="F24" s="172"/>
      <c r="G24" s="172"/>
      <c r="H24" s="172"/>
      <c r="I24" s="172"/>
      <c r="J24" s="172"/>
      <c r="K24" s="172"/>
      <c r="L24" s="172"/>
      <c r="M24" s="172"/>
      <c r="N24" s="172"/>
      <c r="O24" s="172"/>
      <c r="P24" s="172"/>
      <c r="Q24" s="172"/>
      <c r="R24" s="172"/>
      <c r="S24" s="172"/>
      <c r="T24" s="172"/>
      <c r="U24" s="172"/>
      <c r="V24" s="221"/>
      <c r="W24" s="221"/>
      <c r="X24" s="221"/>
      <c r="Y24" s="162" t="s">
        <v>292</v>
      </c>
      <c r="Z24" s="268">
        <f>Z25</f>
        <v>0</v>
      </c>
      <c r="AA24" s="268">
        <f>AA25</f>
        <v>0</v>
      </c>
      <c r="AB24" s="268">
        <f>AB25</f>
        <v>0</v>
      </c>
      <c r="AC24" s="228" t="s">
        <v>292</v>
      </c>
      <c r="AD24" s="227"/>
    </row>
    <row r="25" spans="1:30" ht="87.75" hidden="1" customHeight="1" x14ac:dyDescent="0.3">
      <c r="A25" s="139" t="s">
        <v>293</v>
      </c>
      <c r="B25" s="140" t="s">
        <v>15</v>
      </c>
      <c r="C25" s="140" t="s">
        <v>122</v>
      </c>
      <c r="D25" s="140" t="s">
        <v>136</v>
      </c>
      <c r="E25" s="263" t="s">
        <v>545</v>
      </c>
      <c r="F25" s="140"/>
      <c r="G25" s="140"/>
      <c r="H25" s="140"/>
      <c r="I25" s="140"/>
      <c r="J25" s="140"/>
      <c r="K25" s="140"/>
      <c r="L25" s="140"/>
      <c r="M25" s="140"/>
      <c r="N25" s="140"/>
      <c r="O25" s="140"/>
      <c r="P25" s="140"/>
      <c r="Q25" s="140"/>
      <c r="R25" s="140"/>
      <c r="S25" s="140"/>
      <c r="T25" s="140" t="s">
        <v>290</v>
      </c>
      <c r="U25" s="140"/>
      <c r="V25" s="141"/>
      <c r="W25" s="141"/>
      <c r="X25" s="141"/>
      <c r="Y25" s="139" t="s">
        <v>293</v>
      </c>
      <c r="Z25" s="230">
        <v>0</v>
      </c>
      <c r="AA25" s="230">
        <v>0</v>
      </c>
      <c r="AB25" s="230">
        <v>0</v>
      </c>
      <c r="AC25" s="231" t="s">
        <v>293</v>
      </c>
      <c r="AD25" s="227"/>
    </row>
    <row r="26" spans="1:30" ht="170.25" customHeight="1" x14ac:dyDescent="0.3">
      <c r="A26" s="162" t="s">
        <v>632</v>
      </c>
      <c r="B26" s="172" t="s">
        <v>15</v>
      </c>
      <c r="C26" s="172" t="s">
        <v>122</v>
      </c>
      <c r="D26" s="172" t="s">
        <v>136</v>
      </c>
      <c r="E26" s="263" t="s">
        <v>546</v>
      </c>
      <c r="F26" s="172"/>
      <c r="G26" s="172"/>
      <c r="H26" s="172"/>
      <c r="I26" s="172"/>
      <c r="J26" s="172"/>
      <c r="K26" s="172"/>
      <c r="L26" s="172"/>
      <c r="M26" s="172"/>
      <c r="N26" s="172"/>
      <c r="O26" s="172"/>
      <c r="P26" s="172"/>
      <c r="Q26" s="172"/>
      <c r="R26" s="172"/>
      <c r="S26" s="172"/>
      <c r="T26" s="172"/>
      <c r="U26" s="172"/>
      <c r="V26" s="221"/>
      <c r="W26" s="221"/>
      <c r="X26" s="221"/>
      <c r="Y26" s="162" t="s">
        <v>294</v>
      </c>
      <c r="Z26" s="268">
        <f>Z27+Z28+Z29</f>
        <v>30067711.690000001</v>
      </c>
      <c r="AA26" s="268">
        <f>AA27+AA28+AA29</f>
        <v>30067711.680000003</v>
      </c>
      <c r="AB26" s="268">
        <f>AB27+AB28+AB29</f>
        <v>30067711.680000003</v>
      </c>
      <c r="AC26" s="228" t="s">
        <v>294</v>
      </c>
      <c r="AD26" s="227"/>
    </row>
    <row r="27" spans="1:30" ht="150.75" customHeight="1" x14ac:dyDescent="0.3">
      <c r="A27" s="164" t="s">
        <v>295</v>
      </c>
      <c r="B27" s="140" t="s">
        <v>15</v>
      </c>
      <c r="C27" s="140" t="s">
        <v>122</v>
      </c>
      <c r="D27" s="140" t="s">
        <v>136</v>
      </c>
      <c r="E27" s="263" t="s">
        <v>546</v>
      </c>
      <c r="F27" s="140"/>
      <c r="G27" s="140"/>
      <c r="H27" s="140"/>
      <c r="I27" s="140"/>
      <c r="J27" s="140"/>
      <c r="K27" s="140"/>
      <c r="L27" s="140"/>
      <c r="M27" s="140"/>
      <c r="N27" s="140"/>
      <c r="O27" s="140"/>
      <c r="P27" s="140"/>
      <c r="Q27" s="140"/>
      <c r="R27" s="140"/>
      <c r="S27" s="140"/>
      <c r="T27" s="140" t="s">
        <v>38</v>
      </c>
      <c r="U27" s="140"/>
      <c r="V27" s="141"/>
      <c r="W27" s="141"/>
      <c r="X27" s="141"/>
      <c r="Y27" s="164" t="s">
        <v>295</v>
      </c>
      <c r="Z27" s="230">
        <f>17266840.2+689030.66+5214585.74+1282124.41+734111+221702</f>
        <v>25408394.010000002</v>
      </c>
      <c r="AA27" s="230">
        <v>25408394.010000002</v>
      </c>
      <c r="AB27" s="230">
        <v>25408394.010000002</v>
      </c>
      <c r="AC27" s="229" t="s">
        <v>295</v>
      </c>
      <c r="AD27" s="227"/>
    </row>
    <row r="28" spans="1:30" ht="93" customHeight="1" x14ac:dyDescent="0.3">
      <c r="A28" s="139" t="s">
        <v>296</v>
      </c>
      <c r="B28" s="140" t="s">
        <v>15</v>
      </c>
      <c r="C28" s="140" t="s">
        <v>122</v>
      </c>
      <c r="D28" s="140" t="s">
        <v>136</v>
      </c>
      <c r="E28" s="263" t="s">
        <v>546</v>
      </c>
      <c r="F28" s="140"/>
      <c r="G28" s="140"/>
      <c r="H28" s="140"/>
      <c r="I28" s="140"/>
      <c r="J28" s="140"/>
      <c r="K28" s="140"/>
      <c r="L28" s="140"/>
      <c r="M28" s="140"/>
      <c r="N28" s="140"/>
      <c r="O28" s="140"/>
      <c r="P28" s="140"/>
      <c r="Q28" s="140"/>
      <c r="R28" s="140"/>
      <c r="S28" s="140"/>
      <c r="T28" s="140" t="s">
        <v>290</v>
      </c>
      <c r="U28" s="140"/>
      <c r="V28" s="141"/>
      <c r="W28" s="141"/>
      <c r="X28" s="141"/>
      <c r="Y28" s="139" t="s">
        <v>296</v>
      </c>
      <c r="Z28" s="230">
        <f>1127061.54+2572541.69+387346.05+256317.2+50000</f>
        <v>4393266.4799999995</v>
      </c>
      <c r="AA28" s="230">
        <f>1127061.54+2572541.69+387346.05+256317.2+50000</f>
        <v>4393266.4799999995</v>
      </c>
      <c r="AB28" s="230">
        <f>1127061.54+2572541.69+387346.05+256317.2+50000</f>
        <v>4393266.4799999995</v>
      </c>
      <c r="AC28" s="231" t="s">
        <v>296</v>
      </c>
      <c r="AD28" s="227"/>
    </row>
    <row r="29" spans="1:30" ht="73.5" customHeight="1" x14ac:dyDescent="0.3">
      <c r="A29" s="139" t="s">
        <v>297</v>
      </c>
      <c r="B29" s="140" t="s">
        <v>15</v>
      </c>
      <c r="C29" s="140" t="s">
        <v>122</v>
      </c>
      <c r="D29" s="140" t="s">
        <v>136</v>
      </c>
      <c r="E29" s="263" t="s">
        <v>546</v>
      </c>
      <c r="F29" s="140"/>
      <c r="G29" s="140"/>
      <c r="H29" s="140"/>
      <c r="I29" s="140"/>
      <c r="J29" s="140"/>
      <c r="K29" s="140"/>
      <c r="L29" s="140"/>
      <c r="M29" s="140"/>
      <c r="N29" s="140"/>
      <c r="O29" s="140"/>
      <c r="P29" s="140"/>
      <c r="Q29" s="140"/>
      <c r="R29" s="140"/>
      <c r="S29" s="140"/>
      <c r="T29" s="140" t="s">
        <v>243</v>
      </c>
      <c r="U29" s="140"/>
      <c r="V29" s="141"/>
      <c r="W29" s="141"/>
      <c r="X29" s="141"/>
      <c r="Y29" s="139" t="s">
        <v>297</v>
      </c>
      <c r="Z29" s="230">
        <f>93879.53+162171.67+10000</f>
        <v>266051.20000000001</v>
      </c>
      <c r="AA29" s="230">
        <f>93879.52+162171.67+10000</f>
        <v>266051.19</v>
      </c>
      <c r="AB29" s="230">
        <f>93879.52+162171.67+10000</f>
        <v>266051.19</v>
      </c>
      <c r="AC29" s="231" t="s">
        <v>297</v>
      </c>
      <c r="AD29" s="227"/>
    </row>
    <row r="30" spans="1:30" s="317" customFormat="1" ht="2.25" hidden="1" customHeight="1" x14ac:dyDescent="0.3">
      <c r="A30" s="162" t="s">
        <v>999</v>
      </c>
      <c r="B30" s="172" t="s">
        <v>15</v>
      </c>
      <c r="C30" s="172" t="s">
        <v>122</v>
      </c>
      <c r="D30" s="172" t="s">
        <v>136</v>
      </c>
      <c r="E30" s="263" t="s">
        <v>998</v>
      </c>
      <c r="F30" s="172"/>
      <c r="G30" s="172"/>
      <c r="H30" s="172"/>
      <c r="I30" s="172"/>
      <c r="J30" s="172"/>
      <c r="K30" s="172"/>
      <c r="L30" s="172"/>
      <c r="M30" s="172"/>
      <c r="N30" s="172"/>
      <c r="O30" s="172"/>
      <c r="P30" s="172"/>
      <c r="Q30" s="172"/>
      <c r="R30" s="172"/>
      <c r="S30" s="172"/>
      <c r="T30" s="172"/>
      <c r="U30" s="172"/>
      <c r="V30" s="221"/>
      <c r="W30" s="221"/>
      <c r="X30" s="221"/>
      <c r="Y30" s="162"/>
      <c r="Z30" s="268">
        <f>Z31</f>
        <v>0</v>
      </c>
      <c r="AA30" s="268">
        <f>AA31</f>
        <v>0</v>
      </c>
      <c r="AB30" s="268">
        <f>AB31</f>
        <v>0</v>
      </c>
      <c r="AC30" s="262">
        <f>AC31</f>
        <v>0</v>
      </c>
      <c r="AD30" s="316"/>
    </row>
    <row r="31" spans="1:30" s="317" customFormat="1" ht="66" hidden="1" customHeight="1" x14ac:dyDescent="0.3">
      <c r="A31" s="139" t="s">
        <v>296</v>
      </c>
      <c r="B31" s="140" t="s">
        <v>15</v>
      </c>
      <c r="C31" s="140" t="s">
        <v>122</v>
      </c>
      <c r="D31" s="140" t="s">
        <v>136</v>
      </c>
      <c r="E31" s="263" t="s">
        <v>998</v>
      </c>
      <c r="F31" s="140"/>
      <c r="G31" s="140"/>
      <c r="H31" s="140"/>
      <c r="I31" s="140"/>
      <c r="J31" s="140"/>
      <c r="K31" s="140"/>
      <c r="L31" s="140"/>
      <c r="M31" s="140"/>
      <c r="N31" s="140"/>
      <c r="O31" s="140"/>
      <c r="P31" s="140"/>
      <c r="Q31" s="140"/>
      <c r="R31" s="140"/>
      <c r="S31" s="140"/>
      <c r="T31" s="140" t="s">
        <v>290</v>
      </c>
      <c r="U31" s="140"/>
      <c r="V31" s="141"/>
      <c r="W31" s="141"/>
      <c r="X31" s="141"/>
      <c r="Y31" s="139"/>
      <c r="Z31" s="230">
        <v>0</v>
      </c>
      <c r="AA31" s="230">
        <v>0</v>
      </c>
      <c r="AB31" s="230">
        <v>0</v>
      </c>
      <c r="AC31" s="315"/>
      <c r="AD31" s="316"/>
    </row>
    <row r="32" spans="1:30" ht="84.75" customHeight="1" x14ac:dyDescent="0.3">
      <c r="A32" s="162" t="s">
        <v>298</v>
      </c>
      <c r="B32" s="172" t="s">
        <v>15</v>
      </c>
      <c r="C32" s="172" t="s">
        <v>122</v>
      </c>
      <c r="D32" s="172" t="s">
        <v>136</v>
      </c>
      <c r="E32" s="263" t="s">
        <v>547</v>
      </c>
      <c r="F32" s="172"/>
      <c r="G32" s="172"/>
      <c r="H32" s="172"/>
      <c r="I32" s="172"/>
      <c r="J32" s="172"/>
      <c r="K32" s="172"/>
      <c r="L32" s="172"/>
      <c r="M32" s="172"/>
      <c r="N32" s="172"/>
      <c r="O32" s="172"/>
      <c r="P32" s="172"/>
      <c r="Q32" s="172"/>
      <c r="R32" s="172"/>
      <c r="S32" s="172"/>
      <c r="T32" s="172"/>
      <c r="U32" s="172"/>
      <c r="V32" s="221"/>
      <c r="W32" s="221"/>
      <c r="X32" s="221"/>
      <c r="Y32" s="162" t="s">
        <v>298</v>
      </c>
      <c r="Z32" s="268">
        <f>Z33+Z34</f>
        <v>150000</v>
      </c>
      <c r="AA32" s="268">
        <f>AA33+AA34</f>
        <v>258000</v>
      </c>
      <c r="AB32" s="268">
        <f>AB33+AB34</f>
        <v>258000</v>
      </c>
      <c r="AC32" s="228" t="s">
        <v>298</v>
      </c>
      <c r="AD32" s="227"/>
    </row>
    <row r="33" spans="1:30" ht="197.25" customHeight="1" x14ac:dyDescent="0.3">
      <c r="A33" s="164" t="s">
        <v>299</v>
      </c>
      <c r="B33" s="140" t="s">
        <v>15</v>
      </c>
      <c r="C33" s="140" t="s">
        <v>122</v>
      </c>
      <c r="D33" s="140" t="s">
        <v>136</v>
      </c>
      <c r="E33" s="263" t="s">
        <v>547</v>
      </c>
      <c r="F33" s="140"/>
      <c r="G33" s="140"/>
      <c r="H33" s="140"/>
      <c r="I33" s="140"/>
      <c r="J33" s="140"/>
      <c r="K33" s="140"/>
      <c r="L33" s="140"/>
      <c r="M33" s="140"/>
      <c r="N33" s="140"/>
      <c r="O33" s="140"/>
      <c r="P33" s="140"/>
      <c r="Q33" s="140"/>
      <c r="R33" s="140"/>
      <c r="S33" s="140"/>
      <c r="T33" s="140" t="s">
        <v>38</v>
      </c>
      <c r="U33" s="140"/>
      <c r="V33" s="141"/>
      <c r="W33" s="141"/>
      <c r="X33" s="141"/>
      <c r="Y33" s="164" t="s">
        <v>299</v>
      </c>
      <c r="Z33" s="230">
        <v>100000</v>
      </c>
      <c r="AA33" s="230">
        <v>160000</v>
      </c>
      <c r="AB33" s="230">
        <v>160000</v>
      </c>
      <c r="AC33" s="229" t="s">
        <v>299</v>
      </c>
      <c r="AD33" s="227"/>
    </row>
    <row r="34" spans="1:30" ht="143.25" customHeight="1" x14ac:dyDescent="0.3">
      <c r="A34" s="139" t="s">
        <v>300</v>
      </c>
      <c r="B34" s="140" t="s">
        <v>15</v>
      </c>
      <c r="C34" s="140" t="s">
        <v>122</v>
      </c>
      <c r="D34" s="140" t="s">
        <v>136</v>
      </c>
      <c r="E34" s="263" t="s">
        <v>547</v>
      </c>
      <c r="F34" s="140"/>
      <c r="G34" s="140"/>
      <c r="H34" s="140"/>
      <c r="I34" s="140"/>
      <c r="J34" s="140"/>
      <c r="K34" s="140"/>
      <c r="L34" s="140"/>
      <c r="M34" s="140"/>
      <c r="N34" s="140"/>
      <c r="O34" s="140"/>
      <c r="P34" s="140"/>
      <c r="Q34" s="140"/>
      <c r="R34" s="140"/>
      <c r="S34" s="140"/>
      <c r="T34" s="140" t="s">
        <v>290</v>
      </c>
      <c r="U34" s="140"/>
      <c r="V34" s="141"/>
      <c r="W34" s="141"/>
      <c r="X34" s="141"/>
      <c r="Y34" s="139" t="s">
        <v>300</v>
      </c>
      <c r="Z34" s="230">
        <v>50000</v>
      </c>
      <c r="AA34" s="230">
        <v>98000</v>
      </c>
      <c r="AB34" s="230">
        <v>98000</v>
      </c>
      <c r="AC34" s="231" t="s">
        <v>300</v>
      </c>
      <c r="AD34" s="227"/>
    </row>
    <row r="35" spans="1:30" ht="49.5" customHeight="1" x14ac:dyDescent="0.3">
      <c r="A35" s="170" t="s">
        <v>137</v>
      </c>
      <c r="B35" s="171" t="s">
        <v>15</v>
      </c>
      <c r="C35" s="171" t="s">
        <v>122</v>
      </c>
      <c r="D35" s="171" t="s">
        <v>124</v>
      </c>
      <c r="E35" s="171"/>
      <c r="F35" s="171"/>
      <c r="G35" s="171"/>
      <c r="H35" s="171"/>
      <c r="I35" s="171"/>
      <c r="J35" s="171"/>
      <c r="K35" s="171"/>
      <c r="L35" s="171"/>
      <c r="M35" s="171"/>
      <c r="N35" s="171"/>
      <c r="O35" s="171"/>
      <c r="P35" s="171"/>
      <c r="Q35" s="171"/>
      <c r="R35" s="171"/>
      <c r="S35" s="171"/>
      <c r="T35" s="171"/>
      <c r="U35" s="171"/>
      <c r="V35" s="240"/>
      <c r="W35" s="240"/>
      <c r="X35" s="240"/>
      <c r="Y35" s="170" t="s">
        <v>137</v>
      </c>
      <c r="Z35" s="241">
        <f>Z36</f>
        <v>328200</v>
      </c>
      <c r="AA35" s="241">
        <f t="shared" ref="Z35:AB36" si="1">AA36</f>
        <v>22000</v>
      </c>
      <c r="AB35" s="241">
        <f t="shared" si="1"/>
        <v>35400</v>
      </c>
      <c r="AC35" s="226" t="s">
        <v>137</v>
      </c>
      <c r="AD35" s="227"/>
    </row>
    <row r="36" spans="1:30" ht="100.5" customHeight="1" x14ac:dyDescent="0.3">
      <c r="A36" s="414" t="s">
        <v>230</v>
      </c>
      <c r="B36" s="172" t="s">
        <v>15</v>
      </c>
      <c r="C36" s="172" t="s">
        <v>122</v>
      </c>
      <c r="D36" s="172" t="s">
        <v>124</v>
      </c>
      <c r="E36" s="172" t="s">
        <v>728</v>
      </c>
      <c r="F36" s="172"/>
      <c r="G36" s="172"/>
      <c r="H36" s="172"/>
      <c r="I36" s="172"/>
      <c r="J36" s="172"/>
      <c r="K36" s="172"/>
      <c r="L36" s="172"/>
      <c r="M36" s="172"/>
      <c r="N36" s="172"/>
      <c r="O36" s="172"/>
      <c r="P36" s="172"/>
      <c r="Q36" s="172"/>
      <c r="R36" s="172"/>
      <c r="S36" s="172"/>
      <c r="T36" s="172"/>
      <c r="U36" s="172"/>
      <c r="V36" s="221"/>
      <c r="W36" s="221"/>
      <c r="X36" s="221"/>
      <c r="Y36" s="162" t="s">
        <v>230</v>
      </c>
      <c r="Z36" s="268">
        <f t="shared" si="1"/>
        <v>328200</v>
      </c>
      <c r="AA36" s="268">
        <f t="shared" si="1"/>
        <v>22000</v>
      </c>
      <c r="AB36" s="268">
        <f t="shared" si="1"/>
        <v>35400</v>
      </c>
      <c r="AC36" s="228" t="s">
        <v>230</v>
      </c>
      <c r="AD36" s="227"/>
    </row>
    <row r="37" spans="1:30" ht="134.25" customHeight="1" x14ac:dyDescent="0.3">
      <c r="A37" s="472" t="s">
        <v>301</v>
      </c>
      <c r="B37" s="140" t="s">
        <v>15</v>
      </c>
      <c r="C37" s="140" t="s">
        <v>122</v>
      </c>
      <c r="D37" s="140" t="s">
        <v>124</v>
      </c>
      <c r="E37" s="172" t="s">
        <v>728</v>
      </c>
      <c r="F37" s="140"/>
      <c r="G37" s="140"/>
      <c r="H37" s="140"/>
      <c r="I37" s="140"/>
      <c r="J37" s="140"/>
      <c r="K37" s="140"/>
      <c r="L37" s="140"/>
      <c r="M37" s="140"/>
      <c r="N37" s="140"/>
      <c r="O37" s="140"/>
      <c r="P37" s="140"/>
      <c r="Q37" s="140"/>
      <c r="R37" s="140"/>
      <c r="S37" s="140"/>
      <c r="T37" s="140" t="s">
        <v>290</v>
      </c>
      <c r="U37" s="140"/>
      <c r="V37" s="141"/>
      <c r="W37" s="141"/>
      <c r="X37" s="141"/>
      <c r="Y37" s="139" t="s">
        <v>301</v>
      </c>
      <c r="Z37" s="230">
        <v>328200</v>
      </c>
      <c r="AA37" s="230">
        <v>22000</v>
      </c>
      <c r="AB37" s="230">
        <v>35400</v>
      </c>
      <c r="AC37" s="231" t="s">
        <v>301</v>
      </c>
      <c r="AD37" s="227"/>
    </row>
    <row r="38" spans="1:30" ht="74.25" customHeight="1" x14ac:dyDescent="0.3">
      <c r="A38" s="170" t="s">
        <v>250</v>
      </c>
      <c r="B38" s="171" t="s">
        <v>15</v>
      </c>
      <c r="C38" s="171" t="s">
        <v>122</v>
      </c>
      <c r="D38" s="171" t="s">
        <v>125</v>
      </c>
      <c r="E38" s="171"/>
      <c r="F38" s="171"/>
      <c r="G38" s="171"/>
      <c r="H38" s="171"/>
      <c r="I38" s="171"/>
      <c r="J38" s="171"/>
      <c r="K38" s="171"/>
      <c r="L38" s="171"/>
      <c r="M38" s="171"/>
      <c r="N38" s="171"/>
      <c r="O38" s="171"/>
      <c r="P38" s="171"/>
      <c r="Q38" s="171"/>
      <c r="R38" s="171"/>
      <c r="S38" s="171"/>
      <c r="T38" s="171"/>
      <c r="U38" s="171"/>
      <c r="V38" s="240"/>
      <c r="W38" s="240"/>
      <c r="X38" s="240"/>
      <c r="Y38" s="170" t="s">
        <v>250</v>
      </c>
      <c r="Z38" s="241">
        <f t="shared" ref="Z38:AB39" si="2">Z39</f>
        <v>554179.01</v>
      </c>
      <c r="AA38" s="241">
        <f t="shared" si="2"/>
        <v>554179.01</v>
      </c>
      <c r="AB38" s="241">
        <f t="shared" si="2"/>
        <v>554179.01</v>
      </c>
      <c r="AC38" s="226" t="s">
        <v>250</v>
      </c>
      <c r="AD38" s="227"/>
    </row>
    <row r="39" spans="1:30" ht="74.45" customHeight="1" x14ac:dyDescent="0.3">
      <c r="A39" s="162" t="s">
        <v>239</v>
      </c>
      <c r="B39" s="172" t="s">
        <v>15</v>
      </c>
      <c r="C39" s="172" t="s">
        <v>122</v>
      </c>
      <c r="D39" s="172" t="s">
        <v>125</v>
      </c>
      <c r="E39" s="263" t="s">
        <v>548</v>
      </c>
      <c r="F39" s="172"/>
      <c r="G39" s="172"/>
      <c r="H39" s="172"/>
      <c r="I39" s="172"/>
      <c r="J39" s="172"/>
      <c r="K39" s="172"/>
      <c r="L39" s="172"/>
      <c r="M39" s="172"/>
      <c r="N39" s="172"/>
      <c r="O39" s="172"/>
      <c r="P39" s="172"/>
      <c r="Q39" s="172"/>
      <c r="R39" s="172"/>
      <c r="S39" s="172"/>
      <c r="T39" s="172"/>
      <c r="U39" s="172"/>
      <c r="V39" s="221"/>
      <c r="W39" s="221"/>
      <c r="X39" s="221"/>
      <c r="Y39" s="162" t="s">
        <v>239</v>
      </c>
      <c r="Z39" s="268">
        <f t="shared" si="2"/>
        <v>554179.01</v>
      </c>
      <c r="AA39" s="268">
        <f t="shared" si="2"/>
        <v>554179.01</v>
      </c>
      <c r="AB39" s="268">
        <f t="shared" si="2"/>
        <v>554179.01</v>
      </c>
      <c r="AC39" s="228" t="s">
        <v>239</v>
      </c>
      <c r="AD39" s="227"/>
    </row>
    <row r="40" spans="1:30" ht="168.75" customHeight="1" x14ac:dyDescent="0.3">
      <c r="A40" s="164" t="s">
        <v>302</v>
      </c>
      <c r="B40" s="140" t="s">
        <v>15</v>
      </c>
      <c r="C40" s="140" t="s">
        <v>122</v>
      </c>
      <c r="D40" s="140" t="s">
        <v>125</v>
      </c>
      <c r="E40" s="263" t="s">
        <v>548</v>
      </c>
      <c r="F40" s="140"/>
      <c r="G40" s="140"/>
      <c r="H40" s="140"/>
      <c r="I40" s="140"/>
      <c r="J40" s="140"/>
      <c r="K40" s="140"/>
      <c r="L40" s="140"/>
      <c r="M40" s="140"/>
      <c r="N40" s="140"/>
      <c r="O40" s="140"/>
      <c r="P40" s="140"/>
      <c r="Q40" s="140"/>
      <c r="R40" s="140"/>
      <c r="S40" s="140"/>
      <c r="T40" s="140" t="s">
        <v>38</v>
      </c>
      <c r="U40" s="140"/>
      <c r="V40" s="141"/>
      <c r="W40" s="141"/>
      <c r="X40" s="141"/>
      <c r="Y40" s="164" t="s">
        <v>302</v>
      </c>
      <c r="Z40" s="230">
        <f>408410.1+1114.06+123339.85+21315</f>
        <v>554179.01</v>
      </c>
      <c r="AA40" s="230">
        <v>554179.01</v>
      </c>
      <c r="AB40" s="230">
        <v>554179.01</v>
      </c>
      <c r="AC40" s="229" t="s">
        <v>302</v>
      </c>
      <c r="AD40" s="227"/>
    </row>
    <row r="41" spans="1:30" ht="61.5" hidden="1" customHeight="1" x14ac:dyDescent="0.35">
      <c r="A41" s="224" t="s">
        <v>139</v>
      </c>
      <c r="B41" s="171" t="s">
        <v>15</v>
      </c>
      <c r="C41" s="171" t="s">
        <v>122</v>
      </c>
      <c r="D41" s="171" t="s">
        <v>138</v>
      </c>
      <c r="E41" s="143"/>
      <c r="F41" s="242"/>
      <c r="G41" s="242"/>
      <c r="H41" s="242"/>
      <c r="I41" s="242"/>
      <c r="J41" s="242"/>
      <c r="K41" s="242"/>
      <c r="L41" s="242"/>
      <c r="M41" s="242"/>
      <c r="N41" s="242"/>
      <c r="O41" s="242"/>
      <c r="P41" s="242"/>
      <c r="Q41" s="242"/>
      <c r="R41" s="242"/>
      <c r="S41" s="242"/>
      <c r="T41" s="242"/>
      <c r="U41" s="242"/>
      <c r="V41" s="243"/>
      <c r="W41" s="243"/>
      <c r="X41" s="243"/>
      <c r="Y41" s="244"/>
      <c r="Z41" s="241">
        <f t="shared" ref="Z41:AB42" si="3">Z42</f>
        <v>0</v>
      </c>
      <c r="AA41" s="245">
        <f t="shared" si="3"/>
        <v>0</v>
      </c>
      <c r="AB41" s="245">
        <f t="shared" si="3"/>
        <v>0</v>
      </c>
      <c r="AC41" s="229"/>
      <c r="AD41" s="227"/>
    </row>
    <row r="42" spans="1:30" ht="61.5" hidden="1" customHeight="1" x14ac:dyDescent="0.3">
      <c r="A42" s="19" t="s">
        <v>798</v>
      </c>
      <c r="B42" s="172" t="s">
        <v>15</v>
      </c>
      <c r="C42" s="172" t="s">
        <v>122</v>
      </c>
      <c r="D42" s="172" t="s">
        <v>138</v>
      </c>
      <c r="E42" s="263" t="s">
        <v>799</v>
      </c>
      <c r="F42" s="140"/>
      <c r="G42" s="140"/>
      <c r="H42" s="140"/>
      <c r="I42" s="140"/>
      <c r="J42" s="140"/>
      <c r="K42" s="140"/>
      <c r="L42" s="140"/>
      <c r="M42" s="140"/>
      <c r="N42" s="140"/>
      <c r="O42" s="140"/>
      <c r="P42" s="140"/>
      <c r="Q42" s="140"/>
      <c r="R42" s="140"/>
      <c r="S42" s="140"/>
      <c r="T42" s="140"/>
      <c r="U42" s="140"/>
      <c r="V42" s="141"/>
      <c r="W42" s="141"/>
      <c r="X42" s="141"/>
      <c r="Y42" s="164"/>
      <c r="Z42" s="230">
        <f t="shared" si="3"/>
        <v>0</v>
      </c>
      <c r="AA42" s="230">
        <f t="shared" si="3"/>
        <v>0</v>
      </c>
      <c r="AB42" s="230">
        <f t="shared" si="3"/>
        <v>0</v>
      </c>
      <c r="AC42" s="229"/>
      <c r="AD42" s="227"/>
    </row>
    <row r="43" spans="1:30" ht="61.5" hidden="1" customHeight="1" x14ac:dyDescent="0.3">
      <c r="A43" s="164" t="s">
        <v>811</v>
      </c>
      <c r="B43" s="172" t="s">
        <v>15</v>
      </c>
      <c r="C43" s="172" t="s">
        <v>122</v>
      </c>
      <c r="D43" s="172" t="s">
        <v>138</v>
      </c>
      <c r="E43" s="263" t="s">
        <v>799</v>
      </c>
      <c r="F43" s="140"/>
      <c r="G43" s="140"/>
      <c r="H43" s="140"/>
      <c r="I43" s="140"/>
      <c r="J43" s="140"/>
      <c r="K43" s="140"/>
      <c r="L43" s="140"/>
      <c r="M43" s="140"/>
      <c r="N43" s="140"/>
      <c r="O43" s="140"/>
      <c r="P43" s="140"/>
      <c r="Q43" s="140"/>
      <c r="R43" s="140"/>
      <c r="S43" s="140"/>
      <c r="T43" s="140" t="s">
        <v>243</v>
      </c>
      <c r="U43" s="140"/>
      <c r="V43" s="141"/>
      <c r="W43" s="141"/>
      <c r="X43" s="141"/>
      <c r="Y43" s="164"/>
      <c r="Z43" s="230">
        <v>0</v>
      </c>
      <c r="AA43" s="230">
        <v>0</v>
      </c>
      <c r="AB43" s="230">
        <v>0</v>
      </c>
      <c r="AC43" s="229"/>
      <c r="AD43" s="227"/>
    </row>
    <row r="44" spans="1:30" ht="28.5" customHeight="1" x14ac:dyDescent="0.3">
      <c r="A44" s="170" t="s">
        <v>140</v>
      </c>
      <c r="B44" s="171" t="s">
        <v>15</v>
      </c>
      <c r="C44" s="171" t="s">
        <v>122</v>
      </c>
      <c r="D44" s="171" t="s">
        <v>128</v>
      </c>
      <c r="E44" s="171"/>
      <c r="F44" s="171"/>
      <c r="G44" s="171"/>
      <c r="H44" s="171"/>
      <c r="I44" s="171"/>
      <c r="J44" s="171"/>
      <c r="K44" s="171"/>
      <c r="L44" s="171"/>
      <c r="M44" s="171"/>
      <c r="N44" s="171"/>
      <c r="O44" s="171"/>
      <c r="P44" s="171"/>
      <c r="Q44" s="171"/>
      <c r="R44" s="171"/>
      <c r="S44" s="171"/>
      <c r="T44" s="171"/>
      <c r="U44" s="171"/>
      <c r="V44" s="240"/>
      <c r="W44" s="240"/>
      <c r="X44" s="240"/>
      <c r="Y44" s="170" t="s">
        <v>140</v>
      </c>
      <c r="Z44" s="241">
        <f t="shared" ref="Z44:AB45" si="4">Z45</f>
        <v>351931</v>
      </c>
      <c r="AA44" s="241">
        <f t="shared" si="4"/>
        <v>351931</v>
      </c>
      <c r="AB44" s="241">
        <f t="shared" si="4"/>
        <v>351931</v>
      </c>
      <c r="AC44" s="226" t="s">
        <v>140</v>
      </c>
      <c r="AD44" s="227"/>
    </row>
    <row r="45" spans="1:30" ht="153" customHeight="1" x14ac:dyDescent="0.3">
      <c r="A45" s="162" t="s">
        <v>633</v>
      </c>
      <c r="B45" s="172" t="s">
        <v>15</v>
      </c>
      <c r="C45" s="172" t="s">
        <v>122</v>
      </c>
      <c r="D45" s="172" t="s">
        <v>128</v>
      </c>
      <c r="E45" s="263" t="s">
        <v>549</v>
      </c>
      <c r="F45" s="172"/>
      <c r="G45" s="172"/>
      <c r="H45" s="172"/>
      <c r="I45" s="172"/>
      <c r="J45" s="172"/>
      <c r="K45" s="172"/>
      <c r="L45" s="172"/>
      <c r="M45" s="172"/>
      <c r="N45" s="172"/>
      <c r="O45" s="172"/>
      <c r="P45" s="172"/>
      <c r="Q45" s="172"/>
      <c r="R45" s="172"/>
      <c r="S45" s="172"/>
      <c r="T45" s="172"/>
      <c r="U45" s="172"/>
      <c r="V45" s="221"/>
      <c r="W45" s="221"/>
      <c r="X45" s="221"/>
      <c r="Y45" s="162" t="s">
        <v>303</v>
      </c>
      <c r="Z45" s="268">
        <f t="shared" si="4"/>
        <v>351931</v>
      </c>
      <c r="AA45" s="268">
        <f t="shared" si="4"/>
        <v>351931</v>
      </c>
      <c r="AB45" s="268">
        <f t="shared" si="4"/>
        <v>351931</v>
      </c>
      <c r="AC45" s="228" t="s">
        <v>303</v>
      </c>
      <c r="AD45" s="227"/>
    </row>
    <row r="46" spans="1:30" ht="55.9" customHeight="1" x14ac:dyDescent="0.3">
      <c r="A46" s="139" t="s">
        <v>304</v>
      </c>
      <c r="B46" s="140" t="s">
        <v>15</v>
      </c>
      <c r="C46" s="140" t="s">
        <v>122</v>
      </c>
      <c r="D46" s="140" t="s">
        <v>128</v>
      </c>
      <c r="E46" s="263" t="s">
        <v>549</v>
      </c>
      <c r="F46" s="140"/>
      <c r="G46" s="140"/>
      <c r="H46" s="140"/>
      <c r="I46" s="140"/>
      <c r="J46" s="140"/>
      <c r="K46" s="140"/>
      <c r="L46" s="140"/>
      <c r="M46" s="140"/>
      <c r="N46" s="140"/>
      <c r="O46" s="140"/>
      <c r="P46" s="140"/>
      <c r="Q46" s="140"/>
      <c r="R46" s="140"/>
      <c r="S46" s="140"/>
      <c r="T46" s="140" t="s">
        <v>243</v>
      </c>
      <c r="U46" s="140"/>
      <c r="V46" s="141"/>
      <c r="W46" s="141"/>
      <c r="X46" s="141"/>
      <c r="Y46" s="139" t="s">
        <v>304</v>
      </c>
      <c r="Z46" s="230">
        <v>351931</v>
      </c>
      <c r="AA46" s="230">
        <v>351931</v>
      </c>
      <c r="AB46" s="230">
        <v>351931</v>
      </c>
      <c r="AC46" s="231" t="s">
        <v>304</v>
      </c>
      <c r="AD46" s="227"/>
    </row>
    <row r="47" spans="1:30" ht="33.75" customHeight="1" x14ac:dyDescent="0.3">
      <c r="A47" s="170" t="s">
        <v>141</v>
      </c>
      <c r="B47" s="171" t="s">
        <v>15</v>
      </c>
      <c r="C47" s="171" t="s">
        <v>122</v>
      </c>
      <c r="D47" s="171" t="s">
        <v>130</v>
      </c>
      <c r="E47" s="171"/>
      <c r="F47" s="171"/>
      <c r="G47" s="171"/>
      <c r="H47" s="171"/>
      <c r="I47" s="171"/>
      <c r="J47" s="171"/>
      <c r="K47" s="171"/>
      <c r="L47" s="171"/>
      <c r="M47" s="171"/>
      <c r="N47" s="171"/>
      <c r="O47" s="171"/>
      <c r="P47" s="171"/>
      <c r="Q47" s="171"/>
      <c r="R47" s="171"/>
      <c r="S47" s="171"/>
      <c r="T47" s="171"/>
      <c r="U47" s="171"/>
      <c r="V47" s="240"/>
      <c r="W47" s="240"/>
      <c r="X47" s="240"/>
      <c r="Y47" s="170" t="s">
        <v>141</v>
      </c>
      <c r="Z47" s="241">
        <f>Z48+Z50+Z62+Z67+Z54+Z65+Z52+Z56+Z59</f>
        <v>18661429.84</v>
      </c>
      <c r="AA47" s="241">
        <f>AA48+AA50+AA62+AA67+AA54+AA65+AA52+AA56+AA59</f>
        <v>18674408.149999999</v>
      </c>
      <c r="AB47" s="241">
        <f>AB48+AB50+AB62+AB67+AB54+AB65+AB52+AB56+AB59</f>
        <v>19013272.309999999</v>
      </c>
      <c r="AC47" s="226" t="s">
        <v>141</v>
      </c>
      <c r="AD47" s="227"/>
    </row>
    <row r="48" spans="1:30" ht="1.5" hidden="1" customHeight="1" x14ac:dyDescent="0.3">
      <c r="A48" s="162" t="s">
        <v>634</v>
      </c>
      <c r="B48" s="172" t="s">
        <v>15</v>
      </c>
      <c r="C48" s="172" t="s">
        <v>122</v>
      </c>
      <c r="D48" s="172" t="s">
        <v>130</v>
      </c>
      <c r="E48" s="263" t="s">
        <v>550</v>
      </c>
      <c r="F48" s="172"/>
      <c r="G48" s="172"/>
      <c r="H48" s="172"/>
      <c r="I48" s="172"/>
      <c r="J48" s="172"/>
      <c r="K48" s="172"/>
      <c r="L48" s="172"/>
      <c r="M48" s="172"/>
      <c r="N48" s="172"/>
      <c r="O48" s="172"/>
      <c r="P48" s="172"/>
      <c r="Q48" s="172"/>
      <c r="R48" s="172"/>
      <c r="S48" s="172"/>
      <c r="T48" s="172"/>
      <c r="U48" s="172"/>
      <c r="V48" s="221"/>
      <c r="W48" s="221"/>
      <c r="X48" s="221"/>
      <c r="Y48" s="162" t="s">
        <v>305</v>
      </c>
      <c r="Z48" s="268">
        <f>Z49</f>
        <v>0</v>
      </c>
      <c r="AA48" s="268">
        <f>AA49</f>
        <v>0</v>
      </c>
      <c r="AB48" s="268">
        <f>AB49</f>
        <v>0</v>
      </c>
      <c r="AC48" s="228" t="s">
        <v>305</v>
      </c>
      <c r="AD48" s="227"/>
    </row>
    <row r="49" spans="1:30" ht="36.75" hidden="1" customHeight="1" x14ac:dyDescent="0.3">
      <c r="A49" s="139" t="s">
        <v>306</v>
      </c>
      <c r="B49" s="140" t="s">
        <v>15</v>
      </c>
      <c r="C49" s="140" t="s">
        <v>122</v>
      </c>
      <c r="D49" s="140" t="s">
        <v>130</v>
      </c>
      <c r="E49" s="263" t="s">
        <v>550</v>
      </c>
      <c r="F49" s="140"/>
      <c r="G49" s="140"/>
      <c r="H49" s="140"/>
      <c r="I49" s="140"/>
      <c r="J49" s="140"/>
      <c r="K49" s="140"/>
      <c r="L49" s="140"/>
      <c r="M49" s="140"/>
      <c r="N49" s="140"/>
      <c r="O49" s="140"/>
      <c r="P49" s="140"/>
      <c r="Q49" s="140"/>
      <c r="R49" s="140"/>
      <c r="S49" s="140"/>
      <c r="T49" s="140" t="s">
        <v>290</v>
      </c>
      <c r="U49" s="140"/>
      <c r="V49" s="141"/>
      <c r="W49" s="141"/>
      <c r="X49" s="141"/>
      <c r="Y49" s="139" t="s">
        <v>306</v>
      </c>
      <c r="Z49" s="230">
        <v>0</v>
      </c>
      <c r="AA49" s="230">
        <v>0</v>
      </c>
      <c r="AB49" s="230">
        <v>0</v>
      </c>
      <c r="AC49" s="231" t="s">
        <v>306</v>
      </c>
      <c r="AD49" s="227"/>
    </row>
    <row r="50" spans="1:30" ht="205.5" customHeight="1" x14ac:dyDescent="0.3">
      <c r="A50" s="162" t="s">
        <v>635</v>
      </c>
      <c r="B50" s="172" t="s">
        <v>15</v>
      </c>
      <c r="C50" s="172" t="s">
        <v>122</v>
      </c>
      <c r="D50" s="172" t="s">
        <v>130</v>
      </c>
      <c r="E50" s="263" t="s">
        <v>551</v>
      </c>
      <c r="F50" s="172"/>
      <c r="G50" s="172"/>
      <c r="H50" s="172"/>
      <c r="I50" s="172"/>
      <c r="J50" s="172"/>
      <c r="K50" s="172"/>
      <c r="L50" s="172"/>
      <c r="M50" s="172"/>
      <c r="N50" s="172"/>
      <c r="O50" s="172"/>
      <c r="P50" s="172"/>
      <c r="Q50" s="172"/>
      <c r="R50" s="172"/>
      <c r="S50" s="172"/>
      <c r="T50" s="172"/>
      <c r="U50" s="172"/>
      <c r="V50" s="221"/>
      <c r="W50" s="221"/>
      <c r="X50" s="221"/>
      <c r="Y50" s="162" t="s">
        <v>307</v>
      </c>
      <c r="Z50" s="268">
        <f>Z51</f>
        <v>16930229.84</v>
      </c>
      <c r="AA50" s="268">
        <f>AA51</f>
        <v>16943208.149999999</v>
      </c>
      <c r="AB50" s="268">
        <f>AB51</f>
        <v>17282072.309999999</v>
      </c>
      <c r="AC50" s="228" t="s">
        <v>307</v>
      </c>
      <c r="AD50" s="227"/>
    </row>
    <row r="51" spans="1:30" ht="141" customHeight="1" x14ac:dyDescent="0.3">
      <c r="A51" s="164" t="s">
        <v>308</v>
      </c>
      <c r="B51" s="140" t="s">
        <v>15</v>
      </c>
      <c r="C51" s="140" t="s">
        <v>122</v>
      </c>
      <c r="D51" s="140" t="s">
        <v>130</v>
      </c>
      <c r="E51" s="263" t="s">
        <v>551</v>
      </c>
      <c r="F51" s="140"/>
      <c r="G51" s="140"/>
      <c r="H51" s="140"/>
      <c r="I51" s="140"/>
      <c r="J51" s="140"/>
      <c r="K51" s="140"/>
      <c r="L51" s="140"/>
      <c r="M51" s="140"/>
      <c r="N51" s="140"/>
      <c r="O51" s="140"/>
      <c r="P51" s="140"/>
      <c r="Q51" s="140"/>
      <c r="R51" s="140"/>
      <c r="S51" s="140"/>
      <c r="T51" s="140" t="s">
        <v>309</v>
      </c>
      <c r="U51" s="140"/>
      <c r="V51" s="141"/>
      <c r="W51" s="141"/>
      <c r="X51" s="141"/>
      <c r="Y51" s="164" t="s">
        <v>308</v>
      </c>
      <c r="Z51" s="230">
        <f>16610988.39+319241.45</f>
        <v>16930229.84</v>
      </c>
      <c r="AA51" s="230">
        <v>16943208.149999999</v>
      </c>
      <c r="AB51" s="230">
        <v>17282072.309999999</v>
      </c>
      <c r="AC51" s="229" t="s">
        <v>308</v>
      </c>
      <c r="AD51" s="227"/>
    </row>
    <row r="52" spans="1:30" ht="54" hidden="1" customHeight="1" x14ac:dyDescent="0.3">
      <c r="A52" s="290" t="s">
        <v>917</v>
      </c>
      <c r="B52" s="140" t="s">
        <v>15</v>
      </c>
      <c r="C52" s="140" t="s">
        <v>122</v>
      </c>
      <c r="D52" s="140" t="s">
        <v>130</v>
      </c>
      <c r="E52" s="263" t="s">
        <v>919</v>
      </c>
      <c r="F52" s="140"/>
      <c r="G52" s="140"/>
      <c r="H52" s="140"/>
      <c r="I52" s="140"/>
      <c r="J52" s="140"/>
      <c r="K52" s="140"/>
      <c r="L52" s="140"/>
      <c r="M52" s="140"/>
      <c r="N52" s="140"/>
      <c r="O52" s="140"/>
      <c r="P52" s="140"/>
      <c r="Q52" s="140"/>
      <c r="R52" s="140"/>
      <c r="S52" s="140"/>
      <c r="T52" s="140"/>
      <c r="U52" s="140"/>
      <c r="V52" s="141"/>
      <c r="W52" s="141"/>
      <c r="X52" s="141"/>
      <c r="Y52" s="164"/>
      <c r="Z52" s="230">
        <f>Z53</f>
        <v>0</v>
      </c>
      <c r="AA52" s="230">
        <v>0</v>
      </c>
      <c r="AB52" s="230">
        <v>0</v>
      </c>
      <c r="AC52" s="229"/>
      <c r="AD52" s="227"/>
    </row>
    <row r="53" spans="1:30" ht="54" hidden="1" customHeight="1" x14ac:dyDescent="0.3">
      <c r="A53" s="164" t="s">
        <v>918</v>
      </c>
      <c r="B53" s="140" t="s">
        <v>15</v>
      </c>
      <c r="C53" s="140" t="s">
        <v>122</v>
      </c>
      <c r="D53" s="140" t="s">
        <v>130</v>
      </c>
      <c r="E53" s="263" t="s">
        <v>919</v>
      </c>
      <c r="F53" s="140"/>
      <c r="G53" s="140"/>
      <c r="H53" s="140"/>
      <c r="I53" s="140"/>
      <c r="J53" s="140"/>
      <c r="K53" s="140"/>
      <c r="L53" s="140"/>
      <c r="M53" s="140"/>
      <c r="N53" s="140"/>
      <c r="O53" s="140"/>
      <c r="P53" s="140"/>
      <c r="Q53" s="140"/>
      <c r="R53" s="140"/>
      <c r="S53" s="140"/>
      <c r="T53" s="140" t="s">
        <v>243</v>
      </c>
      <c r="U53" s="140"/>
      <c r="V53" s="141"/>
      <c r="W53" s="141"/>
      <c r="X53" s="141"/>
      <c r="Y53" s="164"/>
      <c r="Z53" s="230">
        <v>0</v>
      </c>
      <c r="AA53" s="230">
        <v>0</v>
      </c>
      <c r="AB53" s="230">
        <v>0</v>
      </c>
      <c r="AC53" s="229"/>
      <c r="AD53" s="227"/>
    </row>
    <row r="54" spans="1:30" s="317" customFormat="1" ht="54" hidden="1" customHeight="1" x14ac:dyDescent="0.3">
      <c r="A54" s="165" t="s">
        <v>858</v>
      </c>
      <c r="B54" s="140" t="s">
        <v>15</v>
      </c>
      <c r="C54" s="140" t="s">
        <v>122</v>
      </c>
      <c r="D54" s="140" t="s">
        <v>130</v>
      </c>
      <c r="E54" s="263" t="s">
        <v>856</v>
      </c>
      <c r="F54" s="140"/>
      <c r="G54" s="140"/>
      <c r="H54" s="140"/>
      <c r="I54" s="140"/>
      <c r="J54" s="140"/>
      <c r="K54" s="140"/>
      <c r="L54" s="140"/>
      <c r="M54" s="140"/>
      <c r="N54" s="140"/>
      <c r="O54" s="140"/>
      <c r="P54" s="140"/>
      <c r="Q54" s="140"/>
      <c r="R54" s="140"/>
      <c r="S54" s="140"/>
      <c r="T54" s="140"/>
      <c r="U54" s="140"/>
      <c r="V54" s="141"/>
      <c r="W54" s="141"/>
      <c r="X54" s="141"/>
      <c r="Y54" s="164"/>
      <c r="Z54" s="230">
        <f>Z55</f>
        <v>0</v>
      </c>
      <c r="AA54" s="230">
        <f>AA55</f>
        <v>0</v>
      </c>
      <c r="AB54" s="230">
        <f>AB55</f>
        <v>0</v>
      </c>
      <c r="AC54" s="314"/>
      <c r="AD54" s="316"/>
    </row>
    <row r="55" spans="1:30" s="317" customFormat="1" ht="54" hidden="1" customHeight="1" x14ac:dyDescent="0.3">
      <c r="A55" s="164" t="s">
        <v>859</v>
      </c>
      <c r="B55" s="140" t="s">
        <v>15</v>
      </c>
      <c r="C55" s="140" t="s">
        <v>122</v>
      </c>
      <c r="D55" s="140" t="s">
        <v>130</v>
      </c>
      <c r="E55" s="263" t="s">
        <v>856</v>
      </c>
      <c r="F55" s="140"/>
      <c r="G55" s="140"/>
      <c r="H55" s="140"/>
      <c r="I55" s="140"/>
      <c r="J55" s="140"/>
      <c r="K55" s="140"/>
      <c r="L55" s="140"/>
      <c r="M55" s="140"/>
      <c r="N55" s="140"/>
      <c r="O55" s="140"/>
      <c r="P55" s="140"/>
      <c r="Q55" s="140"/>
      <c r="R55" s="140"/>
      <c r="S55" s="140"/>
      <c r="T55" s="140" t="s">
        <v>290</v>
      </c>
      <c r="U55" s="140"/>
      <c r="V55" s="141"/>
      <c r="W55" s="141"/>
      <c r="X55" s="141"/>
      <c r="Y55" s="164"/>
      <c r="Z55" s="230">
        <v>0</v>
      </c>
      <c r="AA55" s="230">
        <v>0</v>
      </c>
      <c r="AB55" s="230">
        <v>0</v>
      </c>
      <c r="AC55" s="314"/>
      <c r="AD55" s="316"/>
    </row>
    <row r="56" spans="1:30" s="317" customFormat="1" ht="186" customHeight="1" x14ac:dyDescent="0.3">
      <c r="A56" s="357" t="s">
        <v>1183</v>
      </c>
      <c r="B56" s="140" t="s">
        <v>15</v>
      </c>
      <c r="C56" s="140" t="s">
        <v>122</v>
      </c>
      <c r="D56" s="140" t="s">
        <v>130</v>
      </c>
      <c r="E56" s="263" t="s">
        <v>1173</v>
      </c>
      <c r="F56" s="140"/>
      <c r="G56" s="140"/>
      <c r="H56" s="140"/>
      <c r="I56" s="140"/>
      <c r="J56" s="140"/>
      <c r="K56" s="140"/>
      <c r="L56" s="140"/>
      <c r="M56" s="140"/>
      <c r="N56" s="140"/>
      <c r="O56" s="140"/>
      <c r="P56" s="140"/>
      <c r="Q56" s="140"/>
      <c r="R56" s="140"/>
      <c r="S56" s="140"/>
      <c r="T56" s="140"/>
      <c r="U56" s="140"/>
      <c r="V56" s="141"/>
      <c r="W56" s="141"/>
      <c r="X56" s="141"/>
      <c r="Y56" s="164"/>
      <c r="Z56" s="230">
        <f>Z57+Z58</f>
        <v>573400</v>
      </c>
      <c r="AA56" s="230">
        <f>AA57+AA58</f>
        <v>573400</v>
      </c>
      <c r="AB56" s="230">
        <f>AB57+AB58</f>
        <v>573400</v>
      </c>
      <c r="AC56" s="314"/>
      <c r="AD56" s="316"/>
    </row>
    <row r="57" spans="1:30" s="317" customFormat="1" ht="106.5" customHeight="1" x14ac:dyDescent="0.3">
      <c r="A57" s="164" t="s">
        <v>815</v>
      </c>
      <c r="B57" s="144" t="s">
        <v>15</v>
      </c>
      <c r="C57" s="140" t="s">
        <v>122</v>
      </c>
      <c r="D57" s="140" t="s">
        <v>130</v>
      </c>
      <c r="E57" s="263" t="s">
        <v>1173</v>
      </c>
      <c r="F57" s="144"/>
      <c r="G57" s="144"/>
      <c r="H57" s="144"/>
      <c r="I57" s="144"/>
      <c r="J57" s="144"/>
      <c r="K57" s="144"/>
      <c r="L57" s="144"/>
      <c r="M57" s="144"/>
      <c r="N57" s="144"/>
      <c r="O57" s="144"/>
      <c r="P57" s="144"/>
      <c r="Q57" s="144"/>
      <c r="R57" s="144"/>
      <c r="S57" s="144"/>
      <c r="T57" s="144" t="s">
        <v>38</v>
      </c>
      <c r="U57" s="144"/>
      <c r="V57" s="145"/>
      <c r="W57" s="145"/>
      <c r="X57" s="145"/>
      <c r="Y57" s="146" t="s">
        <v>393</v>
      </c>
      <c r="Z57" s="147">
        <f>539687</f>
        <v>539687</v>
      </c>
      <c r="AA57" s="148">
        <v>539687</v>
      </c>
      <c r="AB57" s="230">
        <v>539687</v>
      </c>
      <c r="AC57" s="314"/>
      <c r="AD57" s="316"/>
    </row>
    <row r="58" spans="1:30" s="317" customFormat="1" ht="49.5" customHeight="1" x14ac:dyDescent="0.3">
      <c r="A58" s="164" t="s">
        <v>587</v>
      </c>
      <c r="B58" s="144" t="s">
        <v>15</v>
      </c>
      <c r="C58" s="140" t="s">
        <v>122</v>
      </c>
      <c r="D58" s="140" t="s">
        <v>130</v>
      </c>
      <c r="E58" s="263" t="s">
        <v>1173</v>
      </c>
      <c r="F58" s="144"/>
      <c r="G58" s="144"/>
      <c r="H58" s="144"/>
      <c r="I58" s="144"/>
      <c r="J58" s="144"/>
      <c r="K58" s="144"/>
      <c r="L58" s="144"/>
      <c r="M58" s="144"/>
      <c r="N58" s="144"/>
      <c r="O58" s="144"/>
      <c r="P58" s="144"/>
      <c r="Q58" s="144"/>
      <c r="R58" s="144"/>
      <c r="S58" s="144"/>
      <c r="T58" s="144" t="s">
        <v>290</v>
      </c>
      <c r="U58" s="144"/>
      <c r="V58" s="145"/>
      <c r="W58" s="145"/>
      <c r="X58" s="145"/>
      <c r="Y58" s="146" t="s">
        <v>394</v>
      </c>
      <c r="Z58" s="147">
        <v>33713</v>
      </c>
      <c r="AA58" s="148">
        <v>33713</v>
      </c>
      <c r="AB58" s="230">
        <v>33713</v>
      </c>
      <c r="AC58" s="314"/>
      <c r="AD58" s="316"/>
    </row>
    <row r="59" spans="1:30" s="317" customFormat="1" ht="281.25" customHeight="1" x14ac:dyDescent="0.3">
      <c r="A59" s="356" t="s">
        <v>1349</v>
      </c>
      <c r="B59" s="144" t="s">
        <v>15</v>
      </c>
      <c r="C59" s="140" t="s">
        <v>122</v>
      </c>
      <c r="D59" s="140" t="s">
        <v>130</v>
      </c>
      <c r="E59" s="263" t="s">
        <v>1174</v>
      </c>
      <c r="F59" s="140"/>
      <c r="G59" s="140"/>
      <c r="H59" s="140"/>
      <c r="I59" s="140"/>
      <c r="J59" s="140"/>
      <c r="K59" s="140"/>
      <c r="L59" s="140"/>
      <c r="M59" s="140"/>
      <c r="N59" s="140"/>
      <c r="O59" s="140"/>
      <c r="P59" s="140"/>
      <c r="Q59" s="140"/>
      <c r="R59" s="140"/>
      <c r="S59" s="140"/>
      <c r="T59" s="140"/>
      <c r="U59" s="140"/>
      <c r="V59" s="141"/>
      <c r="W59" s="141"/>
      <c r="X59" s="141"/>
      <c r="Y59" s="164"/>
      <c r="Z59" s="230">
        <f>Z60+Z61</f>
        <v>573400</v>
      </c>
      <c r="AA59" s="230">
        <f>AA60+AA61</f>
        <v>573400</v>
      </c>
      <c r="AB59" s="230">
        <f>AB60+AB61</f>
        <v>573400</v>
      </c>
      <c r="AC59" s="314"/>
      <c r="AD59" s="316"/>
    </row>
    <row r="60" spans="1:30" s="317" customFormat="1" ht="101.25" customHeight="1" x14ac:dyDescent="0.3">
      <c r="A60" s="164" t="s">
        <v>816</v>
      </c>
      <c r="B60" s="144" t="s">
        <v>15</v>
      </c>
      <c r="C60" s="144" t="s">
        <v>122</v>
      </c>
      <c r="D60" s="144" t="s">
        <v>130</v>
      </c>
      <c r="E60" s="263" t="s">
        <v>1174</v>
      </c>
      <c r="F60" s="144"/>
      <c r="G60" s="144"/>
      <c r="H60" s="144"/>
      <c r="I60" s="144"/>
      <c r="J60" s="144"/>
      <c r="K60" s="144"/>
      <c r="L60" s="144"/>
      <c r="M60" s="144"/>
      <c r="N60" s="144"/>
      <c r="O60" s="144"/>
      <c r="P60" s="144"/>
      <c r="Q60" s="144"/>
      <c r="R60" s="144"/>
      <c r="S60" s="144"/>
      <c r="T60" s="144" t="s">
        <v>38</v>
      </c>
      <c r="U60" s="140"/>
      <c r="V60" s="141"/>
      <c r="W60" s="141"/>
      <c r="X60" s="141"/>
      <c r="Y60" s="164" t="s">
        <v>404</v>
      </c>
      <c r="Z60" s="230">
        <v>540519.57999999996</v>
      </c>
      <c r="AA60" s="230">
        <v>540519.57999999996</v>
      </c>
      <c r="AB60" s="230">
        <v>540519.57999999996</v>
      </c>
      <c r="AC60" s="314"/>
      <c r="AD60" s="316"/>
    </row>
    <row r="61" spans="1:30" s="317" customFormat="1" ht="71.25" customHeight="1" x14ac:dyDescent="0.3">
      <c r="A61" s="164" t="s">
        <v>587</v>
      </c>
      <c r="B61" s="144" t="s">
        <v>15</v>
      </c>
      <c r="C61" s="144" t="s">
        <v>122</v>
      </c>
      <c r="D61" s="144" t="s">
        <v>130</v>
      </c>
      <c r="E61" s="263" t="s">
        <v>1174</v>
      </c>
      <c r="F61" s="144"/>
      <c r="G61" s="144"/>
      <c r="H61" s="144"/>
      <c r="I61" s="144"/>
      <c r="J61" s="144"/>
      <c r="K61" s="144"/>
      <c r="L61" s="144"/>
      <c r="M61" s="144"/>
      <c r="N61" s="144"/>
      <c r="O61" s="144"/>
      <c r="P61" s="144"/>
      <c r="Q61" s="144"/>
      <c r="R61" s="144"/>
      <c r="S61" s="144"/>
      <c r="T61" s="144" t="s">
        <v>290</v>
      </c>
      <c r="U61" s="140"/>
      <c r="V61" s="141"/>
      <c r="W61" s="141"/>
      <c r="X61" s="141"/>
      <c r="Y61" s="164" t="s">
        <v>405</v>
      </c>
      <c r="Z61" s="230">
        <v>32880.42</v>
      </c>
      <c r="AA61" s="230">
        <v>32880.42</v>
      </c>
      <c r="AB61" s="230">
        <v>32880.42</v>
      </c>
      <c r="AC61" s="314"/>
      <c r="AD61" s="316"/>
    </row>
    <row r="62" spans="1:30" ht="190.5" customHeight="1" x14ac:dyDescent="0.3">
      <c r="A62" s="356" t="s">
        <v>1170</v>
      </c>
      <c r="B62" s="263" t="s">
        <v>15</v>
      </c>
      <c r="C62" s="263" t="s">
        <v>122</v>
      </c>
      <c r="D62" s="263" t="s">
        <v>130</v>
      </c>
      <c r="E62" s="263" t="s">
        <v>1171</v>
      </c>
      <c r="F62" s="263"/>
      <c r="G62" s="263"/>
      <c r="H62" s="263"/>
      <c r="I62" s="263"/>
      <c r="J62" s="263"/>
      <c r="K62" s="263"/>
      <c r="L62" s="263"/>
      <c r="M62" s="263"/>
      <c r="N62" s="263"/>
      <c r="O62" s="263"/>
      <c r="P62" s="263"/>
      <c r="Q62" s="263"/>
      <c r="R62" s="263"/>
      <c r="S62" s="263"/>
      <c r="T62" s="263"/>
      <c r="U62" s="172"/>
      <c r="V62" s="221"/>
      <c r="W62" s="221"/>
      <c r="X62" s="221"/>
      <c r="Y62" s="165" t="s">
        <v>231</v>
      </c>
      <c r="Z62" s="268">
        <f>Z63+Z64</f>
        <v>584400</v>
      </c>
      <c r="AA62" s="268">
        <f>AA63+AA64</f>
        <v>584400</v>
      </c>
      <c r="AB62" s="268">
        <f>AB63+AB64</f>
        <v>584400</v>
      </c>
      <c r="AC62" s="232" t="s">
        <v>231</v>
      </c>
      <c r="AD62" s="227"/>
    </row>
    <row r="63" spans="1:30" ht="115.5" customHeight="1" x14ac:dyDescent="0.3">
      <c r="A63" s="164" t="s">
        <v>815</v>
      </c>
      <c r="B63" s="144" t="s">
        <v>15</v>
      </c>
      <c r="C63" s="144" t="s">
        <v>122</v>
      </c>
      <c r="D63" s="144" t="s">
        <v>130</v>
      </c>
      <c r="E63" s="263" t="s">
        <v>1171</v>
      </c>
      <c r="F63" s="144"/>
      <c r="G63" s="144"/>
      <c r="H63" s="144"/>
      <c r="I63" s="144"/>
      <c r="J63" s="144"/>
      <c r="K63" s="144"/>
      <c r="L63" s="144"/>
      <c r="M63" s="144"/>
      <c r="N63" s="144"/>
      <c r="O63" s="144"/>
      <c r="P63" s="144"/>
      <c r="Q63" s="144"/>
      <c r="R63" s="144"/>
      <c r="S63" s="144"/>
      <c r="T63" s="144" t="s">
        <v>38</v>
      </c>
      <c r="U63" s="140"/>
      <c r="V63" s="141"/>
      <c r="W63" s="141"/>
      <c r="X63" s="141"/>
      <c r="Y63" s="164" t="s">
        <v>310</v>
      </c>
      <c r="Z63" s="230">
        <f>538300</f>
        <v>538300</v>
      </c>
      <c r="AA63" s="230">
        <v>538300</v>
      </c>
      <c r="AB63" s="230">
        <v>538300</v>
      </c>
      <c r="AC63" s="229" t="s">
        <v>310</v>
      </c>
      <c r="AD63" s="227"/>
    </row>
    <row r="64" spans="1:30" ht="59.25" customHeight="1" x14ac:dyDescent="0.3">
      <c r="A64" s="164" t="s">
        <v>587</v>
      </c>
      <c r="B64" s="144" t="s">
        <v>15</v>
      </c>
      <c r="C64" s="144" t="s">
        <v>122</v>
      </c>
      <c r="D64" s="144" t="s">
        <v>130</v>
      </c>
      <c r="E64" s="263" t="s">
        <v>1171</v>
      </c>
      <c r="F64" s="144"/>
      <c r="G64" s="144"/>
      <c r="H64" s="144"/>
      <c r="I64" s="144"/>
      <c r="J64" s="144"/>
      <c r="K64" s="144"/>
      <c r="L64" s="144"/>
      <c r="M64" s="144"/>
      <c r="N64" s="144"/>
      <c r="O64" s="144"/>
      <c r="P64" s="144"/>
      <c r="Q64" s="144"/>
      <c r="R64" s="144"/>
      <c r="S64" s="144"/>
      <c r="T64" s="144" t="s">
        <v>290</v>
      </c>
      <c r="U64" s="140"/>
      <c r="V64" s="141"/>
      <c r="W64" s="141"/>
      <c r="X64" s="141"/>
      <c r="Y64" s="164" t="s">
        <v>311</v>
      </c>
      <c r="Z64" s="230">
        <v>46100</v>
      </c>
      <c r="AA64" s="230">
        <v>46100</v>
      </c>
      <c r="AB64" s="230">
        <v>46100</v>
      </c>
      <c r="AC64" s="229" t="s">
        <v>311</v>
      </c>
      <c r="AD64" s="227"/>
    </row>
    <row r="65" spans="1:30" ht="105" hidden="1" customHeight="1" x14ac:dyDescent="0.3">
      <c r="A65" s="165" t="s">
        <v>883</v>
      </c>
      <c r="B65" s="144" t="s">
        <v>15</v>
      </c>
      <c r="C65" s="144" t="s">
        <v>122</v>
      </c>
      <c r="D65" s="144" t="s">
        <v>130</v>
      </c>
      <c r="E65" s="263" t="s">
        <v>880</v>
      </c>
      <c r="F65" s="144"/>
      <c r="G65" s="144"/>
      <c r="H65" s="144"/>
      <c r="I65" s="144"/>
      <c r="J65" s="144"/>
      <c r="K65" s="144"/>
      <c r="L65" s="144"/>
      <c r="M65" s="144"/>
      <c r="N65" s="144"/>
      <c r="O65" s="144"/>
      <c r="P65" s="144"/>
      <c r="Q65" s="144"/>
      <c r="R65" s="144"/>
      <c r="S65" s="144"/>
      <c r="T65" s="144"/>
      <c r="U65" s="140"/>
      <c r="V65" s="141"/>
      <c r="W65" s="141"/>
      <c r="X65" s="141"/>
      <c r="Y65" s="164"/>
      <c r="Z65" s="230">
        <f>Z66</f>
        <v>0</v>
      </c>
      <c r="AA65" s="230">
        <v>0</v>
      </c>
      <c r="AB65" s="230">
        <v>0</v>
      </c>
      <c r="AC65" s="229"/>
      <c r="AD65" s="227"/>
    </row>
    <row r="66" spans="1:30" ht="63.75" hidden="1" customHeight="1" x14ac:dyDescent="0.3">
      <c r="A66" s="164" t="s">
        <v>879</v>
      </c>
      <c r="B66" s="144" t="s">
        <v>15</v>
      </c>
      <c r="C66" s="144" t="s">
        <v>122</v>
      </c>
      <c r="D66" s="144" t="s">
        <v>130</v>
      </c>
      <c r="E66" s="263" t="s">
        <v>880</v>
      </c>
      <c r="F66" s="144"/>
      <c r="G66" s="144"/>
      <c r="H66" s="144"/>
      <c r="I66" s="144"/>
      <c r="J66" s="144"/>
      <c r="K66" s="144"/>
      <c r="L66" s="144"/>
      <c r="M66" s="144"/>
      <c r="N66" s="144"/>
      <c r="O66" s="144"/>
      <c r="P66" s="144"/>
      <c r="Q66" s="144"/>
      <c r="R66" s="144"/>
      <c r="S66" s="144"/>
      <c r="T66" s="144" t="s">
        <v>290</v>
      </c>
      <c r="U66" s="140"/>
      <c r="V66" s="141"/>
      <c r="W66" s="141"/>
      <c r="X66" s="141"/>
      <c r="Y66" s="164"/>
      <c r="Z66" s="230">
        <v>0</v>
      </c>
      <c r="AA66" s="230">
        <v>0</v>
      </c>
      <c r="AB66" s="230">
        <v>0</v>
      </c>
      <c r="AC66" s="229"/>
      <c r="AD66" s="227"/>
    </row>
    <row r="67" spans="1:30" ht="76.5" hidden="1" customHeight="1" x14ac:dyDescent="0.3">
      <c r="A67" s="184" t="s">
        <v>731</v>
      </c>
      <c r="B67" s="144" t="s">
        <v>15</v>
      </c>
      <c r="C67" s="144" t="s">
        <v>122</v>
      </c>
      <c r="D67" s="144" t="s">
        <v>130</v>
      </c>
      <c r="E67" s="263" t="s">
        <v>732</v>
      </c>
      <c r="F67" s="144"/>
      <c r="G67" s="144"/>
      <c r="H67" s="144"/>
      <c r="I67" s="144"/>
      <c r="J67" s="144"/>
      <c r="K67" s="144"/>
      <c r="L67" s="144"/>
      <c r="M67" s="144"/>
      <c r="N67" s="144"/>
      <c r="O67" s="144"/>
      <c r="P67" s="144"/>
      <c r="Q67" s="144"/>
      <c r="R67" s="144"/>
      <c r="S67" s="144"/>
      <c r="T67" s="144"/>
      <c r="U67" s="140"/>
      <c r="V67" s="141"/>
      <c r="W67" s="141"/>
      <c r="X67" s="141"/>
      <c r="Y67" s="164"/>
      <c r="Z67" s="230">
        <f>Z68</f>
        <v>0</v>
      </c>
      <c r="AA67" s="230">
        <f>AA68</f>
        <v>0</v>
      </c>
      <c r="AB67" s="230">
        <f>AB68</f>
        <v>0</v>
      </c>
      <c r="AC67" s="229"/>
      <c r="AD67" s="227"/>
    </row>
    <row r="68" spans="1:30" ht="83.25" hidden="1" customHeight="1" x14ac:dyDescent="0.3">
      <c r="A68" s="269" t="s">
        <v>733</v>
      </c>
      <c r="B68" s="144" t="s">
        <v>15</v>
      </c>
      <c r="C68" s="144" t="s">
        <v>122</v>
      </c>
      <c r="D68" s="144" t="s">
        <v>130</v>
      </c>
      <c r="E68" s="263" t="s">
        <v>732</v>
      </c>
      <c r="F68" s="144"/>
      <c r="G68" s="144"/>
      <c r="H68" s="144"/>
      <c r="I68" s="144"/>
      <c r="J68" s="144"/>
      <c r="K68" s="144"/>
      <c r="L68" s="144"/>
      <c r="M68" s="144"/>
      <c r="N68" s="144"/>
      <c r="O68" s="144"/>
      <c r="P68" s="144"/>
      <c r="Q68" s="144"/>
      <c r="R68" s="144"/>
      <c r="S68" s="144"/>
      <c r="T68" s="144" t="s">
        <v>366</v>
      </c>
      <c r="U68" s="140"/>
      <c r="V68" s="141"/>
      <c r="W68" s="141"/>
      <c r="X68" s="141"/>
      <c r="Y68" s="164"/>
      <c r="Z68" s="230">
        <v>0</v>
      </c>
      <c r="AA68" s="230">
        <v>0</v>
      </c>
      <c r="AB68" s="230">
        <v>0</v>
      </c>
      <c r="AC68" s="229"/>
      <c r="AD68" s="233"/>
    </row>
    <row r="69" spans="1:30" ht="55.9" customHeight="1" x14ac:dyDescent="0.3">
      <c r="A69" s="170" t="s">
        <v>312</v>
      </c>
      <c r="B69" s="171" t="s">
        <v>15</v>
      </c>
      <c r="C69" s="171" t="s">
        <v>123</v>
      </c>
      <c r="D69" s="171" t="s">
        <v>133</v>
      </c>
      <c r="E69" s="171"/>
      <c r="F69" s="171"/>
      <c r="G69" s="171"/>
      <c r="H69" s="171"/>
      <c r="I69" s="171"/>
      <c r="J69" s="171"/>
      <c r="K69" s="171"/>
      <c r="L69" s="171"/>
      <c r="M69" s="171"/>
      <c r="N69" s="171"/>
      <c r="O69" s="171"/>
      <c r="P69" s="171"/>
      <c r="Q69" s="171"/>
      <c r="R69" s="171"/>
      <c r="S69" s="171"/>
      <c r="T69" s="171"/>
      <c r="U69" s="171"/>
      <c r="V69" s="240"/>
      <c r="W69" s="240"/>
      <c r="X69" s="240"/>
      <c r="Y69" s="170" t="s">
        <v>312</v>
      </c>
      <c r="Z69" s="241">
        <f>Z70+Z79</f>
        <v>5600000</v>
      </c>
      <c r="AA69" s="241">
        <f>AA70+AA79</f>
        <v>600000</v>
      </c>
      <c r="AB69" s="241">
        <f>AB70+AB79</f>
        <v>600000</v>
      </c>
      <c r="AC69" s="226" t="s">
        <v>312</v>
      </c>
      <c r="AD69" s="227"/>
    </row>
    <row r="70" spans="1:30" ht="74.45" customHeight="1" x14ac:dyDescent="0.3">
      <c r="A70" s="170" t="s">
        <v>251</v>
      </c>
      <c r="B70" s="171" t="s">
        <v>15</v>
      </c>
      <c r="C70" s="171" t="s">
        <v>123</v>
      </c>
      <c r="D70" s="171" t="s">
        <v>127</v>
      </c>
      <c r="E70" s="171"/>
      <c r="F70" s="171"/>
      <c r="G70" s="171"/>
      <c r="H70" s="171"/>
      <c r="I70" s="171"/>
      <c r="J70" s="171"/>
      <c r="K70" s="171"/>
      <c r="L70" s="171"/>
      <c r="M70" s="171"/>
      <c r="N70" s="171"/>
      <c r="O70" s="171"/>
      <c r="P70" s="171"/>
      <c r="Q70" s="171"/>
      <c r="R70" s="171"/>
      <c r="S70" s="171"/>
      <c r="T70" s="171"/>
      <c r="U70" s="171"/>
      <c r="V70" s="240"/>
      <c r="W70" s="240"/>
      <c r="X70" s="240"/>
      <c r="Y70" s="170" t="s">
        <v>251</v>
      </c>
      <c r="Z70" s="241">
        <f>Z71+Z75+Z77+Z73</f>
        <v>5500000</v>
      </c>
      <c r="AA70" s="241">
        <f>AA71+AA75+AA77+AA73</f>
        <v>500000</v>
      </c>
      <c r="AB70" s="241">
        <f>AB71+AB75+AB77+AB73</f>
        <v>500000</v>
      </c>
      <c r="AC70" s="226" t="s">
        <v>251</v>
      </c>
      <c r="AD70" s="227"/>
    </row>
    <row r="71" spans="1:30" ht="236.25" customHeight="1" x14ac:dyDescent="0.3">
      <c r="A71" s="162" t="s">
        <v>915</v>
      </c>
      <c r="B71" s="172" t="s">
        <v>15</v>
      </c>
      <c r="C71" s="172" t="s">
        <v>123</v>
      </c>
      <c r="D71" s="172" t="s">
        <v>127</v>
      </c>
      <c r="E71" s="263" t="s">
        <v>552</v>
      </c>
      <c r="F71" s="172"/>
      <c r="G71" s="172"/>
      <c r="H71" s="172"/>
      <c r="I71" s="172"/>
      <c r="J71" s="172"/>
      <c r="K71" s="172"/>
      <c r="L71" s="172"/>
      <c r="M71" s="172"/>
      <c r="N71" s="172"/>
      <c r="O71" s="172"/>
      <c r="P71" s="172"/>
      <c r="Q71" s="172"/>
      <c r="R71" s="172"/>
      <c r="S71" s="172"/>
      <c r="T71" s="172"/>
      <c r="U71" s="172"/>
      <c r="V71" s="221"/>
      <c r="W71" s="221"/>
      <c r="X71" s="221"/>
      <c r="Y71" s="162" t="s">
        <v>313</v>
      </c>
      <c r="Z71" s="268">
        <f>Z72</f>
        <v>5100000</v>
      </c>
      <c r="AA71" s="268">
        <f>AA72</f>
        <v>100000</v>
      </c>
      <c r="AB71" s="268">
        <f>AB72</f>
        <v>100000</v>
      </c>
      <c r="AC71" s="228" t="s">
        <v>313</v>
      </c>
      <c r="AD71" s="227"/>
    </row>
    <row r="72" spans="1:30" ht="137.25" customHeight="1" x14ac:dyDescent="0.3">
      <c r="A72" s="139" t="s">
        <v>314</v>
      </c>
      <c r="B72" s="140" t="s">
        <v>15</v>
      </c>
      <c r="C72" s="140" t="s">
        <v>123</v>
      </c>
      <c r="D72" s="140" t="s">
        <v>127</v>
      </c>
      <c r="E72" s="263" t="s">
        <v>552</v>
      </c>
      <c r="F72" s="140"/>
      <c r="G72" s="140"/>
      <c r="H72" s="140"/>
      <c r="I72" s="140"/>
      <c r="J72" s="140"/>
      <c r="K72" s="140"/>
      <c r="L72" s="140"/>
      <c r="M72" s="140"/>
      <c r="N72" s="140"/>
      <c r="O72" s="140"/>
      <c r="P72" s="140"/>
      <c r="Q72" s="140"/>
      <c r="R72" s="140"/>
      <c r="S72" s="140"/>
      <c r="T72" s="140" t="s">
        <v>290</v>
      </c>
      <c r="U72" s="140"/>
      <c r="V72" s="141"/>
      <c r="W72" s="141"/>
      <c r="X72" s="141"/>
      <c r="Y72" s="139" t="s">
        <v>314</v>
      </c>
      <c r="Z72" s="230">
        <v>5100000</v>
      </c>
      <c r="AA72" s="230">
        <v>100000</v>
      </c>
      <c r="AB72" s="230">
        <v>100000</v>
      </c>
      <c r="AC72" s="231" t="s">
        <v>314</v>
      </c>
      <c r="AD72" s="227"/>
    </row>
    <row r="73" spans="1:30" ht="235.5" customHeight="1" x14ac:dyDescent="0.3">
      <c r="A73" s="162" t="s">
        <v>920</v>
      </c>
      <c r="B73" s="140" t="s">
        <v>15</v>
      </c>
      <c r="C73" s="140" t="s">
        <v>123</v>
      </c>
      <c r="D73" s="140" t="s">
        <v>127</v>
      </c>
      <c r="E73" s="263" t="s">
        <v>896</v>
      </c>
      <c r="F73" s="140"/>
      <c r="G73" s="140"/>
      <c r="H73" s="140"/>
      <c r="I73" s="140"/>
      <c r="J73" s="140"/>
      <c r="K73" s="140"/>
      <c r="L73" s="140"/>
      <c r="M73" s="140"/>
      <c r="N73" s="140"/>
      <c r="O73" s="140"/>
      <c r="P73" s="140"/>
      <c r="Q73" s="140"/>
      <c r="R73" s="140"/>
      <c r="S73" s="140"/>
      <c r="T73" s="140"/>
      <c r="U73" s="140"/>
      <c r="V73" s="141"/>
      <c r="W73" s="141"/>
      <c r="X73" s="141"/>
      <c r="Y73" s="139"/>
      <c r="Z73" s="230">
        <f>Z74</f>
        <v>350000</v>
      </c>
      <c r="AA73" s="230">
        <f>AA74</f>
        <v>350000</v>
      </c>
      <c r="AB73" s="230">
        <f>AB74</f>
        <v>350000</v>
      </c>
      <c r="AC73" s="231"/>
      <c r="AD73" s="227"/>
    </row>
    <row r="74" spans="1:30" ht="111" customHeight="1" x14ac:dyDescent="0.3">
      <c r="A74" s="139" t="s">
        <v>895</v>
      </c>
      <c r="B74" s="140" t="s">
        <v>15</v>
      </c>
      <c r="C74" s="140" t="s">
        <v>123</v>
      </c>
      <c r="D74" s="140" t="s">
        <v>127</v>
      </c>
      <c r="E74" s="263" t="s">
        <v>896</v>
      </c>
      <c r="F74" s="140"/>
      <c r="G74" s="140"/>
      <c r="H74" s="140"/>
      <c r="I74" s="140"/>
      <c r="J74" s="140"/>
      <c r="K74" s="140"/>
      <c r="L74" s="140"/>
      <c r="M74" s="140"/>
      <c r="N74" s="140"/>
      <c r="O74" s="140"/>
      <c r="P74" s="140"/>
      <c r="Q74" s="140"/>
      <c r="R74" s="140"/>
      <c r="S74" s="140"/>
      <c r="T74" s="140" t="s">
        <v>290</v>
      </c>
      <c r="U74" s="140"/>
      <c r="V74" s="141"/>
      <c r="W74" s="141"/>
      <c r="X74" s="141"/>
      <c r="Y74" s="139"/>
      <c r="Z74" s="230">
        <v>350000</v>
      </c>
      <c r="AA74" s="230">
        <v>350000</v>
      </c>
      <c r="AB74" s="230">
        <v>350000</v>
      </c>
      <c r="AC74" s="231"/>
      <c r="AD74" s="227"/>
    </row>
    <row r="75" spans="1:30" ht="177.75" customHeight="1" x14ac:dyDescent="0.3">
      <c r="A75" s="162" t="s">
        <v>637</v>
      </c>
      <c r="B75" s="172" t="s">
        <v>15</v>
      </c>
      <c r="C75" s="172" t="s">
        <v>123</v>
      </c>
      <c r="D75" s="172" t="s">
        <v>127</v>
      </c>
      <c r="E75" s="263" t="s">
        <v>553</v>
      </c>
      <c r="F75" s="172"/>
      <c r="G75" s="172"/>
      <c r="H75" s="172"/>
      <c r="I75" s="172"/>
      <c r="J75" s="172"/>
      <c r="K75" s="172"/>
      <c r="L75" s="172"/>
      <c r="M75" s="172"/>
      <c r="N75" s="172"/>
      <c r="O75" s="172"/>
      <c r="P75" s="172"/>
      <c r="Q75" s="172"/>
      <c r="R75" s="172"/>
      <c r="S75" s="172"/>
      <c r="T75" s="172"/>
      <c r="U75" s="172"/>
      <c r="V75" s="221"/>
      <c r="W75" s="221"/>
      <c r="X75" s="221"/>
      <c r="Y75" s="162" t="s">
        <v>315</v>
      </c>
      <c r="Z75" s="268">
        <f>Z76</f>
        <v>50000</v>
      </c>
      <c r="AA75" s="268">
        <f>AA76</f>
        <v>50000</v>
      </c>
      <c r="AB75" s="268">
        <f>AB76</f>
        <v>50000</v>
      </c>
      <c r="AC75" s="228" t="s">
        <v>315</v>
      </c>
      <c r="AD75" s="227"/>
    </row>
    <row r="76" spans="1:30" ht="87.75" customHeight="1" x14ac:dyDescent="0.3">
      <c r="A76" s="139" t="s">
        <v>316</v>
      </c>
      <c r="B76" s="140" t="s">
        <v>15</v>
      </c>
      <c r="C76" s="140" t="s">
        <v>123</v>
      </c>
      <c r="D76" s="140" t="s">
        <v>127</v>
      </c>
      <c r="E76" s="263" t="s">
        <v>553</v>
      </c>
      <c r="F76" s="140"/>
      <c r="G76" s="140"/>
      <c r="H76" s="140"/>
      <c r="I76" s="140"/>
      <c r="J76" s="140"/>
      <c r="K76" s="140"/>
      <c r="L76" s="140"/>
      <c r="M76" s="140"/>
      <c r="N76" s="140"/>
      <c r="O76" s="140"/>
      <c r="P76" s="140"/>
      <c r="Q76" s="140"/>
      <c r="R76" s="140"/>
      <c r="S76" s="140"/>
      <c r="T76" s="140" t="s">
        <v>290</v>
      </c>
      <c r="U76" s="140"/>
      <c r="V76" s="141"/>
      <c r="W76" s="141"/>
      <c r="X76" s="141"/>
      <c r="Y76" s="139" t="s">
        <v>316</v>
      </c>
      <c r="Z76" s="230">
        <v>50000</v>
      </c>
      <c r="AA76" s="230">
        <v>50000</v>
      </c>
      <c r="AB76" s="230">
        <v>50000</v>
      </c>
      <c r="AC76" s="231" t="s">
        <v>316</v>
      </c>
      <c r="AD76" s="227"/>
    </row>
    <row r="77" spans="1:30" ht="37.5" hidden="1" customHeight="1" x14ac:dyDescent="0.3">
      <c r="A77" s="165" t="s">
        <v>241</v>
      </c>
      <c r="B77" s="172" t="s">
        <v>15</v>
      </c>
      <c r="C77" s="172" t="s">
        <v>123</v>
      </c>
      <c r="D77" s="172" t="s">
        <v>127</v>
      </c>
      <c r="E77" s="263" t="s">
        <v>554</v>
      </c>
      <c r="F77" s="172"/>
      <c r="G77" s="172"/>
      <c r="H77" s="172"/>
      <c r="I77" s="172"/>
      <c r="J77" s="172"/>
      <c r="K77" s="172"/>
      <c r="L77" s="172"/>
      <c r="M77" s="172"/>
      <c r="N77" s="172"/>
      <c r="O77" s="172"/>
      <c r="P77" s="172"/>
      <c r="Q77" s="172"/>
      <c r="R77" s="172"/>
      <c r="S77" s="172"/>
      <c r="T77" s="172"/>
      <c r="U77" s="172"/>
      <c r="V77" s="221"/>
      <c r="W77" s="221"/>
      <c r="X77" s="221"/>
      <c r="Y77" s="165" t="s">
        <v>241</v>
      </c>
      <c r="Z77" s="268">
        <f>Z78</f>
        <v>0</v>
      </c>
      <c r="AA77" s="268">
        <f>AA78</f>
        <v>0</v>
      </c>
      <c r="AB77" s="268">
        <f>AB78</f>
        <v>0</v>
      </c>
      <c r="AC77" s="232" t="s">
        <v>241</v>
      </c>
      <c r="AD77" s="227"/>
    </row>
    <row r="78" spans="1:30" ht="48.75" hidden="1" customHeight="1" x14ac:dyDescent="0.3">
      <c r="A78" s="164" t="s">
        <v>317</v>
      </c>
      <c r="B78" s="140" t="s">
        <v>15</v>
      </c>
      <c r="C78" s="140" t="s">
        <v>123</v>
      </c>
      <c r="D78" s="140" t="s">
        <v>127</v>
      </c>
      <c r="E78" s="263" t="s">
        <v>554</v>
      </c>
      <c r="F78" s="140"/>
      <c r="G78" s="140"/>
      <c r="H78" s="140"/>
      <c r="I78" s="140"/>
      <c r="J78" s="140"/>
      <c r="K78" s="140"/>
      <c r="L78" s="140"/>
      <c r="M78" s="140"/>
      <c r="N78" s="140"/>
      <c r="O78" s="140"/>
      <c r="P78" s="140"/>
      <c r="Q78" s="140"/>
      <c r="R78" s="140"/>
      <c r="S78" s="140"/>
      <c r="T78" s="140" t="s">
        <v>290</v>
      </c>
      <c r="U78" s="140"/>
      <c r="V78" s="141"/>
      <c r="W78" s="141"/>
      <c r="X78" s="141"/>
      <c r="Y78" s="164" t="s">
        <v>317</v>
      </c>
      <c r="Z78" s="230">
        <f>12000+238000+100000-350000</f>
        <v>0</v>
      </c>
      <c r="AA78" s="230">
        <f>400000-400000</f>
        <v>0</v>
      </c>
      <c r="AB78" s="230">
        <f>400000-400000</f>
        <v>0</v>
      </c>
      <c r="AC78" s="229" t="s">
        <v>317</v>
      </c>
      <c r="AD78" s="227"/>
    </row>
    <row r="79" spans="1:30" ht="38.25" customHeight="1" x14ac:dyDescent="0.3">
      <c r="A79" s="224" t="s">
        <v>144</v>
      </c>
      <c r="B79" s="143" t="s">
        <v>15</v>
      </c>
      <c r="C79" s="143" t="s">
        <v>123</v>
      </c>
      <c r="D79" s="143" t="s">
        <v>143</v>
      </c>
      <c r="E79" s="144"/>
      <c r="F79" s="144"/>
      <c r="G79" s="144"/>
      <c r="H79" s="144"/>
      <c r="I79" s="144"/>
      <c r="J79" s="144"/>
      <c r="K79" s="144"/>
      <c r="L79" s="144"/>
      <c r="M79" s="144"/>
      <c r="N79" s="144"/>
      <c r="O79" s="144"/>
      <c r="P79" s="144"/>
      <c r="Q79" s="144"/>
      <c r="R79" s="144"/>
      <c r="S79" s="144"/>
      <c r="T79" s="144"/>
      <c r="U79" s="144"/>
      <c r="V79" s="145"/>
      <c r="W79" s="145"/>
      <c r="X79" s="145"/>
      <c r="Y79" s="146"/>
      <c r="Z79" s="181">
        <f t="shared" ref="Z79:AB80" si="5">Z80</f>
        <v>100000</v>
      </c>
      <c r="AA79" s="182">
        <f t="shared" si="5"/>
        <v>100000</v>
      </c>
      <c r="AB79" s="241">
        <f t="shared" si="5"/>
        <v>100000</v>
      </c>
      <c r="AC79" s="229"/>
      <c r="AD79" s="227"/>
    </row>
    <row r="80" spans="1:30" ht="116.25" customHeight="1" x14ac:dyDescent="0.3">
      <c r="A80" s="165" t="s">
        <v>555</v>
      </c>
      <c r="B80" s="144" t="s">
        <v>15</v>
      </c>
      <c r="C80" s="144" t="s">
        <v>123</v>
      </c>
      <c r="D80" s="144" t="s">
        <v>143</v>
      </c>
      <c r="E80" s="263" t="s">
        <v>556</v>
      </c>
      <c r="F80" s="144"/>
      <c r="G80" s="144"/>
      <c r="H80" s="144"/>
      <c r="I80" s="144"/>
      <c r="J80" s="144"/>
      <c r="K80" s="144"/>
      <c r="L80" s="144"/>
      <c r="M80" s="144"/>
      <c r="N80" s="144"/>
      <c r="O80" s="144"/>
      <c r="P80" s="144"/>
      <c r="Q80" s="144"/>
      <c r="R80" s="144"/>
      <c r="S80" s="144"/>
      <c r="T80" s="144"/>
      <c r="U80" s="144"/>
      <c r="V80" s="145"/>
      <c r="W80" s="145"/>
      <c r="X80" s="145"/>
      <c r="Y80" s="146"/>
      <c r="Z80" s="147">
        <f t="shared" si="5"/>
        <v>100000</v>
      </c>
      <c r="AA80" s="148">
        <f t="shared" si="5"/>
        <v>100000</v>
      </c>
      <c r="AB80" s="230">
        <f t="shared" si="5"/>
        <v>100000</v>
      </c>
      <c r="AC80" s="229"/>
      <c r="AD80" s="227"/>
    </row>
    <row r="81" spans="1:30" ht="94.5" customHeight="1" x14ac:dyDescent="0.3">
      <c r="A81" s="164" t="s">
        <v>836</v>
      </c>
      <c r="B81" s="144" t="s">
        <v>15</v>
      </c>
      <c r="C81" s="144" t="s">
        <v>123</v>
      </c>
      <c r="D81" s="144" t="s">
        <v>143</v>
      </c>
      <c r="E81" s="263" t="s">
        <v>556</v>
      </c>
      <c r="F81" s="144"/>
      <c r="G81" s="144"/>
      <c r="H81" s="144"/>
      <c r="I81" s="144"/>
      <c r="J81" s="144"/>
      <c r="K81" s="144"/>
      <c r="L81" s="144"/>
      <c r="M81" s="144"/>
      <c r="N81" s="144"/>
      <c r="O81" s="144"/>
      <c r="P81" s="144"/>
      <c r="Q81" s="144"/>
      <c r="R81" s="144"/>
      <c r="S81" s="144"/>
      <c r="T81" s="144" t="s">
        <v>290</v>
      </c>
      <c r="U81" s="144"/>
      <c r="V81" s="145"/>
      <c r="W81" s="145"/>
      <c r="X81" s="145"/>
      <c r="Y81" s="146"/>
      <c r="Z81" s="147">
        <v>100000</v>
      </c>
      <c r="AA81" s="148">
        <v>100000</v>
      </c>
      <c r="AB81" s="230">
        <v>100000</v>
      </c>
      <c r="AC81" s="229"/>
      <c r="AD81" s="227"/>
    </row>
    <row r="82" spans="1:30" ht="18.600000000000001" customHeight="1" x14ac:dyDescent="0.3">
      <c r="A82" s="170" t="s">
        <v>318</v>
      </c>
      <c r="B82" s="171" t="s">
        <v>15</v>
      </c>
      <c r="C82" s="171" t="s">
        <v>136</v>
      </c>
      <c r="D82" s="171" t="s">
        <v>133</v>
      </c>
      <c r="E82" s="171"/>
      <c r="F82" s="171"/>
      <c r="G82" s="171"/>
      <c r="H82" s="171"/>
      <c r="I82" s="171"/>
      <c r="J82" s="171"/>
      <c r="K82" s="171"/>
      <c r="L82" s="171"/>
      <c r="M82" s="171"/>
      <c r="N82" s="171"/>
      <c r="O82" s="171"/>
      <c r="P82" s="171"/>
      <c r="Q82" s="171"/>
      <c r="R82" s="171"/>
      <c r="S82" s="171"/>
      <c r="T82" s="171"/>
      <c r="U82" s="171"/>
      <c r="V82" s="240"/>
      <c r="W82" s="240"/>
      <c r="X82" s="240"/>
      <c r="Y82" s="170" t="s">
        <v>318</v>
      </c>
      <c r="Z82" s="241">
        <f>Z83+Z106+Z111+Z134+Z141</f>
        <v>23059292.449999999</v>
      </c>
      <c r="AA82" s="241">
        <f>AA83+AA106+AA111+AA134+AA141</f>
        <v>25437288.960000001</v>
      </c>
      <c r="AB82" s="241">
        <f>AB83+AB106+AB111+AB134+AB141</f>
        <v>25437288.960000001</v>
      </c>
      <c r="AC82" s="226" t="s">
        <v>318</v>
      </c>
      <c r="AD82" s="227"/>
    </row>
    <row r="83" spans="1:30" ht="32.25" customHeight="1" x14ac:dyDescent="0.3">
      <c r="A83" s="170" t="s">
        <v>147</v>
      </c>
      <c r="B83" s="171" t="s">
        <v>15</v>
      </c>
      <c r="C83" s="171" t="s">
        <v>136</v>
      </c>
      <c r="D83" s="171" t="s">
        <v>124</v>
      </c>
      <c r="E83" s="171"/>
      <c r="F83" s="171"/>
      <c r="G83" s="171"/>
      <c r="H83" s="171"/>
      <c r="I83" s="171"/>
      <c r="J83" s="171"/>
      <c r="K83" s="171"/>
      <c r="L83" s="171"/>
      <c r="M83" s="171"/>
      <c r="N83" s="171"/>
      <c r="O83" s="171"/>
      <c r="P83" s="171"/>
      <c r="Q83" s="171"/>
      <c r="R83" s="171"/>
      <c r="S83" s="171"/>
      <c r="T83" s="171"/>
      <c r="U83" s="171"/>
      <c r="V83" s="240"/>
      <c r="W83" s="240"/>
      <c r="X83" s="240"/>
      <c r="Y83" s="170" t="s">
        <v>147</v>
      </c>
      <c r="Z83" s="241">
        <f>Z84+Z86+Z88+Z90+Z96+Z98+Z100+Z102+Z104+Z94+Z92</f>
        <v>246900</v>
      </c>
      <c r="AA83" s="241">
        <f>AA84+AA86+AA88+AA90+AA96+AA98+AA100+AA102+AA104+AA94+AA92</f>
        <v>246900</v>
      </c>
      <c r="AB83" s="241">
        <f>AB84+AB86+AB88+AB90+AB96+AB98+AB100+AB102+AB104+AB94+AB92</f>
        <v>246900</v>
      </c>
      <c r="AC83" s="226" t="s">
        <v>147</v>
      </c>
      <c r="AD83" s="227"/>
    </row>
    <row r="84" spans="1:30" s="317" customFormat="1" ht="54" hidden="1" customHeight="1" x14ac:dyDescent="0.3">
      <c r="A84" s="162" t="s">
        <v>638</v>
      </c>
      <c r="B84" s="172" t="s">
        <v>15</v>
      </c>
      <c r="C84" s="172" t="s">
        <v>136</v>
      </c>
      <c r="D84" s="172" t="s">
        <v>124</v>
      </c>
      <c r="E84" s="263" t="s">
        <v>557</v>
      </c>
      <c r="F84" s="172"/>
      <c r="G84" s="172"/>
      <c r="H84" s="172"/>
      <c r="I84" s="172"/>
      <c r="J84" s="172"/>
      <c r="K84" s="172"/>
      <c r="L84" s="172"/>
      <c r="M84" s="172"/>
      <c r="N84" s="172"/>
      <c r="O84" s="172"/>
      <c r="P84" s="172"/>
      <c r="Q84" s="172"/>
      <c r="R84" s="172"/>
      <c r="S84" s="172"/>
      <c r="T84" s="172"/>
      <c r="U84" s="172"/>
      <c r="V84" s="221"/>
      <c r="W84" s="221"/>
      <c r="X84" s="221"/>
      <c r="Y84" s="162" t="s">
        <v>319</v>
      </c>
      <c r="Z84" s="268">
        <f>Z85</f>
        <v>0</v>
      </c>
      <c r="AA84" s="268">
        <f>AA85</f>
        <v>0</v>
      </c>
      <c r="AB84" s="268">
        <f>AB85</f>
        <v>0</v>
      </c>
      <c r="AC84" s="313" t="s">
        <v>319</v>
      </c>
      <c r="AD84" s="316"/>
    </row>
    <row r="85" spans="1:30" s="317" customFormat="1" ht="108" hidden="1" customHeight="1" x14ac:dyDescent="0.3">
      <c r="A85" s="139" t="s">
        <v>320</v>
      </c>
      <c r="B85" s="140" t="s">
        <v>15</v>
      </c>
      <c r="C85" s="140" t="s">
        <v>136</v>
      </c>
      <c r="D85" s="140" t="s">
        <v>124</v>
      </c>
      <c r="E85" s="263" t="s">
        <v>557</v>
      </c>
      <c r="F85" s="140"/>
      <c r="G85" s="140"/>
      <c r="H85" s="140"/>
      <c r="I85" s="140"/>
      <c r="J85" s="140"/>
      <c r="K85" s="140"/>
      <c r="L85" s="140"/>
      <c r="M85" s="140"/>
      <c r="N85" s="140"/>
      <c r="O85" s="140"/>
      <c r="P85" s="140"/>
      <c r="Q85" s="140"/>
      <c r="R85" s="140"/>
      <c r="S85" s="140"/>
      <c r="T85" s="140" t="s">
        <v>290</v>
      </c>
      <c r="U85" s="140"/>
      <c r="V85" s="141"/>
      <c r="W85" s="141"/>
      <c r="X85" s="141"/>
      <c r="Y85" s="139" t="s">
        <v>320</v>
      </c>
      <c r="Z85" s="230">
        <v>0</v>
      </c>
      <c r="AA85" s="230">
        <v>0</v>
      </c>
      <c r="AB85" s="230">
        <v>0</v>
      </c>
      <c r="AC85" s="315" t="s">
        <v>320</v>
      </c>
      <c r="AD85" s="316"/>
    </row>
    <row r="86" spans="1:30" s="317" customFormat="1" ht="58.5" hidden="1" customHeight="1" x14ac:dyDescent="0.3">
      <c r="A86" s="162" t="s">
        <v>639</v>
      </c>
      <c r="B86" s="172" t="s">
        <v>15</v>
      </c>
      <c r="C86" s="172" t="s">
        <v>136</v>
      </c>
      <c r="D86" s="172" t="s">
        <v>124</v>
      </c>
      <c r="E86" s="263" t="s">
        <v>558</v>
      </c>
      <c r="F86" s="172"/>
      <c r="G86" s="172"/>
      <c r="H86" s="172"/>
      <c r="I86" s="172"/>
      <c r="J86" s="172"/>
      <c r="K86" s="172"/>
      <c r="L86" s="172"/>
      <c r="M86" s="172"/>
      <c r="N86" s="172"/>
      <c r="O86" s="172"/>
      <c r="P86" s="172"/>
      <c r="Q86" s="172"/>
      <c r="R86" s="172"/>
      <c r="S86" s="172"/>
      <c r="T86" s="172"/>
      <c r="U86" s="172"/>
      <c r="V86" s="221"/>
      <c r="W86" s="221"/>
      <c r="X86" s="221"/>
      <c r="Y86" s="162" t="s">
        <v>321</v>
      </c>
      <c r="Z86" s="268">
        <f>Z87</f>
        <v>0</v>
      </c>
      <c r="AA86" s="268">
        <f>AA87</f>
        <v>0</v>
      </c>
      <c r="AB86" s="268">
        <f>AB87</f>
        <v>0</v>
      </c>
      <c r="AC86" s="313" t="s">
        <v>321</v>
      </c>
      <c r="AD86" s="316"/>
    </row>
    <row r="87" spans="1:30" s="317" customFormat="1" ht="74.25" hidden="1" customHeight="1" x14ac:dyDescent="0.3">
      <c r="A87" s="139" t="s">
        <v>823</v>
      </c>
      <c r="B87" s="140" t="s">
        <v>15</v>
      </c>
      <c r="C87" s="140" t="s">
        <v>136</v>
      </c>
      <c r="D87" s="140" t="s">
        <v>124</v>
      </c>
      <c r="E87" s="263" t="s">
        <v>558</v>
      </c>
      <c r="F87" s="140"/>
      <c r="G87" s="140"/>
      <c r="H87" s="140"/>
      <c r="I87" s="140"/>
      <c r="J87" s="140"/>
      <c r="K87" s="140"/>
      <c r="L87" s="140"/>
      <c r="M87" s="140"/>
      <c r="N87" s="140"/>
      <c r="O87" s="140"/>
      <c r="P87" s="140"/>
      <c r="Q87" s="140"/>
      <c r="R87" s="140"/>
      <c r="S87" s="140"/>
      <c r="T87" s="140" t="s">
        <v>243</v>
      </c>
      <c r="U87" s="140"/>
      <c r="V87" s="141"/>
      <c r="W87" s="141"/>
      <c r="X87" s="141"/>
      <c r="Y87" s="139" t="s">
        <v>322</v>
      </c>
      <c r="Z87" s="230">
        <v>0</v>
      </c>
      <c r="AA87" s="230">
        <v>0</v>
      </c>
      <c r="AB87" s="230">
        <v>0</v>
      </c>
      <c r="AC87" s="315" t="s">
        <v>322</v>
      </c>
      <c r="AD87" s="316"/>
    </row>
    <row r="88" spans="1:30" s="317" customFormat="1" ht="155.25" customHeight="1" x14ac:dyDescent="0.3">
      <c r="A88" s="162" t="s">
        <v>640</v>
      </c>
      <c r="B88" s="172" t="s">
        <v>15</v>
      </c>
      <c r="C88" s="172" t="s">
        <v>136</v>
      </c>
      <c r="D88" s="172" t="s">
        <v>124</v>
      </c>
      <c r="E88" s="263" t="s">
        <v>559</v>
      </c>
      <c r="F88" s="172"/>
      <c r="G88" s="172"/>
      <c r="H88" s="172"/>
      <c r="I88" s="172"/>
      <c r="J88" s="172"/>
      <c r="K88" s="172"/>
      <c r="L88" s="172"/>
      <c r="M88" s="172"/>
      <c r="N88" s="172"/>
      <c r="O88" s="172"/>
      <c r="P88" s="172"/>
      <c r="Q88" s="172"/>
      <c r="R88" s="172"/>
      <c r="S88" s="172"/>
      <c r="T88" s="172"/>
      <c r="U88" s="172"/>
      <c r="V88" s="221"/>
      <c r="W88" s="221"/>
      <c r="X88" s="221"/>
      <c r="Y88" s="162" t="s">
        <v>323</v>
      </c>
      <c r="Z88" s="268">
        <f>Z89</f>
        <v>100000</v>
      </c>
      <c r="AA88" s="268">
        <f>AA89</f>
        <v>100000</v>
      </c>
      <c r="AB88" s="268">
        <f>AB89</f>
        <v>100000</v>
      </c>
      <c r="AC88" s="313" t="s">
        <v>323</v>
      </c>
      <c r="AD88" s="316"/>
    </row>
    <row r="89" spans="1:30" s="317" customFormat="1" ht="129.75" customHeight="1" x14ac:dyDescent="0.3">
      <c r="A89" s="139" t="s">
        <v>324</v>
      </c>
      <c r="B89" s="140" t="s">
        <v>15</v>
      </c>
      <c r="C89" s="140" t="s">
        <v>136</v>
      </c>
      <c r="D89" s="140" t="s">
        <v>124</v>
      </c>
      <c r="E89" s="263" t="s">
        <v>559</v>
      </c>
      <c r="F89" s="140"/>
      <c r="G89" s="140"/>
      <c r="H89" s="140"/>
      <c r="I89" s="140"/>
      <c r="J89" s="140"/>
      <c r="K89" s="140"/>
      <c r="L89" s="140"/>
      <c r="M89" s="140"/>
      <c r="N89" s="140"/>
      <c r="O89" s="140"/>
      <c r="P89" s="140"/>
      <c r="Q89" s="140"/>
      <c r="R89" s="140"/>
      <c r="S89" s="140"/>
      <c r="T89" s="140" t="s">
        <v>290</v>
      </c>
      <c r="U89" s="140"/>
      <c r="V89" s="141"/>
      <c r="W89" s="141"/>
      <c r="X89" s="141"/>
      <c r="Y89" s="139" t="s">
        <v>324</v>
      </c>
      <c r="Z89" s="230">
        <v>100000</v>
      </c>
      <c r="AA89" s="230">
        <v>100000</v>
      </c>
      <c r="AB89" s="230">
        <v>100000</v>
      </c>
      <c r="AC89" s="315" t="s">
        <v>324</v>
      </c>
      <c r="AD89" s="316"/>
    </row>
    <row r="90" spans="1:30" ht="124.5" customHeight="1" x14ac:dyDescent="0.3">
      <c r="A90" s="162" t="s">
        <v>641</v>
      </c>
      <c r="B90" s="172" t="s">
        <v>15</v>
      </c>
      <c r="C90" s="172" t="s">
        <v>136</v>
      </c>
      <c r="D90" s="172" t="s">
        <v>124</v>
      </c>
      <c r="E90" s="263" t="s">
        <v>560</v>
      </c>
      <c r="F90" s="172"/>
      <c r="G90" s="172"/>
      <c r="H90" s="172"/>
      <c r="I90" s="172"/>
      <c r="J90" s="172"/>
      <c r="K90" s="172"/>
      <c r="L90" s="172"/>
      <c r="M90" s="172"/>
      <c r="N90" s="172"/>
      <c r="O90" s="172"/>
      <c r="P90" s="172"/>
      <c r="Q90" s="172"/>
      <c r="R90" s="172"/>
      <c r="S90" s="172"/>
      <c r="T90" s="172"/>
      <c r="U90" s="172"/>
      <c r="V90" s="221"/>
      <c r="W90" s="221"/>
      <c r="X90" s="221"/>
      <c r="Y90" s="162" t="s">
        <v>325</v>
      </c>
      <c r="Z90" s="268">
        <f>Z91</f>
        <v>25000</v>
      </c>
      <c r="AA90" s="268">
        <f>AA91</f>
        <v>25000</v>
      </c>
      <c r="AB90" s="268">
        <f>AB91</f>
        <v>25000</v>
      </c>
      <c r="AC90" s="228" t="s">
        <v>325</v>
      </c>
      <c r="AD90" s="227"/>
    </row>
    <row r="91" spans="1:30" ht="85.5" customHeight="1" x14ac:dyDescent="0.3">
      <c r="A91" s="139" t="s">
        <v>326</v>
      </c>
      <c r="B91" s="140" t="s">
        <v>15</v>
      </c>
      <c r="C91" s="140" t="s">
        <v>136</v>
      </c>
      <c r="D91" s="140" t="s">
        <v>124</v>
      </c>
      <c r="E91" s="263" t="s">
        <v>560</v>
      </c>
      <c r="F91" s="140"/>
      <c r="G91" s="140"/>
      <c r="H91" s="140"/>
      <c r="I91" s="140"/>
      <c r="J91" s="140"/>
      <c r="K91" s="140"/>
      <c r="L91" s="140"/>
      <c r="M91" s="140"/>
      <c r="N91" s="140"/>
      <c r="O91" s="140"/>
      <c r="P91" s="140"/>
      <c r="Q91" s="140"/>
      <c r="R91" s="140"/>
      <c r="S91" s="140"/>
      <c r="T91" s="140" t="s">
        <v>290</v>
      </c>
      <c r="U91" s="140"/>
      <c r="V91" s="141"/>
      <c r="W91" s="141"/>
      <c r="X91" s="141"/>
      <c r="Y91" s="139" t="s">
        <v>326</v>
      </c>
      <c r="Z91" s="230">
        <v>25000</v>
      </c>
      <c r="AA91" s="230">
        <v>25000</v>
      </c>
      <c r="AB91" s="230">
        <v>25000</v>
      </c>
      <c r="AC91" s="231" t="s">
        <v>326</v>
      </c>
      <c r="AD91" s="227"/>
    </row>
    <row r="92" spans="1:30" s="317" customFormat="1" ht="138.75" customHeight="1" x14ac:dyDescent="0.3">
      <c r="A92" s="162" t="s">
        <v>641</v>
      </c>
      <c r="B92" s="140" t="s">
        <v>15</v>
      </c>
      <c r="C92" s="140" t="s">
        <v>136</v>
      </c>
      <c r="D92" s="140" t="s">
        <v>124</v>
      </c>
      <c r="E92" s="263" t="s">
        <v>1033</v>
      </c>
      <c r="F92" s="140"/>
      <c r="G92" s="140"/>
      <c r="H92" s="140"/>
      <c r="I92" s="140"/>
      <c r="J92" s="140"/>
      <c r="K92" s="140"/>
      <c r="L92" s="140"/>
      <c r="M92" s="140"/>
      <c r="N92" s="140"/>
      <c r="O92" s="140"/>
      <c r="P92" s="140"/>
      <c r="Q92" s="140"/>
      <c r="R92" s="140"/>
      <c r="S92" s="140"/>
      <c r="T92" s="140"/>
      <c r="U92" s="140"/>
      <c r="V92" s="141"/>
      <c r="W92" s="141"/>
      <c r="X92" s="141"/>
      <c r="Y92" s="139"/>
      <c r="Z92" s="230">
        <f>Z93</f>
        <v>100000</v>
      </c>
      <c r="AA92" s="230">
        <f t="shared" ref="AA92:AC92" si="6">AA93</f>
        <v>100000</v>
      </c>
      <c r="AB92" s="230">
        <f t="shared" si="6"/>
        <v>100000</v>
      </c>
      <c r="AC92" s="255">
        <f t="shared" si="6"/>
        <v>0</v>
      </c>
      <c r="AD92" s="316"/>
    </row>
    <row r="93" spans="1:30" s="317" customFormat="1" ht="121.5" customHeight="1" x14ac:dyDescent="0.3">
      <c r="A93" s="139" t="s">
        <v>1000</v>
      </c>
      <c r="B93" s="140" t="s">
        <v>15</v>
      </c>
      <c r="C93" s="140" t="s">
        <v>136</v>
      </c>
      <c r="D93" s="140" t="s">
        <v>124</v>
      </c>
      <c r="E93" s="263" t="s">
        <v>1033</v>
      </c>
      <c r="F93" s="140"/>
      <c r="G93" s="140"/>
      <c r="H93" s="140"/>
      <c r="I93" s="140"/>
      <c r="J93" s="140"/>
      <c r="K93" s="140"/>
      <c r="L93" s="140"/>
      <c r="M93" s="140"/>
      <c r="N93" s="140"/>
      <c r="O93" s="140"/>
      <c r="P93" s="140"/>
      <c r="Q93" s="140"/>
      <c r="R93" s="140"/>
      <c r="S93" s="140"/>
      <c r="T93" s="140" t="s">
        <v>243</v>
      </c>
      <c r="U93" s="140"/>
      <c r="V93" s="141"/>
      <c r="W93" s="141"/>
      <c r="X93" s="141"/>
      <c r="Y93" s="139"/>
      <c r="Z93" s="230">
        <v>100000</v>
      </c>
      <c r="AA93" s="230">
        <v>100000</v>
      </c>
      <c r="AB93" s="230">
        <v>100000</v>
      </c>
      <c r="AC93" s="315"/>
      <c r="AD93" s="316"/>
    </row>
    <row r="94" spans="1:30" s="317" customFormat="1" ht="78.75" hidden="1" customHeight="1" x14ac:dyDescent="0.3">
      <c r="A94" s="162" t="s">
        <v>641</v>
      </c>
      <c r="B94" s="140" t="s">
        <v>15</v>
      </c>
      <c r="C94" s="140" t="s">
        <v>136</v>
      </c>
      <c r="D94" s="140" t="s">
        <v>124</v>
      </c>
      <c r="E94" s="263" t="s">
        <v>1032</v>
      </c>
      <c r="F94" s="140"/>
      <c r="G94" s="140"/>
      <c r="H94" s="140"/>
      <c r="I94" s="140"/>
      <c r="J94" s="140"/>
      <c r="K94" s="140"/>
      <c r="L94" s="140"/>
      <c r="M94" s="140"/>
      <c r="N94" s="140"/>
      <c r="O94" s="140"/>
      <c r="P94" s="140"/>
      <c r="Q94" s="140"/>
      <c r="R94" s="140"/>
      <c r="S94" s="140"/>
      <c r="T94" s="140"/>
      <c r="U94" s="140"/>
      <c r="V94" s="141"/>
      <c r="W94" s="141"/>
      <c r="X94" s="141"/>
      <c r="Y94" s="139"/>
      <c r="Z94" s="230">
        <f>Z95</f>
        <v>0</v>
      </c>
      <c r="AA94" s="230">
        <f t="shared" ref="AA94:AB94" si="7">AA95</f>
        <v>0</v>
      </c>
      <c r="AB94" s="230">
        <f t="shared" si="7"/>
        <v>0</v>
      </c>
      <c r="AC94" s="315"/>
      <c r="AD94" s="316"/>
    </row>
    <row r="95" spans="1:30" s="317" customFormat="1" ht="78.75" hidden="1" customHeight="1" x14ac:dyDescent="0.3">
      <c r="A95" s="139" t="s">
        <v>1001</v>
      </c>
      <c r="B95" s="140" t="s">
        <v>15</v>
      </c>
      <c r="C95" s="140" t="s">
        <v>136</v>
      </c>
      <c r="D95" s="140" t="s">
        <v>124</v>
      </c>
      <c r="E95" s="263" t="s">
        <v>1032</v>
      </c>
      <c r="F95" s="140"/>
      <c r="G95" s="140"/>
      <c r="H95" s="140"/>
      <c r="I95" s="140"/>
      <c r="J95" s="140"/>
      <c r="K95" s="140"/>
      <c r="L95" s="140"/>
      <c r="M95" s="140"/>
      <c r="N95" s="140"/>
      <c r="O95" s="140"/>
      <c r="P95" s="140"/>
      <c r="Q95" s="140"/>
      <c r="R95" s="140"/>
      <c r="S95" s="140"/>
      <c r="T95" s="140" t="s">
        <v>290</v>
      </c>
      <c r="U95" s="140"/>
      <c r="V95" s="141"/>
      <c r="W95" s="141"/>
      <c r="X95" s="141"/>
      <c r="Y95" s="139"/>
      <c r="Z95" s="230">
        <v>0</v>
      </c>
      <c r="AA95" s="230">
        <v>0</v>
      </c>
      <c r="AB95" s="230">
        <v>0</v>
      </c>
      <c r="AC95" s="315"/>
      <c r="AD95" s="316"/>
    </row>
    <row r="96" spans="1:30" ht="78.75" hidden="1" customHeight="1" x14ac:dyDescent="0.3">
      <c r="A96" s="162" t="s">
        <v>642</v>
      </c>
      <c r="B96" s="172" t="s">
        <v>15</v>
      </c>
      <c r="C96" s="172" t="s">
        <v>136</v>
      </c>
      <c r="D96" s="172" t="s">
        <v>124</v>
      </c>
      <c r="E96" s="263" t="s">
        <v>561</v>
      </c>
      <c r="F96" s="172"/>
      <c r="G96" s="172"/>
      <c r="H96" s="172"/>
      <c r="I96" s="172"/>
      <c r="J96" s="172"/>
      <c r="K96" s="172"/>
      <c r="L96" s="172"/>
      <c r="M96" s="172"/>
      <c r="N96" s="172"/>
      <c r="O96" s="172"/>
      <c r="P96" s="172"/>
      <c r="Q96" s="172"/>
      <c r="R96" s="172"/>
      <c r="S96" s="172"/>
      <c r="T96" s="172"/>
      <c r="U96" s="172"/>
      <c r="V96" s="221"/>
      <c r="W96" s="221"/>
      <c r="X96" s="221"/>
      <c r="Y96" s="162" t="s">
        <v>327</v>
      </c>
      <c r="Z96" s="268">
        <f>Z97</f>
        <v>0</v>
      </c>
      <c r="AA96" s="268">
        <f>AA97</f>
        <v>0</v>
      </c>
      <c r="AB96" s="268">
        <f>AB97</f>
        <v>0</v>
      </c>
      <c r="AC96" s="228" t="s">
        <v>327</v>
      </c>
      <c r="AD96" s="227"/>
    </row>
    <row r="97" spans="1:30" ht="78.75" hidden="1" customHeight="1" x14ac:dyDescent="0.3">
      <c r="A97" s="139" t="s">
        <v>328</v>
      </c>
      <c r="B97" s="140" t="s">
        <v>15</v>
      </c>
      <c r="C97" s="140" t="s">
        <v>136</v>
      </c>
      <c r="D97" s="140" t="s">
        <v>124</v>
      </c>
      <c r="E97" s="263" t="s">
        <v>561</v>
      </c>
      <c r="F97" s="140"/>
      <c r="G97" s="140"/>
      <c r="H97" s="140"/>
      <c r="I97" s="140"/>
      <c r="J97" s="140"/>
      <c r="K97" s="140"/>
      <c r="L97" s="140"/>
      <c r="M97" s="140"/>
      <c r="N97" s="140"/>
      <c r="O97" s="140"/>
      <c r="P97" s="140"/>
      <c r="Q97" s="140"/>
      <c r="R97" s="140"/>
      <c r="S97" s="140"/>
      <c r="T97" s="140" t="s">
        <v>290</v>
      </c>
      <c r="U97" s="140"/>
      <c r="V97" s="141"/>
      <c r="W97" s="141"/>
      <c r="X97" s="141"/>
      <c r="Y97" s="139" t="s">
        <v>328</v>
      </c>
      <c r="Z97" s="230">
        <f>30000-30000</f>
        <v>0</v>
      </c>
      <c r="AA97" s="230">
        <v>0</v>
      </c>
      <c r="AB97" s="230">
        <v>0</v>
      </c>
      <c r="AC97" s="231" t="s">
        <v>328</v>
      </c>
      <c r="AD97" s="227"/>
    </row>
    <row r="98" spans="1:30" ht="78.75" hidden="1" customHeight="1" x14ac:dyDescent="0.3">
      <c r="A98" s="162" t="s">
        <v>643</v>
      </c>
      <c r="B98" s="172" t="s">
        <v>15</v>
      </c>
      <c r="C98" s="172" t="s">
        <v>136</v>
      </c>
      <c r="D98" s="172" t="s">
        <v>124</v>
      </c>
      <c r="E98" s="263" t="s">
        <v>562</v>
      </c>
      <c r="F98" s="172"/>
      <c r="G98" s="172"/>
      <c r="H98" s="172"/>
      <c r="I98" s="172"/>
      <c r="J98" s="172"/>
      <c r="K98" s="172"/>
      <c r="L98" s="172"/>
      <c r="M98" s="172"/>
      <c r="N98" s="172"/>
      <c r="O98" s="172"/>
      <c r="P98" s="172"/>
      <c r="Q98" s="172"/>
      <c r="R98" s="172"/>
      <c r="S98" s="172"/>
      <c r="T98" s="172"/>
      <c r="U98" s="172"/>
      <c r="V98" s="221"/>
      <c r="W98" s="221"/>
      <c r="X98" s="221"/>
      <c r="Y98" s="162" t="s">
        <v>329</v>
      </c>
      <c r="Z98" s="268">
        <f>Z99</f>
        <v>0</v>
      </c>
      <c r="AA98" s="268">
        <f>AA99</f>
        <v>0</v>
      </c>
      <c r="AB98" s="268">
        <f>AB99</f>
        <v>0</v>
      </c>
      <c r="AC98" s="228" t="s">
        <v>329</v>
      </c>
      <c r="AD98" s="227"/>
    </row>
    <row r="99" spans="1:30" ht="78.75" hidden="1" customHeight="1" x14ac:dyDescent="0.3">
      <c r="A99" s="139" t="s">
        <v>330</v>
      </c>
      <c r="B99" s="140" t="s">
        <v>15</v>
      </c>
      <c r="C99" s="140" t="s">
        <v>136</v>
      </c>
      <c r="D99" s="140" t="s">
        <v>124</v>
      </c>
      <c r="E99" s="263" t="s">
        <v>562</v>
      </c>
      <c r="F99" s="140"/>
      <c r="G99" s="140"/>
      <c r="H99" s="140"/>
      <c r="I99" s="140"/>
      <c r="J99" s="140"/>
      <c r="K99" s="140"/>
      <c r="L99" s="140"/>
      <c r="M99" s="140"/>
      <c r="N99" s="140"/>
      <c r="O99" s="140"/>
      <c r="P99" s="140"/>
      <c r="Q99" s="140"/>
      <c r="R99" s="140"/>
      <c r="S99" s="140"/>
      <c r="T99" s="140" t="s">
        <v>290</v>
      </c>
      <c r="U99" s="140"/>
      <c r="V99" s="141"/>
      <c r="W99" s="141"/>
      <c r="X99" s="141"/>
      <c r="Y99" s="139" t="s">
        <v>330</v>
      </c>
      <c r="Z99" s="230">
        <f>30000-30000</f>
        <v>0</v>
      </c>
      <c r="AA99" s="230">
        <v>0</v>
      </c>
      <c r="AB99" s="230">
        <v>0</v>
      </c>
      <c r="AC99" s="231" t="s">
        <v>330</v>
      </c>
      <c r="AD99" s="227"/>
    </row>
    <row r="100" spans="1:30" ht="180" customHeight="1" x14ac:dyDescent="0.3">
      <c r="A100" s="357" t="s">
        <v>1150</v>
      </c>
      <c r="B100" s="172" t="s">
        <v>15</v>
      </c>
      <c r="C100" s="172" t="s">
        <v>136</v>
      </c>
      <c r="D100" s="172" t="s">
        <v>124</v>
      </c>
      <c r="E100" s="263" t="s">
        <v>1172</v>
      </c>
      <c r="F100" s="172"/>
      <c r="G100" s="172"/>
      <c r="H100" s="172"/>
      <c r="I100" s="172"/>
      <c r="J100" s="172"/>
      <c r="K100" s="172"/>
      <c r="L100" s="172"/>
      <c r="M100" s="172"/>
      <c r="N100" s="172"/>
      <c r="O100" s="172"/>
      <c r="P100" s="172"/>
      <c r="Q100" s="172"/>
      <c r="R100" s="172"/>
      <c r="S100" s="172"/>
      <c r="T100" s="172"/>
      <c r="U100" s="172"/>
      <c r="V100" s="221"/>
      <c r="W100" s="221"/>
      <c r="X100" s="221"/>
      <c r="Y100" s="162" t="s">
        <v>331</v>
      </c>
      <c r="Z100" s="268">
        <f>Z101</f>
        <v>21900</v>
      </c>
      <c r="AA100" s="268">
        <f>AA101</f>
        <v>21900</v>
      </c>
      <c r="AB100" s="268">
        <f>AB101</f>
        <v>21900</v>
      </c>
      <c r="AC100" s="228" t="s">
        <v>331</v>
      </c>
      <c r="AD100" s="227"/>
    </row>
    <row r="101" spans="1:30" ht="173.25" customHeight="1" x14ac:dyDescent="0.3">
      <c r="A101" s="139" t="s">
        <v>729</v>
      </c>
      <c r="B101" s="140" t="s">
        <v>15</v>
      </c>
      <c r="C101" s="140" t="s">
        <v>136</v>
      </c>
      <c r="D101" s="140" t="s">
        <v>124</v>
      </c>
      <c r="E101" s="263" t="s">
        <v>1172</v>
      </c>
      <c r="F101" s="140"/>
      <c r="G101" s="140"/>
      <c r="H101" s="140"/>
      <c r="I101" s="140"/>
      <c r="J101" s="140"/>
      <c r="K101" s="140"/>
      <c r="L101" s="140"/>
      <c r="M101" s="140"/>
      <c r="N101" s="140"/>
      <c r="O101" s="140"/>
      <c r="P101" s="140"/>
      <c r="Q101" s="140"/>
      <c r="R101" s="140"/>
      <c r="S101" s="140"/>
      <c r="T101" s="140" t="s">
        <v>290</v>
      </c>
      <c r="U101" s="140"/>
      <c r="V101" s="141"/>
      <c r="W101" s="141"/>
      <c r="X101" s="141"/>
      <c r="Y101" s="139" t="s">
        <v>332</v>
      </c>
      <c r="Z101" s="230">
        <v>21900</v>
      </c>
      <c r="AA101" s="230">
        <v>21900</v>
      </c>
      <c r="AB101" s="230">
        <v>21900</v>
      </c>
      <c r="AC101" s="231" t="s">
        <v>332</v>
      </c>
      <c r="AD101" s="227"/>
    </row>
    <row r="102" spans="1:30" ht="1.5" hidden="1" customHeight="1" x14ac:dyDescent="0.3">
      <c r="A102" s="309" t="s">
        <v>563</v>
      </c>
      <c r="B102" s="149" t="s">
        <v>15</v>
      </c>
      <c r="C102" s="150" t="s">
        <v>136</v>
      </c>
      <c r="D102" s="150" t="s">
        <v>124</v>
      </c>
      <c r="E102" s="278" t="s">
        <v>564</v>
      </c>
      <c r="F102" s="150"/>
      <c r="G102" s="150"/>
      <c r="H102" s="150"/>
      <c r="I102" s="150"/>
      <c r="J102" s="150"/>
      <c r="K102" s="150"/>
      <c r="L102" s="150"/>
      <c r="M102" s="150"/>
      <c r="N102" s="150"/>
      <c r="O102" s="150"/>
      <c r="P102" s="150"/>
      <c r="Q102" s="150"/>
      <c r="R102" s="150"/>
      <c r="S102" s="150"/>
      <c r="T102" s="150"/>
      <c r="U102" s="140"/>
      <c r="V102" s="141"/>
      <c r="W102" s="141"/>
      <c r="X102" s="141"/>
      <c r="Y102" s="139"/>
      <c r="Z102" s="230">
        <f>Z103</f>
        <v>0</v>
      </c>
      <c r="AA102" s="230">
        <f>AA103</f>
        <v>0</v>
      </c>
      <c r="AB102" s="230">
        <f>AB103</f>
        <v>0</v>
      </c>
      <c r="AC102" s="231"/>
      <c r="AD102" s="227"/>
    </row>
    <row r="103" spans="1:30" ht="21" hidden="1" customHeight="1" x14ac:dyDescent="0.3">
      <c r="A103" s="311" t="s">
        <v>824</v>
      </c>
      <c r="B103" s="150" t="s">
        <v>15</v>
      </c>
      <c r="C103" s="150" t="s">
        <v>136</v>
      </c>
      <c r="D103" s="150" t="s">
        <v>124</v>
      </c>
      <c r="E103" s="278" t="s">
        <v>564</v>
      </c>
      <c r="F103" s="150"/>
      <c r="G103" s="150"/>
      <c r="H103" s="150"/>
      <c r="I103" s="150"/>
      <c r="J103" s="150"/>
      <c r="K103" s="150"/>
      <c r="L103" s="150"/>
      <c r="M103" s="150"/>
      <c r="N103" s="150"/>
      <c r="O103" s="150"/>
      <c r="P103" s="150"/>
      <c r="Q103" s="150"/>
      <c r="R103" s="150"/>
      <c r="S103" s="150"/>
      <c r="T103" s="150" t="s">
        <v>243</v>
      </c>
      <c r="U103" s="140"/>
      <c r="V103" s="141"/>
      <c r="W103" s="141"/>
      <c r="X103" s="141"/>
      <c r="Y103" s="139"/>
      <c r="Z103" s="230">
        <v>0</v>
      </c>
      <c r="AA103" s="230">
        <v>0</v>
      </c>
      <c r="AB103" s="230">
        <v>0</v>
      </c>
      <c r="AC103" s="231"/>
      <c r="AD103" s="227"/>
    </row>
    <row r="104" spans="1:30" ht="21.75" hidden="1" customHeight="1" x14ac:dyDescent="0.3">
      <c r="A104" s="167" t="s">
        <v>565</v>
      </c>
      <c r="B104" s="150" t="s">
        <v>15</v>
      </c>
      <c r="C104" s="150" t="s">
        <v>136</v>
      </c>
      <c r="D104" s="150" t="s">
        <v>124</v>
      </c>
      <c r="E104" s="278" t="s">
        <v>566</v>
      </c>
      <c r="F104" s="150"/>
      <c r="G104" s="150"/>
      <c r="H104" s="150"/>
      <c r="I104" s="150"/>
      <c r="J104" s="150"/>
      <c r="K104" s="150"/>
      <c r="L104" s="150"/>
      <c r="M104" s="150"/>
      <c r="N104" s="150"/>
      <c r="O104" s="150"/>
      <c r="P104" s="150"/>
      <c r="Q104" s="150"/>
      <c r="R104" s="150"/>
      <c r="S104" s="150"/>
      <c r="T104" s="150"/>
      <c r="U104" s="140"/>
      <c r="V104" s="141"/>
      <c r="W104" s="141"/>
      <c r="X104" s="141"/>
      <c r="Y104" s="139"/>
      <c r="Z104" s="230">
        <f>Z105</f>
        <v>0</v>
      </c>
      <c r="AA104" s="230">
        <f>AA105</f>
        <v>0</v>
      </c>
      <c r="AB104" s="230">
        <f>AB105</f>
        <v>0</v>
      </c>
      <c r="AC104" s="231"/>
      <c r="AD104" s="227"/>
    </row>
    <row r="105" spans="1:30" ht="25.5" hidden="1" customHeight="1" x14ac:dyDescent="0.3">
      <c r="A105" s="168" t="s">
        <v>644</v>
      </c>
      <c r="B105" s="150" t="s">
        <v>15</v>
      </c>
      <c r="C105" s="150" t="s">
        <v>136</v>
      </c>
      <c r="D105" s="150" t="s">
        <v>124</v>
      </c>
      <c r="E105" s="278" t="s">
        <v>566</v>
      </c>
      <c r="F105" s="150"/>
      <c r="G105" s="150"/>
      <c r="H105" s="150"/>
      <c r="I105" s="150"/>
      <c r="J105" s="150"/>
      <c r="K105" s="150"/>
      <c r="L105" s="150"/>
      <c r="M105" s="150"/>
      <c r="N105" s="150"/>
      <c r="O105" s="150"/>
      <c r="P105" s="150"/>
      <c r="Q105" s="150"/>
      <c r="R105" s="150"/>
      <c r="S105" s="150"/>
      <c r="T105" s="150" t="s">
        <v>243</v>
      </c>
      <c r="U105" s="140"/>
      <c r="V105" s="141"/>
      <c r="W105" s="141"/>
      <c r="X105" s="141"/>
      <c r="Y105" s="139"/>
      <c r="Z105" s="230">
        <v>0</v>
      </c>
      <c r="AA105" s="230">
        <v>0</v>
      </c>
      <c r="AB105" s="230">
        <v>0</v>
      </c>
      <c r="AC105" s="231"/>
      <c r="AD105" s="227"/>
    </row>
    <row r="106" spans="1:30" ht="21" hidden="1" customHeight="1" x14ac:dyDescent="0.3">
      <c r="A106" s="170" t="s">
        <v>252</v>
      </c>
      <c r="B106" s="171" t="s">
        <v>15</v>
      </c>
      <c r="C106" s="171" t="s">
        <v>136</v>
      </c>
      <c r="D106" s="171" t="s">
        <v>125</v>
      </c>
      <c r="E106" s="171"/>
      <c r="F106" s="171"/>
      <c r="G106" s="171"/>
      <c r="H106" s="171"/>
      <c r="I106" s="171"/>
      <c r="J106" s="171"/>
      <c r="K106" s="171"/>
      <c r="L106" s="171"/>
      <c r="M106" s="171"/>
      <c r="N106" s="171"/>
      <c r="O106" s="171"/>
      <c r="P106" s="171"/>
      <c r="Q106" s="171"/>
      <c r="R106" s="171"/>
      <c r="S106" s="171"/>
      <c r="T106" s="171"/>
      <c r="U106" s="171"/>
      <c r="V106" s="240"/>
      <c r="W106" s="240"/>
      <c r="X106" s="240"/>
      <c r="Y106" s="170" t="s">
        <v>252</v>
      </c>
      <c r="Z106" s="241">
        <f>Z107+Z109</f>
        <v>0</v>
      </c>
      <c r="AA106" s="241">
        <f>AA107+AA109</f>
        <v>0</v>
      </c>
      <c r="AB106" s="241">
        <f>AB107+AB109</f>
        <v>0</v>
      </c>
      <c r="AC106" s="226" t="s">
        <v>252</v>
      </c>
      <c r="AD106" s="227"/>
    </row>
    <row r="107" spans="1:30" s="317" customFormat="1" ht="32.25" hidden="1" customHeight="1" x14ac:dyDescent="0.3">
      <c r="A107" s="162" t="s">
        <v>1003</v>
      </c>
      <c r="B107" s="172" t="s">
        <v>15</v>
      </c>
      <c r="C107" s="172" t="s">
        <v>136</v>
      </c>
      <c r="D107" s="172" t="s">
        <v>125</v>
      </c>
      <c r="E107" s="263" t="s">
        <v>1002</v>
      </c>
      <c r="F107" s="172"/>
      <c r="G107" s="172"/>
      <c r="H107" s="172"/>
      <c r="I107" s="172"/>
      <c r="J107" s="172"/>
      <c r="K107" s="172"/>
      <c r="L107" s="172"/>
      <c r="M107" s="172"/>
      <c r="N107" s="172"/>
      <c r="O107" s="172"/>
      <c r="P107" s="172"/>
      <c r="Q107" s="172"/>
      <c r="R107" s="172"/>
      <c r="S107" s="172"/>
      <c r="T107" s="172"/>
      <c r="U107" s="172"/>
      <c r="V107" s="221"/>
      <c r="W107" s="221"/>
      <c r="X107" s="221"/>
      <c r="Y107" s="162" t="s">
        <v>333</v>
      </c>
      <c r="Z107" s="268">
        <f>Z108</f>
        <v>0</v>
      </c>
      <c r="AA107" s="268">
        <f>AA108</f>
        <v>0</v>
      </c>
      <c r="AB107" s="268">
        <f>AB108</f>
        <v>0</v>
      </c>
      <c r="AC107" s="313" t="s">
        <v>333</v>
      </c>
      <c r="AD107" s="316"/>
    </row>
    <row r="108" spans="1:30" s="317" customFormat="1" ht="26.25" hidden="1" customHeight="1" x14ac:dyDescent="0.3">
      <c r="A108" s="139" t="s">
        <v>1037</v>
      </c>
      <c r="B108" s="140" t="s">
        <v>15</v>
      </c>
      <c r="C108" s="140" t="s">
        <v>136</v>
      </c>
      <c r="D108" s="140" t="s">
        <v>125</v>
      </c>
      <c r="E108" s="263" t="s">
        <v>1002</v>
      </c>
      <c r="F108" s="140"/>
      <c r="G108" s="140"/>
      <c r="H108" s="140"/>
      <c r="I108" s="140"/>
      <c r="J108" s="140"/>
      <c r="K108" s="140"/>
      <c r="L108" s="140"/>
      <c r="M108" s="140"/>
      <c r="N108" s="140"/>
      <c r="O108" s="140"/>
      <c r="P108" s="140"/>
      <c r="Q108" s="140"/>
      <c r="R108" s="140"/>
      <c r="S108" s="140"/>
      <c r="T108" s="140" t="s">
        <v>290</v>
      </c>
      <c r="U108" s="140"/>
      <c r="V108" s="141"/>
      <c r="W108" s="141"/>
      <c r="X108" s="141"/>
      <c r="Y108" s="139" t="s">
        <v>334</v>
      </c>
      <c r="Z108" s="230">
        <v>0</v>
      </c>
      <c r="AA108" s="230">
        <v>0</v>
      </c>
      <c r="AB108" s="230">
        <v>0</v>
      </c>
      <c r="AC108" s="315" t="s">
        <v>334</v>
      </c>
      <c r="AD108" s="316"/>
    </row>
    <row r="109" spans="1:30" ht="23.25" hidden="1" customHeight="1" x14ac:dyDescent="0.3">
      <c r="A109" s="162" t="s">
        <v>645</v>
      </c>
      <c r="B109" s="172" t="s">
        <v>15</v>
      </c>
      <c r="C109" s="172" t="s">
        <v>136</v>
      </c>
      <c r="D109" s="172" t="s">
        <v>125</v>
      </c>
      <c r="E109" s="263" t="s">
        <v>567</v>
      </c>
      <c r="F109" s="172"/>
      <c r="G109" s="172"/>
      <c r="H109" s="172"/>
      <c r="I109" s="172"/>
      <c r="J109" s="172"/>
      <c r="K109" s="172"/>
      <c r="L109" s="172"/>
      <c r="M109" s="172"/>
      <c r="N109" s="172"/>
      <c r="O109" s="172"/>
      <c r="P109" s="172"/>
      <c r="Q109" s="172"/>
      <c r="R109" s="172"/>
      <c r="S109" s="172"/>
      <c r="T109" s="172"/>
      <c r="U109" s="172"/>
      <c r="V109" s="221"/>
      <c r="W109" s="221"/>
      <c r="X109" s="221"/>
      <c r="Y109" s="162" t="s">
        <v>335</v>
      </c>
      <c r="Z109" s="268">
        <f>Z110</f>
        <v>0</v>
      </c>
      <c r="AA109" s="268">
        <f>AA110</f>
        <v>0</v>
      </c>
      <c r="AB109" s="268">
        <f>AB110</f>
        <v>0</v>
      </c>
      <c r="AC109" s="228" t="s">
        <v>335</v>
      </c>
      <c r="AD109" s="227"/>
    </row>
    <row r="110" spans="1:30" ht="33.75" hidden="1" customHeight="1" x14ac:dyDescent="0.3">
      <c r="A110" s="139" t="s">
        <v>336</v>
      </c>
      <c r="B110" s="140" t="s">
        <v>15</v>
      </c>
      <c r="C110" s="140" t="s">
        <v>136</v>
      </c>
      <c r="D110" s="140" t="s">
        <v>125</v>
      </c>
      <c r="E110" s="263" t="s">
        <v>567</v>
      </c>
      <c r="F110" s="140"/>
      <c r="G110" s="140"/>
      <c r="H110" s="140"/>
      <c r="I110" s="140"/>
      <c r="J110" s="140"/>
      <c r="K110" s="140"/>
      <c r="L110" s="140"/>
      <c r="M110" s="140"/>
      <c r="N110" s="140"/>
      <c r="O110" s="140"/>
      <c r="P110" s="140"/>
      <c r="Q110" s="140"/>
      <c r="R110" s="140"/>
      <c r="S110" s="140"/>
      <c r="T110" s="140" t="s">
        <v>290</v>
      </c>
      <c r="U110" s="140"/>
      <c r="V110" s="141"/>
      <c r="W110" s="141"/>
      <c r="X110" s="141"/>
      <c r="Y110" s="139" t="s">
        <v>336</v>
      </c>
      <c r="Z110" s="230">
        <f>200000-200000</f>
        <v>0</v>
      </c>
      <c r="AA110" s="230">
        <v>0</v>
      </c>
      <c r="AB110" s="230">
        <v>0</v>
      </c>
      <c r="AC110" s="231" t="s">
        <v>336</v>
      </c>
      <c r="AD110" s="227"/>
    </row>
    <row r="111" spans="1:30" ht="30" hidden="1" customHeight="1" x14ac:dyDescent="0.3">
      <c r="A111" s="170" t="s">
        <v>148</v>
      </c>
      <c r="B111" s="171" t="s">
        <v>15</v>
      </c>
      <c r="C111" s="171" t="s">
        <v>136</v>
      </c>
      <c r="D111" s="171" t="s">
        <v>126</v>
      </c>
      <c r="E111" s="171"/>
      <c r="F111" s="171"/>
      <c r="G111" s="171"/>
      <c r="H111" s="171"/>
      <c r="I111" s="171"/>
      <c r="J111" s="171"/>
      <c r="K111" s="171"/>
      <c r="L111" s="171"/>
      <c r="M111" s="171"/>
      <c r="N111" s="171"/>
      <c r="O111" s="171"/>
      <c r="P111" s="171"/>
      <c r="Q111" s="171"/>
      <c r="R111" s="171"/>
      <c r="S111" s="171"/>
      <c r="T111" s="171"/>
      <c r="U111" s="171"/>
      <c r="V111" s="240"/>
      <c r="W111" s="240"/>
      <c r="X111" s="240"/>
      <c r="Y111" s="170" t="s">
        <v>148</v>
      </c>
      <c r="Z111" s="241">
        <f>Z112+Z114+Z118+Z120+Z122+Z124+Z128+Z130+Z132+Z116+Z126</f>
        <v>0</v>
      </c>
      <c r="AA111" s="241">
        <f>AA112+AA114+AA118+AA120+AA122+AA124+AA128+AA130</f>
        <v>0</v>
      </c>
      <c r="AB111" s="241">
        <f>AB112+AB114+AB118+AB120+AB122+AB124+AB128+AB130</f>
        <v>0</v>
      </c>
      <c r="AC111" s="226" t="s">
        <v>148</v>
      </c>
      <c r="AD111" s="227"/>
    </row>
    <row r="112" spans="1:30" ht="24.75" hidden="1" customHeight="1" x14ac:dyDescent="0.3">
      <c r="A112" s="299" t="s">
        <v>568</v>
      </c>
      <c r="B112" s="312" t="s">
        <v>15</v>
      </c>
      <c r="C112" s="263" t="s">
        <v>136</v>
      </c>
      <c r="D112" s="263" t="s">
        <v>126</v>
      </c>
      <c r="E112" s="263" t="s">
        <v>569</v>
      </c>
      <c r="F112" s="143"/>
      <c r="G112" s="143"/>
      <c r="H112" s="143"/>
      <c r="I112" s="143"/>
      <c r="J112" s="143"/>
      <c r="K112" s="143"/>
      <c r="L112" s="143"/>
      <c r="M112" s="143"/>
      <c r="N112" s="143"/>
      <c r="O112" s="143"/>
      <c r="P112" s="143"/>
      <c r="Q112" s="143"/>
      <c r="R112" s="143"/>
      <c r="S112" s="143"/>
      <c r="T112" s="143"/>
      <c r="U112" s="171"/>
      <c r="V112" s="240"/>
      <c r="W112" s="240"/>
      <c r="X112" s="240"/>
      <c r="Y112" s="170"/>
      <c r="Z112" s="268">
        <f>Z113</f>
        <v>0</v>
      </c>
      <c r="AA112" s="268">
        <f>AA113</f>
        <v>0</v>
      </c>
      <c r="AB112" s="268">
        <f>AB113</f>
        <v>0</v>
      </c>
      <c r="AC112" s="226"/>
      <c r="AD112" s="227"/>
    </row>
    <row r="113" spans="1:31" ht="36.75" hidden="1" customHeight="1" x14ac:dyDescent="0.3">
      <c r="A113" s="283" t="s">
        <v>646</v>
      </c>
      <c r="B113" s="312" t="s">
        <v>15</v>
      </c>
      <c r="C113" s="263" t="s">
        <v>136</v>
      </c>
      <c r="D113" s="263" t="s">
        <v>126</v>
      </c>
      <c r="E113" s="263" t="s">
        <v>569</v>
      </c>
      <c r="F113" s="143"/>
      <c r="G113" s="143"/>
      <c r="H113" s="143"/>
      <c r="I113" s="143"/>
      <c r="J113" s="143"/>
      <c r="K113" s="143"/>
      <c r="L113" s="143"/>
      <c r="M113" s="143"/>
      <c r="N113" s="143"/>
      <c r="O113" s="143"/>
      <c r="P113" s="143"/>
      <c r="Q113" s="143"/>
      <c r="R113" s="143"/>
      <c r="S113" s="143"/>
      <c r="T113" s="263" t="s">
        <v>290</v>
      </c>
      <c r="U113" s="171"/>
      <c r="V113" s="240"/>
      <c r="W113" s="240"/>
      <c r="X113" s="240"/>
      <c r="Y113" s="170"/>
      <c r="Z113" s="268">
        <v>0</v>
      </c>
      <c r="AA113" s="268">
        <v>0</v>
      </c>
      <c r="AB113" s="268">
        <v>0</v>
      </c>
      <c r="AC113" s="369"/>
      <c r="AD113" s="371"/>
      <c r="AE113" s="370"/>
    </row>
    <row r="114" spans="1:31" s="317" customFormat="1" ht="30" hidden="1" customHeight="1" x14ac:dyDescent="0.3">
      <c r="A114" s="169" t="s">
        <v>647</v>
      </c>
      <c r="B114" s="172" t="s">
        <v>15</v>
      </c>
      <c r="C114" s="172" t="s">
        <v>136</v>
      </c>
      <c r="D114" s="172" t="s">
        <v>126</v>
      </c>
      <c r="E114" s="263" t="s">
        <v>570</v>
      </c>
      <c r="F114" s="172"/>
      <c r="G114" s="172"/>
      <c r="H114" s="172"/>
      <c r="I114" s="172"/>
      <c r="J114" s="172"/>
      <c r="K114" s="172"/>
      <c r="L114" s="172"/>
      <c r="M114" s="172"/>
      <c r="N114" s="172"/>
      <c r="O114" s="172"/>
      <c r="P114" s="172"/>
      <c r="Q114" s="172"/>
      <c r="R114" s="172"/>
      <c r="S114" s="172"/>
      <c r="T114" s="172"/>
      <c r="U114" s="172"/>
      <c r="V114" s="221"/>
      <c r="W114" s="221"/>
      <c r="X114" s="221"/>
      <c r="Y114" s="162" t="s">
        <v>337</v>
      </c>
      <c r="Z114" s="268">
        <f>Z115</f>
        <v>0</v>
      </c>
      <c r="AA114" s="268">
        <f>AA115</f>
        <v>0</v>
      </c>
      <c r="AB114" s="268">
        <f>AB115</f>
        <v>0</v>
      </c>
      <c r="AC114" s="313" t="s">
        <v>337</v>
      </c>
      <c r="AD114" s="316"/>
    </row>
    <row r="115" spans="1:31" s="317" customFormat="1" ht="30.75" hidden="1" customHeight="1" x14ac:dyDescent="0.3">
      <c r="A115" s="139" t="s">
        <v>338</v>
      </c>
      <c r="B115" s="140" t="s">
        <v>15</v>
      </c>
      <c r="C115" s="140" t="s">
        <v>136</v>
      </c>
      <c r="D115" s="140" t="s">
        <v>126</v>
      </c>
      <c r="E115" s="263" t="s">
        <v>570</v>
      </c>
      <c r="F115" s="140"/>
      <c r="G115" s="140"/>
      <c r="H115" s="140"/>
      <c r="I115" s="140"/>
      <c r="J115" s="140"/>
      <c r="K115" s="140"/>
      <c r="L115" s="140"/>
      <c r="M115" s="140"/>
      <c r="N115" s="140"/>
      <c r="O115" s="140"/>
      <c r="P115" s="140"/>
      <c r="Q115" s="140"/>
      <c r="R115" s="140"/>
      <c r="S115" s="140"/>
      <c r="T115" s="140" t="s">
        <v>290</v>
      </c>
      <c r="U115" s="140"/>
      <c r="V115" s="141"/>
      <c r="W115" s="141"/>
      <c r="X115" s="141"/>
      <c r="Y115" s="139" t="s">
        <v>338</v>
      </c>
      <c r="Z115" s="230">
        <v>0</v>
      </c>
      <c r="AA115" s="230">
        <v>0</v>
      </c>
      <c r="AB115" s="230">
        <v>0</v>
      </c>
      <c r="AC115" s="315" t="s">
        <v>338</v>
      </c>
      <c r="AD115" s="316"/>
    </row>
    <row r="116" spans="1:31" s="317" customFormat="1" ht="40.5" hidden="1" customHeight="1" x14ac:dyDescent="0.3">
      <c r="A116" s="162" t="s">
        <v>1009</v>
      </c>
      <c r="B116" s="140" t="s">
        <v>15</v>
      </c>
      <c r="C116" s="140" t="s">
        <v>136</v>
      </c>
      <c r="D116" s="140" t="s">
        <v>126</v>
      </c>
      <c r="E116" s="263" t="s">
        <v>1008</v>
      </c>
      <c r="F116" s="140"/>
      <c r="G116" s="140"/>
      <c r="H116" s="140"/>
      <c r="I116" s="140"/>
      <c r="J116" s="140"/>
      <c r="K116" s="140"/>
      <c r="L116" s="140"/>
      <c r="M116" s="140"/>
      <c r="N116" s="140"/>
      <c r="O116" s="140"/>
      <c r="P116" s="140"/>
      <c r="Q116" s="140"/>
      <c r="R116" s="140"/>
      <c r="S116" s="140"/>
      <c r="T116" s="140"/>
      <c r="U116" s="140"/>
      <c r="V116" s="141"/>
      <c r="W116" s="141"/>
      <c r="X116" s="141"/>
      <c r="Y116" s="139"/>
      <c r="Z116" s="230">
        <f>Z117</f>
        <v>0</v>
      </c>
      <c r="AA116" s="230">
        <v>0</v>
      </c>
      <c r="AB116" s="230">
        <v>0</v>
      </c>
      <c r="AC116" s="315"/>
      <c r="AD116" s="316"/>
    </row>
    <row r="117" spans="1:31" s="317" customFormat="1" ht="45" hidden="1" customHeight="1" x14ac:dyDescent="0.3">
      <c r="A117" s="139" t="s">
        <v>1010</v>
      </c>
      <c r="B117" s="140" t="s">
        <v>15</v>
      </c>
      <c r="C117" s="140" t="s">
        <v>136</v>
      </c>
      <c r="D117" s="140" t="s">
        <v>126</v>
      </c>
      <c r="E117" s="263" t="s">
        <v>1008</v>
      </c>
      <c r="F117" s="140"/>
      <c r="G117" s="140"/>
      <c r="H117" s="140"/>
      <c r="I117" s="140"/>
      <c r="J117" s="140"/>
      <c r="K117" s="140"/>
      <c r="L117" s="140"/>
      <c r="M117" s="140"/>
      <c r="N117" s="140"/>
      <c r="O117" s="140"/>
      <c r="P117" s="140"/>
      <c r="Q117" s="140"/>
      <c r="R117" s="140"/>
      <c r="S117" s="140"/>
      <c r="T117" s="140" t="s">
        <v>290</v>
      </c>
      <c r="U117" s="140"/>
      <c r="V117" s="141"/>
      <c r="W117" s="141"/>
      <c r="X117" s="141"/>
      <c r="Y117" s="139"/>
      <c r="Z117" s="230">
        <v>0</v>
      </c>
      <c r="AA117" s="230">
        <v>0</v>
      </c>
      <c r="AB117" s="230">
        <v>0</v>
      </c>
      <c r="AC117" s="315"/>
      <c r="AD117" s="316"/>
    </row>
    <row r="118" spans="1:31" s="317" customFormat="1" ht="30.75" hidden="1" customHeight="1" x14ac:dyDescent="0.3">
      <c r="A118" s="162" t="s">
        <v>648</v>
      </c>
      <c r="B118" s="172" t="s">
        <v>15</v>
      </c>
      <c r="C118" s="172" t="s">
        <v>136</v>
      </c>
      <c r="D118" s="172" t="s">
        <v>126</v>
      </c>
      <c r="E118" s="263" t="s">
        <v>571</v>
      </c>
      <c r="F118" s="172"/>
      <c r="G118" s="172"/>
      <c r="H118" s="172"/>
      <c r="I118" s="172"/>
      <c r="J118" s="172"/>
      <c r="K118" s="172"/>
      <c r="L118" s="172"/>
      <c r="M118" s="172"/>
      <c r="N118" s="172"/>
      <c r="O118" s="172"/>
      <c r="P118" s="172"/>
      <c r="Q118" s="172"/>
      <c r="R118" s="172"/>
      <c r="S118" s="172"/>
      <c r="T118" s="172"/>
      <c r="U118" s="172"/>
      <c r="V118" s="221"/>
      <c r="W118" s="221"/>
      <c r="X118" s="221"/>
      <c r="Y118" s="162" t="s">
        <v>339</v>
      </c>
      <c r="Z118" s="268">
        <f>Z119</f>
        <v>0</v>
      </c>
      <c r="AA118" s="268">
        <f>AA119</f>
        <v>0</v>
      </c>
      <c r="AB118" s="268">
        <f>AB119</f>
        <v>0</v>
      </c>
      <c r="AC118" s="313" t="s">
        <v>339</v>
      </c>
      <c r="AD118" s="316"/>
    </row>
    <row r="119" spans="1:31" s="317" customFormat="1" ht="40.5" hidden="1" customHeight="1" x14ac:dyDescent="0.3">
      <c r="A119" s="139" t="s">
        <v>340</v>
      </c>
      <c r="B119" s="140" t="s">
        <v>15</v>
      </c>
      <c r="C119" s="140" t="s">
        <v>136</v>
      </c>
      <c r="D119" s="140" t="s">
        <v>126</v>
      </c>
      <c r="E119" s="263" t="s">
        <v>571</v>
      </c>
      <c r="F119" s="140"/>
      <c r="G119" s="140"/>
      <c r="H119" s="140"/>
      <c r="I119" s="140"/>
      <c r="J119" s="140"/>
      <c r="K119" s="140"/>
      <c r="L119" s="140"/>
      <c r="M119" s="140"/>
      <c r="N119" s="140"/>
      <c r="O119" s="140"/>
      <c r="P119" s="140"/>
      <c r="Q119" s="140"/>
      <c r="R119" s="140"/>
      <c r="S119" s="140"/>
      <c r="T119" s="140" t="s">
        <v>290</v>
      </c>
      <c r="U119" s="140"/>
      <c r="V119" s="141"/>
      <c r="W119" s="141"/>
      <c r="X119" s="141"/>
      <c r="Y119" s="139" t="s">
        <v>340</v>
      </c>
      <c r="Z119" s="230">
        <f>56000-56000</f>
        <v>0</v>
      </c>
      <c r="AA119" s="230">
        <v>0</v>
      </c>
      <c r="AB119" s="230">
        <v>0</v>
      </c>
      <c r="AC119" s="315" t="s">
        <v>340</v>
      </c>
      <c r="AD119" s="316"/>
    </row>
    <row r="120" spans="1:31" ht="37.5" hidden="1" customHeight="1" x14ac:dyDescent="0.3">
      <c r="A120" s="162" t="s">
        <v>649</v>
      </c>
      <c r="B120" s="172" t="s">
        <v>15</v>
      </c>
      <c r="C120" s="172" t="s">
        <v>136</v>
      </c>
      <c r="D120" s="172" t="s">
        <v>126</v>
      </c>
      <c r="E120" s="263" t="s">
        <v>572</v>
      </c>
      <c r="F120" s="172"/>
      <c r="G120" s="172"/>
      <c r="H120" s="172"/>
      <c r="I120" s="172"/>
      <c r="J120" s="172"/>
      <c r="K120" s="172"/>
      <c r="L120" s="172"/>
      <c r="M120" s="172"/>
      <c r="N120" s="172"/>
      <c r="O120" s="172"/>
      <c r="P120" s="172"/>
      <c r="Q120" s="172"/>
      <c r="R120" s="172"/>
      <c r="S120" s="172"/>
      <c r="T120" s="172"/>
      <c r="U120" s="172"/>
      <c r="V120" s="221"/>
      <c r="W120" s="221"/>
      <c r="X120" s="221"/>
      <c r="Y120" s="162" t="s">
        <v>341</v>
      </c>
      <c r="Z120" s="268">
        <f>Z121</f>
        <v>0</v>
      </c>
      <c r="AA120" s="268">
        <f>AA121</f>
        <v>0</v>
      </c>
      <c r="AB120" s="268">
        <f>AB121</f>
        <v>0</v>
      </c>
      <c r="AC120" s="228" t="s">
        <v>341</v>
      </c>
      <c r="AD120" s="227"/>
    </row>
    <row r="121" spans="1:31" ht="51.75" hidden="1" customHeight="1" x14ac:dyDescent="0.3">
      <c r="A121" s="139" t="s">
        <v>342</v>
      </c>
      <c r="B121" s="140" t="s">
        <v>15</v>
      </c>
      <c r="C121" s="140" t="s">
        <v>136</v>
      </c>
      <c r="D121" s="140" t="s">
        <v>126</v>
      </c>
      <c r="E121" s="263" t="s">
        <v>572</v>
      </c>
      <c r="F121" s="140"/>
      <c r="G121" s="140"/>
      <c r="H121" s="140"/>
      <c r="I121" s="140"/>
      <c r="J121" s="140"/>
      <c r="K121" s="140"/>
      <c r="L121" s="140"/>
      <c r="M121" s="140"/>
      <c r="N121" s="140"/>
      <c r="O121" s="140"/>
      <c r="P121" s="140"/>
      <c r="Q121" s="140"/>
      <c r="R121" s="140"/>
      <c r="S121" s="140"/>
      <c r="T121" s="140" t="s">
        <v>290</v>
      </c>
      <c r="U121" s="140"/>
      <c r="V121" s="141"/>
      <c r="W121" s="141"/>
      <c r="X121" s="141"/>
      <c r="Y121" s="139" t="s">
        <v>342</v>
      </c>
      <c r="Z121" s="230">
        <f>49950-49950</f>
        <v>0</v>
      </c>
      <c r="AA121" s="230">
        <v>0</v>
      </c>
      <c r="AB121" s="230">
        <v>0</v>
      </c>
      <c r="AC121" s="231" t="s">
        <v>342</v>
      </c>
      <c r="AD121" s="227"/>
    </row>
    <row r="122" spans="1:31" ht="26.25" hidden="1" customHeight="1" x14ac:dyDescent="0.3">
      <c r="A122" s="162" t="s">
        <v>921</v>
      </c>
      <c r="B122" s="172" t="s">
        <v>15</v>
      </c>
      <c r="C122" s="172" t="s">
        <v>136</v>
      </c>
      <c r="D122" s="172" t="s">
        <v>126</v>
      </c>
      <c r="E122" s="263" t="s">
        <v>573</v>
      </c>
      <c r="F122" s="172"/>
      <c r="G122" s="172"/>
      <c r="H122" s="172"/>
      <c r="I122" s="172"/>
      <c r="J122" s="172"/>
      <c r="K122" s="172"/>
      <c r="L122" s="172"/>
      <c r="M122" s="172"/>
      <c r="N122" s="172"/>
      <c r="O122" s="172"/>
      <c r="P122" s="172"/>
      <c r="Q122" s="172"/>
      <c r="R122" s="172"/>
      <c r="S122" s="172"/>
      <c r="T122" s="172"/>
      <c r="U122" s="172"/>
      <c r="V122" s="221"/>
      <c r="W122" s="221"/>
      <c r="X122" s="221"/>
      <c r="Y122" s="162" t="s">
        <v>343</v>
      </c>
      <c r="Z122" s="268">
        <f>Z123</f>
        <v>0</v>
      </c>
      <c r="AA122" s="268">
        <f>AA123</f>
        <v>0</v>
      </c>
      <c r="AB122" s="268">
        <f>AB123</f>
        <v>0</v>
      </c>
      <c r="AC122" s="228" t="s">
        <v>343</v>
      </c>
      <c r="AD122" s="227"/>
    </row>
    <row r="123" spans="1:31" ht="42" hidden="1" customHeight="1" x14ac:dyDescent="0.3">
      <c r="A123" s="139" t="s">
        <v>922</v>
      </c>
      <c r="B123" s="140" t="s">
        <v>15</v>
      </c>
      <c r="C123" s="140" t="s">
        <v>136</v>
      </c>
      <c r="D123" s="140" t="s">
        <v>126</v>
      </c>
      <c r="E123" s="263" t="s">
        <v>573</v>
      </c>
      <c r="F123" s="140"/>
      <c r="G123" s="140"/>
      <c r="H123" s="140"/>
      <c r="I123" s="140"/>
      <c r="J123" s="140"/>
      <c r="K123" s="140"/>
      <c r="L123" s="140"/>
      <c r="M123" s="140"/>
      <c r="N123" s="140"/>
      <c r="O123" s="140"/>
      <c r="P123" s="140"/>
      <c r="Q123" s="140"/>
      <c r="R123" s="140"/>
      <c r="S123" s="140"/>
      <c r="T123" s="140" t="s">
        <v>290</v>
      </c>
      <c r="U123" s="140"/>
      <c r="V123" s="141"/>
      <c r="W123" s="141"/>
      <c r="X123" s="141"/>
      <c r="Y123" s="139" t="s">
        <v>344</v>
      </c>
      <c r="Z123" s="230">
        <v>0</v>
      </c>
      <c r="AA123" s="230">
        <v>0</v>
      </c>
      <c r="AB123" s="230">
        <v>0</v>
      </c>
      <c r="AC123" s="231" t="s">
        <v>344</v>
      </c>
      <c r="AD123" s="227"/>
    </row>
    <row r="124" spans="1:31" ht="52.5" hidden="1" customHeight="1" x14ac:dyDescent="0.3">
      <c r="A124" s="162" t="s">
        <v>842</v>
      </c>
      <c r="B124" s="172" t="s">
        <v>15</v>
      </c>
      <c r="C124" s="172" t="s">
        <v>136</v>
      </c>
      <c r="D124" s="172" t="s">
        <v>126</v>
      </c>
      <c r="E124" s="263" t="s">
        <v>844</v>
      </c>
      <c r="F124" s="172"/>
      <c r="G124" s="172"/>
      <c r="H124" s="172"/>
      <c r="I124" s="172"/>
      <c r="J124" s="172"/>
      <c r="K124" s="172"/>
      <c r="L124" s="172"/>
      <c r="M124" s="172"/>
      <c r="N124" s="172"/>
      <c r="O124" s="172"/>
      <c r="P124" s="172"/>
      <c r="Q124" s="172"/>
      <c r="R124" s="172"/>
      <c r="S124" s="172"/>
      <c r="T124" s="172"/>
      <c r="U124" s="172"/>
      <c r="V124" s="221"/>
      <c r="W124" s="221"/>
      <c r="X124" s="221"/>
      <c r="Y124" s="162" t="s">
        <v>345</v>
      </c>
      <c r="Z124" s="268">
        <f>Z125</f>
        <v>0</v>
      </c>
      <c r="AA124" s="268">
        <f>AA125</f>
        <v>0</v>
      </c>
      <c r="AB124" s="268">
        <f>AB125</f>
        <v>0</v>
      </c>
      <c r="AC124" s="228" t="s">
        <v>345</v>
      </c>
      <c r="AD124" s="227"/>
    </row>
    <row r="125" spans="1:31" ht="45.75" hidden="1" customHeight="1" x14ac:dyDescent="0.3">
      <c r="A125" s="139" t="s">
        <v>843</v>
      </c>
      <c r="B125" s="140" t="s">
        <v>15</v>
      </c>
      <c r="C125" s="140" t="s">
        <v>136</v>
      </c>
      <c r="D125" s="140" t="s">
        <v>126</v>
      </c>
      <c r="E125" s="263" t="s">
        <v>844</v>
      </c>
      <c r="F125" s="140"/>
      <c r="G125" s="140"/>
      <c r="H125" s="140"/>
      <c r="I125" s="140"/>
      <c r="J125" s="140"/>
      <c r="K125" s="140"/>
      <c r="L125" s="140"/>
      <c r="M125" s="140"/>
      <c r="N125" s="140"/>
      <c r="O125" s="140"/>
      <c r="P125" s="140"/>
      <c r="Q125" s="140"/>
      <c r="R125" s="140"/>
      <c r="S125" s="140"/>
      <c r="T125" s="140" t="s">
        <v>290</v>
      </c>
      <c r="U125" s="140"/>
      <c r="V125" s="141"/>
      <c r="W125" s="141"/>
      <c r="X125" s="141"/>
      <c r="Y125" s="139" t="s">
        <v>346</v>
      </c>
      <c r="Z125" s="230">
        <f>2340000-2340000</f>
        <v>0</v>
      </c>
      <c r="AA125" s="230">
        <v>0</v>
      </c>
      <c r="AB125" s="230">
        <v>0</v>
      </c>
      <c r="AC125" s="231" t="s">
        <v>346</v>
      </c>
      <c r="AD125" s="227"/>
    </row>
    <row r="126" spans="1:31" ht="30.75" hidden="1" customHeight="1" x14ac:dyDescent="0.3">
      <c r="A126" s="162" t="s">
        <v>1017</v>
      </c>
      <c r="B126" s="140" t="s">
        <v>15</v>
      </c>
      <c r="C126" s="140" t="s">
        <v>136</v>
      </c>
      <c r="D126" s="140" t="s">
        <v>126</v>
      </c>
      <c r="E126" s="263" t="s">
        <v>1019</v>
      </c>
      <c r="F126" s="140"/>
      <c r="G126" s="140"/>
      <c r="H126" s="140"/>
      <c r="I126" s="140"/>
      <c r="J126" s="140"/>
      <c r="K126" s="140"/>
      <c r="L126" s="140"/>
      <c r="M126" s="140"/>
      <c r="N126" s="140"/>
      <c r="O126" s="140"/>
      <c r="P126" s="140"/>
      <c r="Q126" s="140"/>
      <c r="R126" s="140"/>
      <c r="S126" s="140"/>
      <c r="T126" s="140"/>
      <c r="U126" s="140"/>
      <c r="V126" s="141"/>
      <c r="W126" s="141"/>
      <c r="X126" s="141"/>
      <c r="Y126" s="139"/>
      <c r="Z126" s="230">
        <f>Z127</f>
        <v>0</v>
      </c>
      <c r="AA126" s="230">
        <v>0</v>
      </c>
      <c r="AB126" s="230">
        <v>0</v>
      </c>
      <c r="AC126" s="231"/>
      <c r="AD126" s="227"/>
    </row>
    <row r="127" spans="1:31" ht="43.5" hidden="1" customHeight="1" x14ac:dyDescent="0.3">
      <c r="A127" s="139" t="s">
        <v>1018</v>
      </c>
      <c r="B127" s="140" t="s">
        <v>15</v>
      </c>
      <c r="C127" s="140" t="s">
        <v>136</v>
      </c>
      <c r="D127" s="140" t="s">
        <v>126</v>
      </c>
      <c r="E127" s="263" t="s">
        <v>1019</v>
      </c>
      <c r="F127" s="140"/>
      <c r="G127" s="140"/>
      <c r="H127" s="140"/>
      <c r="I127" s="140"/>
      <c r="J127" s="140"/>
      <c r="K127" s="140"/>
      <c r="L127" s="140"/>
      <c r="M127" s="140"/>
      <c r="N127" s="140"/>
      <c r="O127" s="140"/>
      <c r="P127" s="140"/>
      <c r="Q127" s="140"/>
      <c r="R127" s="140"/>
      <c r="S127" s="140"/>
      <c r="T127" s="140" t="s">
        <v>290</v>
      </c>
      <c r="U127" s="140"/>
      <c r="V127" s="141"/>
      <c r="W127" s="141"/>
      <c r="X127" s="141"/>
      <c r="Y127" s="139"/>
      <c r="Z127" s="230">
        <v>0</v>
      </c>
      <c r="AA127" s="230">
        <v>0</v>
      </c>
      <c r="AB127" s="230">
        <v>0</v>
      </c>
      <c r="AC127" s="231"/>
      <c r="AD127" s="227"/>
    </row>
    <row r="128" spans="1:31" ht="21" hidden="1" customHeight="1" x14ac:dyDescent="0.3">
      <c r="A128" s="162" t="s">
        <v>651</v>
      </c>
      <c r="B128" s="172" t="s">
        <v>15</v>
      </c>
      <c r="C128" s="172" t="s">
        <v>136</v>
      </c>
      <c r="D128" s="172" t="s">
        <v>126</v>
      </c>
      <c r="E128" s="263" t="s">
        <v>574</v>
      </c>
      <c r="F128" s="172"/>
      <c r="G128" s="172"/>
      <c r="H128" s="172"/>
      <c r="I128" s="172"/>
      <c r="J128" s="172"/>
      <c r="K128" s="172"/>
      <c r="L128" s="172"/>
      <c r="M128" s="172"/>
      <c r="N128" s="172"/>
      <c r="O128" s="172"/>
      <c r="P128" s="172"/>
      <c r="Q128" s="172"/>
      <c r="R128" s="172"/>
      <c r="S128" s="172"/>
      <c r="T128" s="172"/>
      <c r="U128" s="172"/>
      <c r="V128" s="221"/>
      <c r="W128" s="221"/>
      <c r="X128" s="221"/>
      <c r="Y128" s="162" t="s">
        <v>347</v>
      </c>
      <c r="Z128" s="268">
        <f>Z129</f>
        <v>0</v>
      </c>
      <c r="AA128" s="268">
        <f>AA129</f>
        <v>0</v>
      </c>
      <c r="AB128" s="268">
        <f>AB129</f>
        <v>0</v>
      </c>
      <c r="AC128" s="228" t="s">
        <v>347</v>
      </c>
      <c r="AD128" s="227"/>
    </row>
    <row r="129" spans="1:31" ht="33" hidden="1" customHeight="1" x14ac:dyDescent="0.3">
      <c r="A129" s="139" t="s">
        <v>348</v>
      </c>
      <c r="B129" s="140" t="s">
        <v>15</v>
      </c>
      <c r="C129" s="140" t="s">
        <v>136</v>
      </c>
      <c r="D129" s="140" t="s">
        <v>126</v>
      </c>
      <c r="E129" s="263" t="s">
        <v>574</v>
      </c>
      <c r="F129" s="140"/>
      <c r="G129" s="140"/>
      <c r="H129" s="140"/>
      <c r="I129" s="140"/>
      <c r="J129" s="140"/>
      <c r="K129" s="140"/>
      <c r="L129" s="140"/>
      <c r="M129" s="140"/>
      <c r="N129" s="140"/>
      <c r="O129" s="140"/>
      <c r="P129" s="140"/>
      <c r="Q129" s="140"/>
      <c r="R129" s="140"/>
      <c r="S129" s="140"/>
      <c r="T129" s="140" t="s">
        <v>290</v>
      </c>
      <c r="U129" s="140"/>
      <c r="V129" s="141"/>
      <c r="W129" s="141"/>
      <c r="X129" s="141"/>
      <c r="Y129" s="139" t="s">
        <v>348</v>
      </c>
      <c r="Z129" s="230">
        <v>0</v>
      </c>
      <c r="AA129" s="230">
        <v>0</v>
      </c>
      <c r="AB129" s="230">
        <v>0</v>
      </c>
      <c r="AC129" s="231" t="s">
        <v>348</v>
      </c>
      <c r="AD129" s="227"/>
    </row>
    <row r="130" spans="1:31" ht="38.25" hidden="1" customHeight="1" x14ac:dyDescent="0.3">
      <c r="A130" s="162" t="s">
        <v>652</v>
      </c>
      <c r="B130" s="172" t="s">
        <v>15</v>
      </c>
      <c r="C130" s="172" t="s">
        <v>136</v>
      </c>
      <c r="D130" s="172" t="s">
        <v>126</v>
      </c>
      <c r="E130" s="263" t="s">
        <v>575</v>
      </c>
      <c r="F130" s="172"/>
      <c r="G130" s="172"/>
      <c r="H130" s="172"/>
      <c r="I130" s="172"/>
      <c r="J130" s="172"/>
      <c r="K130" s="172"/>
      <c r="L130" s="172"/>
      <c r="M130" s="172"/>
      <c r="N130" s="172"/>
      <c r="O130" s="172"/>
      <c r="P130" s="172"/>
      <c r="Q130" s="172"/>
      <c r="R130" s="172"/>
      <c r="S130" s="172"/>
      <c r="T130" s="172"/>
      <c r="U130" s="172"/>
      <c r="V130" s="221"/>
      <c r="W130" s="221"/>
      <c r="X130" s="221"/>
      <c r="Y130" s="162" t="s">
        <v>349</v>
      </c>
      <c r="Z130" s="268">
        <f>Z131</f>
        <v>0</v>
      </c>
      <c r="AA130" s="268">
        <f>AA131</f>
        <v>0</v>
      </c>
      <c r="AB130" s="268">
        <f>AB131</f>
        <v>0</v>
      </c>
      <c r="AC130" s="228" t="s">
        <v>349</v>
      </c>
      <c r="AD130" s="227"/>
    </row>
    <row r="131" spans="1:31" ht="43.5" hidden="1" customHeight="1" x14ac:dyDescent="0.3">
      <c r="A131" s="164" t="s">
        <v>350</v>
      </c>
      <c r="B131" s="140" t="s">
        <v>15</v>
      </c>
      <c r="C131" s="140" t="s">
        <v>136</v>
      </c>
      <c r="D131" s="140" t="s">
        <v>126</v>
      </c>
      <c r="E131" s="263" t="s">
        <v>575</v>
      </c>
      <c r="F131" s="140"/>
      <c r="G131" s="140"/>
      <c r="H131" s="140"/>
      <c r="I131" s="140"/>
      <c r="J131" s="140"/>
      <c r="K131" s="140"/>
      <c r="L131" s="140"/>
      <c r="M131" s="140"/>
      <c r="N131" s="140"/>
      <c r="O131" s="140"/>
      <c r="P131" s="140"/>
      <c r="Q131" s="140"/>
      <c r="R131" s="140"/>
      <c r="S131" s="140"/>
      <c r="T131" s="140" t="s">
        <v>290</v>
      </c>
      <c r="U131" s="140"/>
      <c r="V131" s="141"/>
      <c r="W131" s="141"/>
      <c r="X131" s="141"/>
      <c r="Y131" s="164" t="s">
        <v>350</v>
      </c>
      <c r="Z131" s="230">
        <v>0</v>
      </c>
      <c r="AA131" s="230">
        <v>0</v>
      </c>
      <c r="AB131" s="230">
        <v>0</v>
      </c>
      <c r="AC131" s="229" t="s">
        <v>350</v>
      </c>
      <c r="AD131" s="227"/>
    </row>
    <row r="132" spans="1:31" ht="39.75" hidden="1" customHeight="1" x14ac:dyDescent="0.3">
      <c r="A132" s="162" t="s">
        <v>908</v>
      </c>
      <c r="B132" s="172" t="s">
        <v>15</v>
      </c>
      <c r="C132" s="172" t="s">
        <v>136</v>
      </c>
      <c r="D132" s="172" t="s">
        <v>126</v>
      </c>
      <c r="E132" s="263" t="s">
        <v>910</v>
      </c>
      <c r="F132" s="172"/>
      <c r="G132" s="172"/>
      <c r="H132" s="172"/>
      <c r="I132" s="172"/>
      <c r="J132" s="172"/>
      <c r="K132" s="172"/>
      <c r="L132" s="172"/>
      <c r="M132" s="172"/>
      <c r="N132" s="172"/>
      <c r="O132" s="172"/>
      <c r="P132" s="172"/>
      <c r="Q132" s="172"/>
      <c r="R132" s="172"/>
      <c r="S132" s="172"/>
      <c r="T132" s="172"/>
      <c r="U132" s="172"/>
      <c r="V132" s="221"/>
      <c r="W132" s="221"/>
      <c r="X132" s="221"/>
      <c r="Y132" s="162"/>
      <c r="Z132" s="268">
        <f>Z133</f>
        <v>0</v>
      </c>
      <c r="AA132" s="268">
        <v>0</v>
      </c>
      <c r="AB132" s="268">
        <v>0</v>
      </c>
      <c r="AC132" s="228" t="s">
        <v>353</v>
      </c>
      <c r="AD132" s="227"/>
    </row>
    <row r="133" spans="1:31" ht="55.5" hidden="1" customHeight="1" x14ac:dyDescent="0.3">
      <c r="A133" s="139" t="s">
        <v>909</v>
      </c>
      <c r="B133" s="172" t="s">
        <v>15</v>
      </c>
      <c r="C133" s="172" t="s">
        <v>136</v>
      </c>
      <c r="D133" s="172" t="s">
        <v>126</v>
      </c>
      <c r="E133" s="263" t="s">
        <v>910</v>
      </c>
      <c r="F133" s="140"/>
      <c r="G133" s="140"/>
      <c r="H133" s="140"/>
      <c r="I133" s="140"/>
      <c r="J133" s="140"/>
      <c r="K133" s="140"/>
      <c r="L133" s="140"/>
      <c r="M133" s="140"/>
      <c r="N133" s="140"/>
      <c r="O133" s="140"/>
      <c r="P133" s="140"/>
      <c r="Q133" s="140"/>
      <c r="R133" s="140"/>
      <c r="S133" s="140"/>
      <c r="T133" s="140" t="s">
        <v>290</v>
      </c>
      <c r="U133" s="140"/>
      <c r="V133" s="141"/>
      <c r="W133" s="141"/>
      <c r="X133" s="141"/>
      <c r="Y133" s="139"/>
      <c r="Z133" s="230">
        <v>0</v>
      </c>
      <c r="AA133" s="230">
        <v>0</v>
      </c>
      <c r="AB133" s="230">
        <v>0</v>
      </c>
      <c r="AC133" s="231" t="s">
        <v>354</v>
      </c>
      <c r="AD133" s="227"/>
    </row>
    <row r="134" spans="1:31" ht="36.75" customHeight="1" x14ac:dyDescent="0.35">
      <c r="A134" s="170" t="s">
        <v>653</v>
      </c>
      <c r="B134" s="171" t="s">
        <v>15</v>
      </c>
      <c r="C134" s="171" t="s">
        <v>136</v>
      </c>
      <c r="D134" s="171" t="s">
        <v>127</v>
      </c>
      <c r="E134" s="171"/>
      <c r="F134" s="171"/>
      <c r="G134" s="171"/>
      <c r="H134" s="171"/>
      <c r="I134" s="171"/>
      <c r="J134" s="171"/>
      <c r="K134" s="171"/>
      <c r="L134" s="171"/>
      <c r="M134" s="171"/>
      <c r="N134" s="171"/>
      <c r="O134" s="171"/>
      <c r="P134" s="171"/>
      <c r="Q134" s="171"/>
      <c r="R134" s="171"/>
      <c r="S134" s="171"/>
      <c r="T134" s="171"/>
      <c r="U134" s="140"/>
      <c r="V134" s="141"/>
      <c r="W134" s="141"/>
      <c r="X134" s="141"/>
      <c r="Y134" s="139"/>
      <c r="Z134" s="245">
        <f>Z135+Z137+Z139</f>
        <v>22492392.449999999</v>
      </c>
      <c r="AA134" s="245">
        <f>AA135+AA137+AA139</f>
        <v>24990388.960000001</v>
      </c>
      <c r="AB134" s="245">
        <f>AB135+AB137+AB139</f>
        <v>24990388.960000001</v>
      </c>
      <c r="AC134" s="231"/>
      <c r="AD134" s="227"/>
    </row>
    <row r="135" spans="1:31" ht="148.9" customHeight="1" x14ac:dyDescent="0.3">
      <c r="A135" s="162" t="s">
        <v>630</v>
      </c>
      <c r="B135" s="172" t="s">
        <v>15</v>
      </c>
      <c r="C135" s="172" t="s">
        <v>136</v>
      </c>
      <c r="D135" s="172" t="s">
        <v>127</v>
      </c>
      <c r="E135" s="263" t="s">
        <v>576</v>
      </c>
      <c r="F135" s="172"/>
      <c r="G135" s="172"/>
      <c r="H135" s="172"/>
      <c r="I135" s="172"/>
      <c r="J135" s="172"/>
      <c r="K135" s="172"/>
      <c r="L135" s="172"/>
      <c r="M135" s="172"/>
      <c r="N135" s="172"/>
      <c r="O135" s="172"/>
      <c r="P135" s="172"/>
      <c r="Q135" s="172"/>
      <c r="R135" s="172"/>
      <c r="S135" s="172"/>
      <c r="T135" s="172"/>
      <c r="U135" s="140"/>
      <c r="V135" s="141"/>
      <c r="W135" s="141"/>
      <c r="X135" s="141"/>
      <c r="Y135" s="139"/>
      <c r="Z135" s="268">
        <f>Z136</f>
        <v>20511794.370000001</v>
      </c>
      <c r="AA135" s="268">
        <f>AA136</f>
        <v>23090388.960000001</v>
      </c>
      <c r="AB135" s="268">
        <f>AB136</f>
        <v>23090388.960000001</v>
      </c>
      <c r="AC135" s="231"/>
      <c r="AD135" s="227"/>
    </row>
    <row r="136" spans="1:31" ht="107.25" customHeight="1" x14ac:dyDescent="0.3">
      <c r="A136" s="139" t="s">
        <v>352</v>
      </c>
      <c r="B136" s="140" t="s">
        <v>15</v>
      </c>
      <c r="C136" s="140" t="s">
        <v>136</v>
      </c>
      <c r="D136" s="140" t="s">
        <v>127</v>
      </c>
      <c r="E136" s="263" t="s">
        <v>576</v>
      </c>
      <c r="F136" s="140"/>
      <c r="G136" s="140"/>
      <c r="H136" s="140"/>
      <c r="I136" s="140"/>
      <c r="J136" s="140"/>
      <c r="K136" s="140"/>
      <c r="L136" s="140"/>
      <c r="M136" s="140"/>
      <c r="N136" s="140"/>
      <c r="O136" s="140"/>
      <c r="P136" s="140"/>
      <c r="Q136" s="140"/>
      <c r="R136" s="140"/>
      <c r="S136" s="140"/>
      <c r="T136" s="140" t="s">
        <v>290</v>
      </c>
      <c r="U136" s="140"/>
      <c r="V136" s="141"/>
      <c r="W136" s="141"/>
      <c r="X136" s="141"/>
      <c r="Y136" s="139"/>
      <c r="Z136" s="230">
        <v>20511794.370000001</v>
      </c>
      <c r="AA136" s="230">
        <v>23090388.960000001</v>
      </c>
      <c r="AB136" s="230">
        <v>23090388.960000001</v>
      </c>
      <c r="AC136" s="231"/>
      <c r="AD136" s="234"/>
      <c r="AE136" s="225"/>
    </row>
    <row r="137" spans="1:31" ht="188.25" customHeight="1" x14ac:dyDescent="0.3">
      <c r="A137" s="162" t="s">
        <v>629</v>
      </c>
      <c r="B137" s="172" t="s">
        <v>15</v>
      </c>
      <c r="C137" s="172" t="s">
        <v>136</v>
      </c>
      <c r="D137" s="172" t="s">
        <v>127</v>
      </c>
      <c r="E137" s="263" t="s">
        <v>577</v>
      </c>
      <c r="F137" s="172"/>
      <c r="G137" s="172"/>
      <c r="H137" s="172"/>
      <c r="I137" s="172"/>
      <c r="J137" s="172"/>
      <c r="K137" s="172"/>
      <c r="L137" s="172"/>
      <c r="M137" s="172"/>
      <c r="N137" s="172"/>
      <c r="O137" s="172"/>
      <c r="P137" s="172"/>
      <c r="Q137" s="172"/>
      <c r="R137" s="172"/>
      <c r="S137" s="172"/>
      <c r="T137" s="172"/>
      <c r="U137" s="140"/>
      <c r="V137" s="141"/>
      <c r="W137" s="141"/>
      <c r="X137" s="141"/>
      <c r="Y137" s="139"/>
      <c r="Z137" s="268">
        <f>Z138</f>
        <v>1980598.0799999998</v>
      </c>
      <c r="AA137" s="268">
        <f>AA138</f>
        <v>1900000</v>
      </c>
      <c r="AB137" s="268">
        <f>AB138</f>
        <v>1900000</v>
      </c>
      <c r="AC137" s="231"/>
      <c r="AD137" s="227"/>
    </row>
    <row r="138" spans="1:31" ht="141" customHeight="1" x14ac:dyDescent="0.3">
      <c r="A138" s="173" t="s">
        <v>355</v>
      </c>
      <c r="B138" s="140" t="s">
        <v>15</v>
      </c>
      <c r="C138" s="140" t="s">
        <v>136</v>
      </c>
      <c r="D138" s="140" t="s">
        <v>127</v>
      </c>
      <c r="E138" s="263" t="s">
        <v>577</v>
      </c>
      <c r="F138" s="140"/>
      <c r="G138" s="140"/>
      <c r="H138" s="140"/>
      <c r="I138" s="140"/>
      <c r="J138" s="140"/>
      <c r="K138" s="140"/>
      <c r="L138" s="140"/>
      <c r="M138" s="140"/>
      <c r="N138" s="140"/>
      <c r="O138" s="140"/>
      <c r="P138" s="140"/>
      <c r="Q138" s="140"/>
      <c r="R138" s="140"/>
      <c r="S138" s="140"/>
      <c r="T138" s="140" t="s">
        <v>290</v>
      </c>
      <c r="U138" s="140"/>
      <c r="V138" s="141"/>
      <c r="W138" s="141"/>
      <c r="X138" s="141"/>
      <c r="Y138" s="139"/>
      <c r="Z138" s="230">
        <f>3285099.13-790000-105000-169000-570000+329498.95</f>
        <v>1980598.0799999998</v>
      </c>
      <c r="AA138" s="230">
        <v>1900000</v>
      </c>
      <c r="AB138" s="230">
        <v>1900000</v>
      </c>
      <c r="AC138" s="231"/>
      <c r="AD138" s="227"/>
    </row>
    <row r="139" spans="1:31" ht="207" hidden="1" customHeight="1" x14ac:dyDescent="0.3">
      <c r="A139" s="282" t="s">
        <v>885</v>
      </c>
      <c r="B139" s="280" t="s">
        <v>15</v>
      </c>
      <c r="C139" s="140" t="s">
        <v>136</v>
      </c>
      <c r="D139" s="140" t="s">
        <v>127</v>
      </c>
      <c r="E139" s="263" t="s">
        <v>884</v>
      </c>
      <c r="F139" s="140"/>
      <c r="G139" s="140"/>
      <c r="H139" s="140"/>
      <c r="I139" s="140"/>
      <c r="J139" s="140"/>
      <c r="K139" s="140"/>
      <c r="L139" s="140"/>
      <c r="M139" s="140"/>
      <c r="N139" s="140"/>
      <c r="O139" s="140"/>
      <c r="P139" s="140"/>
      <c r="Q139" s="140"/>
      <c r="R139" s="140"/>
      <c r="S139" s="140"/>
      <c r="T139" s="140"/>
      <c r="U139" s="140"/>
      <c r="V139" s="141"/>
      <c r="W139" s="141"/>
      <c r="X139" s="141"/>
      <c r="Y139" s="139"/>
      <c r="Z139" s="230">
        <f>Z140</f>
        <v>0</v>
      </c>
      <c r="AA139" s="230">
        <v>0</v>
      </c>
      <c r="AB139" s="230">
        <v>0</v>
      </c>
      <c r="AC139" s="231"/>
      <c r="AD139" s="227"/>
    </row>
    <row r="140" spans="1:31" ht="207" hidden="1" customHeight="1" x14ac:dyDescent="0.3">
      <c r="A140" s="283" t="s">
        <v>886</v>
      </c>
      <c r="B140" s="280" t="s">
        <v>15</v>
      </c>
      <c r="C140" s="140" t="s">
        <v>136</v>
      </c>
      <c r="D140" s="140" t="s">
        <v>127</v>
      </c>
      <c r="E140" s="263" t="s">
        <v>884</v>
      </c>
      <c r="F140" s="140"/>
      <c r="G140" s="140"/>
      <c r="H140" s="140"/>
      <c r="I140" s="140"/>
      <c r="J140" s="140"/>
      <c r="K140" s="140"/>
      <c r="L140" s="140"/>
      <c r="M140" s="140"/>
      <c r="N140" s="140"/>
      <c r="O140" s="140"/>
      <c r="P140" s="140"/>
      <c r="Q140" s="140"/>
      <c r="R140" s="140"/>
      <c r="S140" s="140"/>
      <c r="T140" s="140" t="s">
        <v>290</v>
      </c>
      <c r="U140" s="140"/>
      <c r="V140" s="141"/>
      <c r="W140" s="141"/>
      <c r="X140" s="141"/>
      <c r="Y140" s="139"/>
      <c r="Z140" s="230">
        <v>0</v>
      </c>
      <c r="AA140" s="230">
        <v>0</v>
      </c>
      <c r="AB140" s="230">
        <v>0</v>
      </c>
      <c r="AC140" s="231"/>
      <c r="AD140" s="227"/>
    </row>
    <row r="141" spans="1:31" ht="41.25" customHeight="1" x14ac:dyDescent="0.3">
      <c r="A141" s="281" t="s">
        <v>149</v>
      </c>
      <c r="B141" s="171" t="s">
        <v>15</v>
      </c>
      <c r="C141" s="171" t="s">
        <v>136</v>
      </c>
      <c r="D141" s="171" t="s">
        <v>129</v>
      </c>
      <c r="E141" s="171"/>
      <c r="F141" s="171"/>
      <c r="G141" s="171"/>
      <c r="H141" s="171"/>
      <c r="I141" s="171"/>
      <c r="J141" s="171"/>
      <c r="K141" s="171"/>
      <c r="L141" s="171"/>
      <c r="M141" s="171"/>
      <c r="N141" s="171"/>
      <c r="O141" s="171"/>
      <c r="P141" s="171"/>
      <c r="Q141" s="171"/>
      <c r="R141" s="171"/>
      <c r="S141" s="171"/>
      <c r="T141" s="171"/>
      <c r="U141" s="171"/>
      <c r="V141" s="240"/>
      <c r="W141" s="240"/>
      <c r="X141" s="240"/>
      <c r="Y141" s="170" t="s">
        <v>149</v>
      </c>
      <c r="Z141" s="241">
        <f>Z142+Z144+Z146+Z148</f>
        <v>320000</v>
      </c>
      <c r="AA141" s="241">
        <f>AA142+AA144+AA146+AA148</f>
        <v>200000</v>
      </c>
      <c r="AB141" s="241">
        <f>AB142+AB144+AB146+AB148</f>
        <v>200000</v>
      </c>
      <c r="AC141" s="226" t="s">
        <v>149</v>
      </c>
      <c r="AD141" s="227"/>
    </row>
    <row r="142" spans="1:31" ht="145.5" customHeight="1" x14ac:dyDescent="0.3">
      <c r="A142" s="162" t="s">
        <v>628</v>
      </c>
      <c r="B142" s="172" t="s">
        <v>15</v>
      </c>
      <c r="C142" s="172" t="s">
        <v>136</v>
      </c>
      <c r="D142" s="172" t="s">
        <v>129</v>
      </c>
      <c r="E142" s="263" t="s">
        <v>578</v>
      </c>
      <c r="F142" s="172"/>
      <c r="G142" s="172"/>
      <c r="H142" s="172"/>
      <c r="I142" s="172"/>
      <c r="J142" s="172"/>
      <c r="K142" s="172"/>
      <c r="L142" s="172"/>
      <c r="M142" s="172"/>
      <c r="N142" s="172"/>
      <c r="O142" s="172"/>
      <c r="P142" s="172"/>
      <c r="Q142" s="172"/>
      <c r="R142" s="172"/>
      <c r="S142" s="172"/>
      <c r="T142" s="172"/>
      <c r="U142" s="172"/>
      <c r="V142" s="221"/>
      <c r="W142" s="221"/>
      <c r="X142" s="221"/>
      <c r="Y142" s="162" t="s">
        <v>356</v>
      </c>
      <c r="Z142" s="268">
        <f>Z143</f>
        <v>150000</v>
      </c>
      <c r="AA142" s="268">
        <f>AA143</f>
        <v>50000</v>
      </c>
      <c r="AB142" s="268">
        <f>AB143</f>
        <v>50000</v>
      </c>
      <c r="AC142" s="228" t="s">
        <v>356</v>
      </c>
      <c r="AD142" s="227"/>
    </row>
    <row r="143" spans="1:31" ht="99" customHeight="1" x14ac:dyDescent="0.3">
      <c r="A143" s="139" t="s">
        <v>825</v>
      </c>
      <c r="B143" s="140" t="s">
        <v>15</v>
      </c>
      <c r="C143" s="140" t="s">
        <v>136</v>
      </c>
      <c r="D143" s="140" t="s">
        <v>129</v>
      </c>
      <c r="E143" s="263" t="s">
        <v>578</v>
      </c>
      <c r="F143" s="140"/>
      <c r="G143" s="140"/>
      <c r="H143" s="140"/>
      <c r="I143" s="140"/>
      <c r="J143" s="140"/>
      <c r="K143" s="140"/>
      <c r="L143" s="140"/>
      <c r="M143" s="140"/>
      <c r="N143" s="140"/>
      <c r="O143" s="140"/>
      <c r="P143" s="140"/>
      <c r="Q143" s="140"/>
      <c r="R143" s="140"/>
      <c r="S143" s="140"/>
      <c r="T143" s="140" t="s">
        <v>243</v>
      </c>
      <c r="U143" s="140"/>
      <c r="V143" s="141"/>
      <c r="W143" s="141"/>
      <c r="X143" s="141"/>
      <c r="Y143" s="139" t="s">
        <v>357</v>
      </c>
      <c r="Z143" s="230">
        <v>150000</v>
      </c>
      <c r="AA143" s="230">
        <v>50000</v>
      </c>
      <c r="AB143" s="230">
        <v>50000</v>
      </c>
      <c r="AC143" s="231" t="s">
        <v>357</v>
      </c>
      <c r="AD143" s="227"/>
    </row>
    <row r="144" spans="1:31" ht="198" customHeight="1" x14ac:dyDescent="0.3">
      <c r="A144" s="162" t="s">
        <v>627</v>
      </c>
      <c r="B144" s="172" t="s">
        <v>15</v>
      </c>
      <c r="C144" s="172" t="s">
        <v>136</v>
      </c>
      <c r="D144" s="172" t="s">
        <v>129</v>
      </c>
      <c r="E144" s="263" t="s">
        <v>579</v>
      </c>
      <c r="F144" s="172"/>
      <c r="G144" s="172"/>
      <c r="H144" s="172"/>
      <c r="I144" s="172"/>
      <c r="J144" s="172"/>
      <c r="K144" s="172"/>
      <c r="L144" s="172"/>
      <c r="M144" s="172"/>
      <c r="N144" s="172"/>
      <c r="O144" s="172"/>
      <c r="P144" s="172"/>
      <c r="Q144" s="172"/>
      <c r="R144" s="172"/>
      <c r="S144" s="172"/>
      <c r="T144" s="172"/>
      <c r="U144" s="172"/>
      <c r="V144" s="221"/>
      <c r="W144" s="221"/>
      <c r="X144" s="221"/>
      <c r="Y144" s="162" t="s">
        <v>358</v>
      </c>
      <c r="Z144" s="268">
        <f>Z145</f>
        <v>150000</v>
      </c>
      <c r="AA144" s="268">
        <f>AA145</f>
        <v>100000</v>
      </c>
      <c r="AB144" s="268">
        <f>AB145</f>
        <v>100000</v>
      </c>
      <c r="AC144" s="228" t="s">
        <v>358</v>
      </c>
      <c r="AD144" s="227"/>
    </row>
    <row r="145" spans="1:30" ht="152.25" customHeight="1" x14ac:dyDescent="0.3">
      <c r="A145" s="164" t="s">
        <v>826</v>
      </c>
      <c r="B145" s="140" t="s">
        <v>15</v>
      </c>
      <c r="C145" s="140" t="s">
        <v>136</v>
      </c>
      <c r="D145" s="140" t="s">
        <v>129</v>
      </c>
      <c r="E145" s="263" t="s">
        <v>579</v>
      </c>
      <c r="F145" s="140"/>
      <c r="G145" s="140"/>
      <c r="H145" s="140"/>
      <c r="I145" s="140"/>
      <c r="J145" s="140"/>
      <c r="K145" s="140"/>
      <c r="L145" s="140"/>
      <c r="M145" s="140"/>
      <c r="N145" s="140"/>
      <c r="O145" s="140"/>
      <c r="P145" s="140"/>
      <c r="Q145" s="140"/>
      <c r="R145" s="140"/>
      <c r="S145" s="140"/>
      <c r="T145" s="140" t="s">
        <v>243</v>
      </c>
      <c r="U145" s="140"/>
      <c r="V145" s="141"/>
      <c r="W145" s="141"/>
      <c r="X145" s="141"/>
      <c r="Y145" s="164" t="s">
        <v>359</v>
      </c>
      <c r="Z145" s="230">
        <v>150000</v>
      </c>
      <c r="AA145" s="230">
        <v>100000</v>
      </c>
      <c r="AB145" s="230">
        <v>100000</v>
      </c>
      <c r="AC145" s="229" t="s">
        <v>359</v>
      </c>
      <c r="AD145" s="227"/>
    </row>
    <row r="146" spans="1:30" ht="149.25" customHeight="1" x14ac:dyDescent="0.3">
      <c r="A146" s="162" t="s">
        <v>626</v>
      </c>
      <c r="B146" s="172" t="s">
        <v>15</v>
      </c>
      <c r="C146" s="172" t="s">
        <v>136</v>
      </c>
      <c r="D146" s="172" t="s">
        <v>129</v>
      </c>
      <c r="E146" s="263" t="s">
        <v>580</v>
      </c>
      <c r="F146" s="172"/>
      <c r="G146" s="172"/>
      <c r="H146" s="172"/>
      <c r="I146" s="172"/>
      <c r="J146" s="172"/>
      <c r="K146" s="172"/>
      <c r="L146" s="172"/>
      <c r="M146" s="172"/>
      <c r="N146" s="172"/>
      <c r="O146" s="172"/>
      <c r="P146" s="172"/>
      <c r="Q146" s="172"/>
      <c r="R146" s="172"/>
      <c r="S146" s="172"/>
      <c r="T146" s="172"/>
      <c r="U146" s="172"/>
      <c r="V146" s="221"/>
      <c r="W146" s="221"/>
      <c r="X146" s="221"/>
      <c r="Y146" s="162" t="s">
        <v>360</v>
      </c>
      <c r="Z146" s="268">
        <f>Z147</f>
        <v>20000</v>
      </c>
      <c r="AA146" s="268">
        <f>AA147</f>
        <v>50000</v>
      </c>
      <c r="AB146" s="268">
        <f>AB147</f>
        <v>50000</v>
      </c>
      <c r="AC146" s="228" t="s">
        <v>360</v>
      </c>
      <c r="AD146" s="227"/>
    </row>
    <row r="147" spans="1:30" ht="135" customHeight="1" x14ac:dyDescent="0.3">
      <c r="A147" s="139" t="s">
        <v>361</v>
      </c>
      <c r="B147" s="140" t="s">
        <v>15</v>
      </c>
      <c r="C147" s="140" t="s">
        <v>136</v>
      </c>
      <c r="D147" s="140" t="s">
        <v>129</v>
      </c>
      <c r="E147" s="263" t="s">
        <v>580</v>
      </c>
      <c r="F147" s="140"/>
      <c r="G147" s="140"/>
      <c r="H147" s="140"/>
      <c r="I147" s="140"/>
      <c r="J147" s="140"/>
      <c r="K147" s="140"/>
      <c r="L147" s="140"/>
      <c r="M147" s="140"/>
      <c r="N147" s="140"/>
      <c r="O147" s="140"/>
      <c r="P147" s="140"/>
      <c r="Q147" s="140"/>
      <c r="R147" s="140"/>
      <c r="S147" s="140"/>
      <c r="T147" s="140" t="s">
        <v>290</v>
      </c>
      <c r="U147" s="140"/>
      <c r="V147" s="141"/>
      <c r="W147" s="141"/>
      <c r="X147" s="141"/>
      <c r="Y147" s="139" t="s">
        <v>361</v>
      </c>
      <c r="Z147" s="230">
        <v>20000</v>
      </c>
      <c r="AA147" s="230">
        <v>50000</v>
      </c>
      <c r="AB147" s="230">
        <v>50000</v>
      </c>
      <c r="AC147" s="231" t="s">
        <v>361</v>
      </c>
      <c r="AD147" s="227"/>
    </row>
    <row r="148" spans="1:30" s="317" customFormat="1" ht="125.25" hidden="1" customHeight="1" x14ac:dyDescent="0.3">
      <c r="A148" s="162" t="s">
        <v>1014</v>
      </c>
      <c r="B148" s="140" t="s">
        <v>15</v>
      </c>
      <c r="C148" s="140" t="s">
        <v>136</v>
      </c>
      <c r="D148" s="140" t="s">
        <v>129</v>
      </c>
      <c r="E148" s="263" t="s">
        <v>1013</v>
      </c>
      <c r="F148" s="140"/>
      <c r="G148" s="140"/>
      <c r="H148" s="140"/>
      <c r="I148" s="140"/>
      <c r="J148" s="140"/>
      <c r="K148" s="140"/>
      <c r="L148" s="140"/>
      <c r="M148" s="140"/>
      <c r="N148" s="140"/>
      <c r="O148" s="140"/>
      <c r="P148" s="140"/>
      <c r="Q148" s="140"/>
      <c r="R148" s="140"/>
      <c r="S148" s="140"/>
      <c r="T148" s="140"/>
      <c r="U148" s="140"/>
      <c r="V148" s="141"/>
      <c r="W148" s="141"/>
      <c r="X148" s="141"/>
      <c r="Y148" s="139"/>
      <c r="Z148" s="230">
        <f>Z149</f>
        <v>0</v>
      </c>
      <c r="AA148" s="230">
        <f t="shared" ref="AA148:AB148" si="8">AA149</f>
        <v>0</v>
      </c>
      <c r="AB148" s="230">
        <f t="shared" si="8"/>
        <v>0</v>
      </c>
      <c r="AC148" s="315"/>
      <c r="AD148" s="316"/>
    </row>
    <row r="149" spans="1:30" s="317" customFormat="1" ht="43.5" hidden="1" customHeight="1" x14ac:dyDescent="0.3">
      <c r="A149" s="139" t="s">
        <v>1015</v>
      </c>
      <c r="B149" s="140" t="s">
        <v>15</v>
      </c>
      <c r="C149" s="140" t="s">
        <v>136</v>
      </c>
      <c r="D149" s="140" t="s">
        <v>129</v>
      </c>
      <c r="E149" s="263" t="s">
        <v>1013</v>
      </c>
      <c r="F149" s="140"/>
      <c r="G149" s="140"/>
      <c r="H149" s="140"/>
      <c r="I149" s="140"/>
      <c r="J149" s="140"/>
      <c r="K149" s="140"/>
      <c r="L149" s="140"/>
      <c r="M149" s="140"/>
      <c r="N149" s="140"/>
      <c r="O149" s="140"/>
      <c r="P149" s="140"/>
      <c r="Q149" s="140"/>
      <c r="R149" s="140"/>
      <c r="S149" s="140"/>
      <c r="T149" s="140" t="s">
        <v>290</v>
      </c>
      <c r="U149" s="140"/>
      <c r="V149" s="141"/>
      <c r="W149" s="141"/>
      <c r="X149" s="141"/>
      <c r="Y149" s="139"/>
      <c r="Z149" s="230">
        <v>0</v>
      </c>
      <c r="AA149" s="230">
        <v>0</v>
      </c>
      <c r="AB149" s="230">
        <v>0</v>
      </c>
      <c r="AC149" s="315"/>
      <c r="AD149" s="316"/>
    </row>
    <row r="150" spans="1:30" ht="37.15" customHeight="1" x14ac:dyDescent="0.3">
      <c r="A150" s="170" t="s">
        <v>363</v>
      </c>
      <c r="B150" s="171" t="s">
        <v>15</v>
      </c>
      <c r="C150" s="171" t="s">
        <v>124</v>
      </c>
      <c r="D150" s="171" t="s">
        <v>133</v>
      </c>
      <c r="E150" s="171"/>
      <c r="F150" s="171"/>
      <c r="G150" s="171"/>
      <c r="H150" s="171"/>
      <c r="I150" s="171"/>
      <c r="J150" s="171"/>
      <c r="K150" s="171"/>
      <c r="L150" s="171"/>
      <c r="M150" s="171"/>
      <c r="N150" s="171"/>
      <c r="O150" s="171"/>
      <c r="P150" s="171"/>
      <c r="Q150" s="171"/>
      <c r="R150" s="171"/>
      <c r="S150" s="171"/>
      <c r="T150" s="171"/>
      <c r="U150" s="171"/>
      <c r="V150" s="240"/>
      <c r="W150" s="240"/>
      <c r="X150" s="240"/>
      <c r="Y150" s="170" t="s">
        <v>363</v>
      </c>
      <c r="Z150" s="241">
        <f>Z151+Z162+Z169</f>
        <v>140232974.56</v>
      </c>
      <c r="AA150" s="241">
        <f>AA151+AA162+AA169</f>
        <v>115774262.14</v>
      </c>
      <c r="AB150" s="241">
        <f>AB151+AB162+AB169</f>
        <v>138235656.74000001</v>
      </c>
      <c r="AC150" s="226" t="s">
        <v>363</v>
      </c>
      <c r="AD150" s="227"/>
    </row>
    <row r="151" spans="1:30" ht="18.600000000000001" customHeight="1" x14ac:dyDescent="0.3">
      <c r="A151" s="170" t="s">
        <v>150</v>
      </c>
      <c r="B151" s="171" t="s">
        <v>15</v>
      </c>
      <c r="C151" s="171" t="s">
        <v>124</v>
      </c>
      <c r="D151" s="171" t="s">
        <v>122</v>
      </c>
      <c r="E151" s="171"/>
      <c r="F151" s="171"/>
      <c r="G151" s="171"/>
      <c r="H151" s="171"/>
      <c r="I151" s="171"/>
      <c r="J151" s="171"/>
      <c r="K151" s="171"/>
      <c r="L151" s="171"/>
      <c r="M151" s="171"/>
      <c r="N151" s="171"/>
      <c r="O151" s="171"/>
      <c r="P151" s="171"/>
      <c r="Q151" s="171"/>
      <c r="R151" s="171"/>
      <c r="S151" s="171"/>
      <c r="T151" s="171"/>
      <c r="U151" s="171"/>
      <c r="V151" s="240"/>
      <c r="W151" s="240"/>
      <c r="X151" s="240"/>
      <c r="Y151" s="170" t="s">
        <v>150</v>
      </c>
      <c r="Z151" s="241">
        <f>Z154+Z156+Z160+Z152+Z158</f>
        <v>39475774.559999995</v>
      </c>
      <c r="AA151" s="241">
        <f>AA154+AA156+AA160+AA152+AA158</f>
        <v>13729536</v>
      </c>
      <c r="AB151" s="241">
        <f>AB154+AB156+AB160+AB152+AB158</f>
        <v>25561688.739999998</v>
      </c>
      <c r="AC151" s="226" t="s">
        <v>150</v>
      </c>
      <c r="AD151" s="227"/>
    </row>
    <row r="152" spans="1:30" ht="186" customHeight="1" x14ac:dyDescent="0.3">
      <c r="A152" s="290" t="s">
        <v>838</v>
      </c>
      <c r="B152" s="172" t="s">
        <v>15</v>
      </c>
      <c r="C152" s="172" t="s">
        <v>124</v>
      </c>
      <c r="D152" s="172" t="s">
        <v>122</v>
      </c>
      <c r="E152" s="263" t="s">
        <v>840</v>
      </c>
      <c r="F152" s="171"/>
      <c r="G152" s="171"/>
      <c r="H152" s="171"/>
      <c r="I152" s="171"/>
      <c r="J152" s="171"/>
      <c r="K152" s="171"/>
      <c r="L152" s="171"/>
      <c r="M152" s="171"/>
      <c r="N152" s="171"/>
      <c r="O152" s="171"/>
      <c r="P152" s="171"/>
      <c r="Q152" s="171"/>
      <c r="R152" s="171"/>
      <c r="S152" s="171"/>
      <c r="T152" s="171"/>
      <c r="U152" s="171"/>
      <c r="V152" s="240"/>
      <c r="W152" s="240"/>
      <c r="X152" s="240"/>
      <c r="Y152" s="170"/>
      <c r="Z152" s="268">
        <f>Z153</f>
        <v>700000</v>
      </c>
      <c r="AA152" s="268">
        <f>AA153</f>
        <v>0</v>
      </c>
      <c r="AB152" s="268">
        <f>AB153</f>
        <v>0</v>
      </c>
      <c r="AC152" s="226"/>
      <c r="AD152" s="227"/>
    </row>
    <row r="153" spans="1:30" ht="77.25" customHeight="1" x14ac:dyDescent="0.3">
      <c r="A153" s="162" t="s">
        <v>839</v>
      </c>
      <c r="B153" s="140" t="s">
        <v>15</v>
      </c>
      <c r="C153" s="140" t="s">
        <v>124</v>
      </c>
      <c r="D153" s="140" t="s">
        <v>122</v>
      </c>
      <c r="E153" s="263" t="s">
        <v>840</v>
      </c>
      <c r="F153" s="171"/>
      <c r="G153" s="171"/>
      <c r="H153" s="171"/>
      <c r="I153" s="171"/>
      <c r="J153" s="171"/>
      <c r="K153" s="171"/>
      <c r="L153" s="171"/>
      <c r="M153" s="171"/>
      <c r="N153" s="171"/>
      <c r="O153" s="171"/>
      <c r="P153" s="171"/>
      <c r="Q153" s="171"/>
      <c r="R153" s="171"/>
      <c r="S153" s="171"/>
      <c r="T153" s="172" t="s">
        <v>290</v>
      </c>
      <c r="U153" s="171"/>
      <c r="V153" s="240"/>
      <c r="W153" s="240"/>
      <c r="X153" s="240"/>
      <c r="Y153" s="170"/>
      <c r="Z153" s="268">
        <v>700000</v>
      </c>
      <c r="AA153" s="268">
        <v>0</v>
      </c>
      <c r="AB153" s="268">
        <v>0</v>
      </c>
      <c r="AC153" s="226"/>
      <c r="AD153" s="227"/>
    </row>
    <row r="154" spans="1:30" ht="0.75" customHeight="1" x14ac:dyDescent="0.3">
      <c r="A154" s="162" t="s">
        <v>654</v>
      </c>
      <c r="B154" s="172" t="s">
        <v>15</v>
      </c>
      <c r="C154" s="172" t="s">
        <v>124</v>
      </c>
      <c r="D154" s="172" t="s">
        <v>122</v>
      </c>
      <c r="E154" s="263" t="s">
        <v>581</v>
      </c>
      <c r="F154" s="172"/>
      <c r="G154" s="172"/>
      <c r="H154" s="172"/>
      <c r="I154" s="172"/>
      <c r="J154" s="172"/>
      <c r="K154" s="172"/>
      <c r="L154" s="172"/>
      <c r="M154" s="172"/>
      <c r="N154" s="172"/>
      <c r="O154" s="172"/>
      <c r="P154" s="172"/>
      <c r="Q154" s="172"/>
      <c r="R154" s="172"/>
      <c r="S154" s="172"/>
      <c r="T154" s="172"/>
      <c r="U154" s="172"/>
      <c r="V154" s="221"/>
      <c r="W154" s="221"/>
      <c r="X154" s="221"/>
      <c r="Y154" s="162" t="s">
        <v>364</v>
      </c>
      <c r="Z154" s="268">
        <f>Z155</f>
        <v>0</v>
      </c>
      <c r="AA154" s="268">
        <f>AA155</f>
        <v>0</v>
      </c>
      <c r="AB154" s="268">
        <f>AB155</f>
        <v>0</v>
      </c>
      <c r="AC154" s="228" t="s">
        <v>364</v>
      </c>
      <c r="AD154" s="227"/>
    </row>
    <row r="155" spans="1:30" ht="54" hidden="1" customHeight="1" x14ac:dyDescent="0.3">
      <c r="A155" s="173" t="s">
        <v>365</v>
      </c>
      <c r="B155" s="140" t="s">
        <v>15</v>
      </c>
      <c r="C155" s="140" t="s">
        <v>124</v>
      </c>
      <c r="D155" s="140" t="s">
        <v>122</v>
      </c>
      <c r="E155" s="279" t="s">
        <v>581</v>
      </c>
      <c r="F155" s="140"/>
      <c r="G155" s="140"/>
      <c r="H155" s="140"/>
      <c r="I155" s="140"/>
      <c r="J155" s="140"/>
      <c r="K155" s="140"/>
      <c r="L155" s="140"/>
      <c r="M155" s="140"/>
      <c r="N155" s="140"/>
      <c r="O155" s="140"/>
      <c r="P155" s="140"/>
      <c r="Q155" s="140"/>
      <c r="R155" s="140"/>
      <c r="S155" s="140"/>
      <c r="T155" s="140" t="s">
        <v>366</v>
      </c>
      <c r="U155" s="140"/>
      <c r="V155" s="141"/>
      <c r="W155" s="141"/>
      <c r="X155" s="141"/>
      <c r="Y155" s="139" t="s">
        <v>365</v>
      </c>
      <c r="Z155" s="230">
        <f>500000+35000000+5542384.17-41042384.17</f>
        <v>0</v>
      </c>
      <c r="AA155" s="230">
        <f>500000-500000</f>
        <v>0</v>
      </c>
      <c r="AB155" s="230">
        <f>500000-500000</f>
        <v>0</v>
      </c>
      <c r="AC155" s="231" t="s">
        <v>365</v>
      </c>
      <c r="AD155" s="227"/>
    </row>
    <row r="156" spans="1:30" ht="248.25" hidden="1" customHeight="1" x14ac:dyDescent="0.3">
      <c r="A156" s="159" t="s">
        <v>584</v>
      </c>
      <c r="B156" s="153" t="s">
        <v>15</v>
      </c>
      <c r="C156" s="153" t="s">
        <v>124</v>
      </c>
      <c r="D156" s="153" t="s">
        <v>122</v>
      </c>
      <c r="E156" s="266" t="s">
        <v>585</v>
      </c>
      <c r="F156" s="153"/>
      <c r="G156" s="153"/>
      <c r="H156" s="153"/>
      <c r="I156" s="153"/>
      <c r="J156" s="153"/>
      <c r="K156" s="153"/>
      <c r="L156" s="153"/>
      <c r="M156" s="153"/>
      <c r="N156" s="153"/>
      <c r="O156" s="153"/>
      <c r="P156" s="153"/>
      <c r="Q156" s="153"/>
      <c r="R156" s="153"/>
      <c r="S156" s="153"/>
      <c r="T156" s="153"/>
      <c r="U156" s="140"/>
      <c r="V156" s="141"/>
      <c r="W156" s="141"/>
      <c r="X156" s="141"/>
      <c r="Y156" s="139"/>
      <c r="Z156" s="230">
        <f>Z157</f>
        <v>0</v>
      </c>
      <c r="AA156" s="230">
        <f>AA157</f>
        <v>0</v>
      </c>
      <c r="AB156" s="230">
        <f>AB157</f>
        <v>0</v>
      </c>
      <c r="AC156" s="231"/>
      <c r="AD156" s="227"/>
    </row>
    <row r="157" spans="1:30" ht="84.75" hidden="1" customHeight="1" x14ac:dyDescent="0.3">
      <c r="A157" s="160" t="s">
        <v>365</v>
      </c>
      <c r="B157" s="153" t="s">
        <v>15</v>
      </c>
      <c r="C157" s="153" t="s">
        <v>124</v>
      </c>
      <c r="D157" s="153" t="s">
        <v>122</v>
      </c>
      <c r="E157" s="266" t="s">
        <v>585</v>
      </c>
      <c r="F157" s="153"/>
      <c r="G157" s="153"/>
      <c r="H157" s="153"/>
      <c r="I157" s="153"/>
      <c r="J157" s="153"/>
      <c r="K157" s="153"/>
      <c r="L157" s="153"/>
      <c r="M157" s="153"/>
      <c r="N157" s="153"/>
      <c r="O157" s="153"/>
      <c r="P157" s="153"/>
      <c r="Q157" s="153"/>
      <c r="R157" s="153"/>
      <c r="S157" s="153"/>
      <c r="T157" s="153" t="s">
        <v>366</v>
      </c>
      <c r="U157" s="140"/>
      <c r="V157" s="141"/>
      <c r="W157" s="141"/>
      <c r="X157" s="141"/>
      <c r="Y157" s="139"/>
      <c r="Z157" s="230">
        <v>0</v>
      </c>
      <c r="AA157" s="230">
        <v>0</v>
      </c>
      <c r="AB157" s="230">
        <v>0</v>
      </c>
      <c r="AC157" s="231"/>
      <c r="AD157" s="227"/>
    </row>
    <row r="158" spans="1:30" ht="219.75" customHeight="1" x14ac:dyDescent="0.3">
      <c r="A158" s="162" t="s">
        <v>654</v>
      </c>
      <c r="B158" s="172" t="s">
        <v>15</v>
      </c>
      <c r="C158" s="172" t="s">
        <v>124</v>
      </c>
      <c r="D158" s="172" t="s">
        <v>122</v>
      </c>
      <c r="E158" s="263" t="s">
        <v>585</v>
      </c>
      <c r="F158" s="172"/>
      <c r="G158" s="172"/>
      <c r="H158" s="172"/>
      <c r="I158" s="172"/>
      <c r="J158" s="172"/>
      <c r="K158" s="172"/>
      <c r="L158" s="172"/>
      <c r="M158" s="172"/>
      <c r="N158" s="172"/>
      <c r="O158" s="172"/>
      <c r="P158" s="172"/>
      <c r="Q158" s="172"/>
      <c r="R158" s="172"/>
      <c r="S158" s="172"/>
      <c r="T158" s="172"/>
      <c r="U158" s="172"/>
      <c r="V158" s="221"/>
      <c r="W158" s="221"/>
      <c r="X158" s="221"/>
      <c r="Y158" s="162" t="s">
        <v>364</v>
      </c>
      <c r="Z158" s="268">
        <f>Z159</f>
        <v>38775774.559999995</v>
      </c>
      <c r="AA158" s="268">
        <f>AA159</f>
        <v>13729536</v>
      </c>
      <c r="AB158" s="268">
        <f>AB159</f>
        <v>25561688.739999998</v>
      </c>
      <c r="AC158" s="231"/>
      <c r="AD158" s="227"/>
    </row>
    <row r="159" spans="1:30" ht="166.5" customHeight="1" x14ac:dyDescent="0.3">
      <c r="A159" s="173" t="s">
        <v>365</v>
      </c>
      <c r="B159" s="140" t="s">
        <v>15</v>
      </c>
      <c r="C159" s="140" t="s">
        <v>124</v>
      </c>
      <c r="D159" s="140" t="s">
        <v>122</v>
      </c>
      <c r="E159" s="263" t="s">
        <v>585</v>
      </c>
      <c r="F159" s="140"/>
      <c r="G159" s="140"/>
      <c r="H159" s="140"/>
      <c r="I159" s="140"/>
      <c r="J159" s="140"/>
      <c r="K159" s="140"/>
      <c r="L159" s="140"/>
      <c r="M159" s="140"/>
      <c r="N159" s="140"/>
      <c r="O159" s="140"/>
      <c r="P159" s="140"/>
      <c r="Q159" s="140"/>
      <c r="R159" s="140"/>
      <c r="S159" s="140"/>
      <c r="T159" s="140" t="s">
        <v>366</v>
      </c>
      <c r="U159" s="140"/>
      <c r="V159" s="141"/>
      <c r="W159" s="141"/>
      <c r="X159" s="141"/>
      <c r="Y159" s="139" t="s">
        <v>365</v>
      </c>
      <c r="Z159" s="230">
        <f>35037832.73+8737941.83-5000000</f>
        <v>38775774.559999995</v>
      </c>
      <c r="AA159" s="230">
        <v>13729536</v>
      </c>
      <c r="AB159" s="230">
        <v>25561688.739999998</v>
      </c>
      <c r="AC159" s="231"/>
      <c r="AD159" s="238"/>
    </row>
    <row r="160" spans="1:30" ht="238.5" hidden="1" customHeight="1" x14ac:dyDescent="0.3">
      <c r="A160" s="289" t="s">
        <v>860</v>
      </c>
      <c r="B160" s="153" t="s">
        <v>15</v>
      </c>
      <c r="C160" s="153" t="s">
        <v>124</v>
      </c>
      <c r="D160" s="153" t="s">
        <v>122</v>
      </c>
      <c r="E160" s="266" t="s">
        <v>861</v>
      </c>
      <c r="F160" s="153"/>
      <c r="G160" s="153"/>
      <c r="H160" s="153"/>
      <c r="I160" s="153"/>
      <c r="J160" s="153"/>
      <c r="K160" s="153"/>
      <c r="L160" s="153"/>
      <c r="M160" s="153"/>
      <c r="N160" s="153"/>
      <c r="O160" s="153"/>
      <c r="P160" s="153"/>
      <c r="Q160" s="153"/>
      <c r="R160" s="153"/>
      <c r="S160" s="153"/>
      <c r="T160" s="153"/>
      <c r="U160" s="140"/>
      <c r="V160" s="141"/>
      <c r="W160" s="141"/>
      <c r="X160" s="141"/>
      <c r="Y160" s="139"/>
      <c r="Z160" s="230">
        <f>Z161</f>
        <v>0</v>
      </c>
      <c r="AA160" s="230">
        <f>AA161</f>
        <v>0</v>
      </c>
      <c r="AB160" s="230">
        <f>AB161</f>
        <v>0</v>
      </c>
      <c r="AC160" s="231"/>
      <c r="AD160" s="227"/>
    </row>
    <row r="161" spans="1:30" ht="0.75" hidden="1" customHeight="1" x14ac:dyDescent="0.3">
      <c r="A161" s="368" t="s">
        <v>862</v>
      </c>
      <c r="B161" s="153" t="s">
        <v>15</v>
      </c>
      <c r="C161" s="153" t="s">
        <v>124</v>
      </c>
      <c r="D161" s="153" t="s">
        <v>122</v>
      </c>
      <c r="E161" s="266" t="s">
        <v>861</v>
      </c>
      <c r="F161" s="153"/>
      <c r="G161" s="153"/>
      <c r="H161" s="153"/>
      <c r="I161" s="153"/>
      <c r="J161" s="153"/>
      <c r="K161" s="153"/>
      <c r="L161" s="153"/>
      <c r="M161" s="153"/>
      <c r="N161" s="153"/>
      <c r="O161" s="153"/>
      <c r="P161" s="153"/>
      <c r="Q161" s="153"/>
      <c r="R161" s="153"/>
      <c r="S161" s="153"/>
      <c r="T161" s="153" t="s">
        <v>366</v>
      </c>
      <c r="U161" s="140"/>
      <c r="V161" s="141"/>
      <c r="W161" s="141"/>
      <c r="X161" s="141"/>
      <c r="Y161" s="139"/>
      <c r="Z161" s="230">
        <v>0</v>
      </c>
      <c r="AA161" s="230">
        <v>0</v>
      </c>
      <c r="AB161" s="230">
        <v>0</v>
      </c>
      <c r="AC161" s="235"/>
      <c r="AD161" s="354"/>
    </row>
    <row r="162" spans="1:30" ht="34.5" customHeight="1" x14ac:dyDescent="0.3">
      <c r="A162" s="170" t="s">
        <v>151</v>
      </c>
      <c r="B162" s="171" t="s">
        <v>15</v>
      </c>
      <c r="C162" s="171" t="s">
        <v>124</v>
      </c>
      <c r="D162" s="171" t="s">
        <v>132</v>
      </c>
      <c r="E162" s="171"/>
      <c r="F162" s="171"/>
      <c r="G162" s="171"/>
      <c r="H162" s="171"/>
      <c r="I162" s="171"/>
      <c r="J162" s="171"/>
      <c r="K162" s="171"/>
      <c r="L162" s="171"/>
      <c r="M162" s="171"/>
      <c r="N162" s="171"/>
      <c r="O162" s="171"/>
      <c r="P162" s="171"/>
      <c r="Q162" s="171"/>
      <c r="R162" s="171"/>
      <c r="S162" s="171"/>
      <c r="T162" s="171"/>
      <c r="U162" s="171"/>
      <c r="V162" s="240"/>
      <c r="W162" s="240"/>
      <c r="X162" s="240"/>
      <c r="Y162" s="170" t="s">
        <v>151</v>
      </c>
      <c r="Z162" s="241">
        <f>Z163+Z165+Z167</f>
        <v>97107200</v>
      </c>
      <c r="AA162" s="241">
        <f>AA163+AA165+AA167</f>
        <v>101314736.14</v>
      </c>
      <c r="AB162" s="241">
        <f>AB163+AB165+AB167</f>
        <v>112223968</v>
      </c>
      <c r="AC162" s="226" t="s">
        <v>151</v>
      </c>
      <c r="AD162" s="227"/>
    </row>
    <row r="163" spans="1:30" ht="83.25" hidden="1" customHeight="1" x14ac:dyDescent="0.3">
      <c r="A163" s="162" t="s">
        <v>582</v>
      </c>
      <c r="B163" s="263" t="s">
        <v>15</v>
      </c>
      <c r="C163" s="263" t="s">
        <v>124</v>
      </c>
      <c r="D163" s="263" t="s">
        <v>132</v>
      </c>
      <c r="E163" s="263" t="s">
        <v>583</v>
      </c>
      <c r="F163" s="263"/>
      <c r="G163" s="263"/>
      <c r="H163" s="263"/>
      <c r="I163" s="263"/>
      <c r="J163" s="263"/>
      <c r="K163" s="263"/>
      <c r="L163" s="263"/>
      <c r="M163" s="263"/>
      <c r="N163" s="263"/>
      <c r="O163" s="263"/>
      <c r="P163" s="263"/>
      <c r="Q163" s="263"/>
      <c r="R163" s="263"/>
      <c r="S163" s="263"/>
      <c r="T163" s="263"/>
      <c r="U163" s="171"/>
      <c r="V163" s="240"/>
      <c r="W163" s="240"/>
      <c r="X163" s="240"/>
      <c r="Y163" s="170"/>
      <c r="Z163" s="268">
        <f>Z164</f>
        <v>0</v>
      </c>
      <c r="AA163" s="268">
        <f>AA164</f>
        <v>0</v>
      </c>
      <c r="AB163" s="268">
        <f>AB164</f>
        <v>0</v>
      </c>
      <c r="AC163" s="226"/>
      <c r="AD163" s="227"/>
    </row>
    <row r="164" spans="1:30" ht="108.75" hidden="1" customHeight="1" x14ac:dyDescent="0.3">
      <c r="A164" s="139" t="s">
        <v>827</v>
      </c>
      <c r="B164" s="263" t="s">
        <v>15</v>
      </c>
      <c r="C164" s="263" t="s">
        <v>124</v>
      </c>
      <c r="D164" s="263" t="s">
        <v>132</v>
      </c>
      <c r="E164" s="263" t="s">
        <v>583</v>
      </c>
      <c r="F164" s="263"/>
      <c r="G164" s="263"/>
      <c r="H164" s="263"/>
      <c r="I164" s="263"/>
      <c r="J164" s="263"/>
      <c r="K164" s="263"/>
      <c r="L164" s="263"/>
      <c r="M164" s="263"/>
      <c r="N164" s="263"/>
      <c r="O164" s="263"/>
      <c r="P164" s="263"/>
      <c r="Q164" s="263"/>
      <c r="R164" s="263"/>
      <c r="S164" s="263"/>
      <c r="T164" s="263" t="s">
        <v>290</v>
      </c>
      <c r="U164" s="171"/>
      <c r="V164" s="240"/>
      <c r="W164" s="240"/>
      <c r="X164" s="240"/>
      <c r="Y164" s="170"/>
      <c r="Z164" s="268">
        <f>500000-450000-50000</f>
        <v>0</v>
      </c>
      <c r="AA164" s="268">
        <v>0</v>
      </c>
      <c r="AB164" s="268">
        <v>0</v>
      </c>
      <c r="AC164" s="226"/>
      <c r="AD164" s="227"/>
    </row>
    <row r="165" spans="1:30" ht="224.25" customHeight="1" x14ac:dyDescent="0.3">
      <c r="A165" s="162" t="s">
        <v>588</v>
      </c>
      <c r="B165" s="263" t="s">
        <v>15</v>
      </c>
      <c r="C165" s="263" t="s">
        <v>124</v>
      </c>
      <c r="D165" s="263" t="s">
        <v>132</v>
      </c>
      <c r="E165" s="263" t="s">
        <v>589</v>
      </c>
      <c r="F165" s="263"/>
      <c r="G165" s="263"/>
      <c r="H165" s="263"/>
      <c r="I165" s="263"/>
      <c r="J165" s="263"/>
      <c r="K165" s="263"/>
      <c r="L165" s="263"/>
      <c r="M165" s="263"/>
      <c r="N165" s="263"/>
      <c r="O165" s="263"/>
      <c r="P165" s="263"/>
      <c r="Q165" s="263"/>
      <c r="R165" s="263"/>
      <c r="S165" s="263"/>
      <c r="T165" s="263"/>
      <c r="U165" s="171"/>
      <c r="V165" s="240"/>
      <c r="W165" s="240"/>
      <c r="X165" s="240"/>
      <c r="Y165" s="170"/>
      <c r="Z165" s="268">
        <f>Z166</f>
        <v>10000000</v>
      </c>
      <c r="AA165" s="268">
        <f>AA166</f>
        <v>14207536.140000001</v>
      </c>
      <c r="AB165" s="268">
        <f>AB166</f>
        <v>25116768</v>
      </c>
      <c r="AC165" s="226"/>
      <c r="AD165" s="227"/>
    </row>
    <row r="166" spans="1:30" ht="91.5" customHeight="1" x14ac:dyDescent="0.3">
      <c r="A166" s="139" t="s">
        <v>828</v>
      </c>
      <c r="B166" s="263" t="s">
        <v>15</v>
      </c>
      <c r="C166" s="263" t="s">
        <v>124</v>
      </c>
      <c r="D166" s="263" t="s">
        <v>132</v>
      </c>
      <c r="E166" s="263" t="s">
        <v>589</v>
      </c>
      <c r="F166" s="263"/>
      <c r="G166" s="263"/>
      <c r="H166" s="263"/>
      <c r="I166" s="263"/>
      <c r="J166" s="263"/>
      <c r="K166" s="263"/>
      <c r="L166" s="263"/>
      <c r="M166" s="263"/>
      <c r="N166" s="263"/>
      <c r="O166" s="263"/>
      <c r="P166" s="263"/>
      <c r="Q166" s="263"/>
      <c r="R166" s="263"/>
      <c r="S166" s="263"/>
      <c r="T166" s="263" t="s">
        <v>290</v>
      </c>
      <c r="U166" s="171"/>
      <c r="V166" s="240"/>
      <c r="W166" s="240"/>
      <c r="X166" s="240"/>
      <c r="Y166" s="170"/>
      <c r="Z166" s="268">
        <v>10000000</v>
      </c>
      <c r="AA166" s="268">
        <v>14207536.140000001</v>
      </c>
      <c r="AB166" s="268">
        <v>25116768</v>
      </c>
      <c r="AC166" s="226"/>
      <c r="AD166" s="238"/>
    </row>
    <row r="167" spans="1:30" ht="298.5" customHeight="1" x14ac:dyDescent="0.3">
      <c r="A167" s="356" t="s">
        <v>1152</v>
      </c>
      <c r="B167" s="172" t="s">
        <v>15</v>
      </c>
      <c r="C167" s="172" t="s">
        <v>124</v>
      </c>
      <c r="D167" s="172" t="s">
        <v>132</v>
      </c>
      <c r="E167" s="263" t="s">
        <v>812</v>
      </c>
      <c r="F167" s="172"/>
      <c r="G167" s="172"/>
      <c r="H167" s="172"/>
      <c r="I167" s="172"/>
      <c r="J167" s="172"/>
      <c r="K167" s="172"/>
      <c r="L167" s="172"/>
      <c r="M167" s="172"/>
      <c r="N167" s="172"/>
      <c r="O167" s="172"/>
      <c r="P167" s="172"/>
      <c r="Q167" s="172"/>
      <c r="R167" s="172"/>
      <c r="S167" s="172"/>
      <c r="T167" s="172"/>
      <c r="U167" s="172"/>
      <c r="V167" s="221"/>
      <c r="W167" s="221"/>
      <c r="X167" s="221"/>
      <c r="Y167" s="165" t="s">
        <v>226</v>
      </c>
      <c r="Z167" s="268">
        <f>Z168</f>
        <v>87107200</v>
      </c>
      <c r="AA167" s="268">
        <f>AA168</f>
        <v>87107200</v>
      </c>
      <c r="AB167" s="268">
        <f>AB168</f>
        <v>87107200</v>
      </c>
      <c r="AC167" s="232" t="s">
        <v>226</v>
      </c>
      <c r="AD167" s="227"/>
    </row>
    <row r="168" spans="1:30" ht="132.75" customHeight="1" x14ac:dyDescent="0.3">
      <c r="A168" s="164" t="s">
        <v>814</v>
      </c>
      <c r="B168" s="140" t="s">
        <v>15</v>
      </c>
      <c r="C168" s="140" t="s">
        <v>124</v>
      </c>
      <c r="D168" s="140" t="s">
        <v>132</v>
      </c>
      <c r="E168" s="263" t="s">
        <v>812</v>
      </c>
      <c r="F168" s="140"/>
      <c r="G168" s="140"/>
      <c r="H168" s="140"/>
      <c r="I168" s="140"/>
      <c r="J168" s="140"/>
      <c r="K168" s="140"/>
      <c r="L168" s="140"/>
      <c r="M168" s="140"/>
      <c r="N168" s="140"/>
      <c r="O168" s="140"/>
      <c r="P168" s="140"/>
      <c r="Q168" s="140"/>
      <c r="R168" s="140"/>
      <c r="S168" s="140"/>
      <c r="T168" s="140" t="s">
        <v>243</v>
      </c>
      <c r="U168" s="140"/>
      <c r="V168" s="141"/>
      <c r="W168" s="141"/>
      <c r="X168" s="141"/>
      <c r="Y168" s="164" t="s">
        <v>367</v>
      </c>
      <c r="Z168" s="230">
        <v>87107200</v>
      </c>
      <c r="AA168" s="230">
        <v>87107200</v>
      </c>
      <c r="AB168" s="230">
        <v>87107200</v>
      </c>
      <c r="AC168" s="229" t="s">
        <v>367</v>
      </c>
      <c r="AD168" s="227"/>
    </row>
    <row r="169" spans="1:30" ht="22.5" customHeight="1" x14ac:dyDescent="0.3">
      <c r="A169" s="170" t="s">
        <v>152</v>
      </c>
      <c r="B169" s="171" t="s">
        <v>15</v>
      </c>
      <c r="C169" s="171" t="s">
        <v>124</v>
      </c>
      <c r="D169" s="171" t="s">
        <v>123</v>
      </c>
      <c r="E169" s="171"/>
      <c r="F169" s="171"/>
      <c r="G169" s="171"/>
      <c r="H169" s="171"/>
      <c r="I169" s="171"/>
      <c r="J169" s="171"/>
      <c r="K169" s="171"/>
      <c r="L169" s="171"/>
      <c r="M169" s="171"/>
      <c r="N169" s="171"/>
      <c r="O169" s="171"/>
      <c r="P169" s="171"/>
      <c r="Q169" s="171"/>
      <c r="R169" s="171"/>
      <c r="S169" s="171"/>
      <c r="T169" s="171"/>
      <c r="U169" s="171"/>
      <c r="V169" s="240"/>
      <c r="W169" s="240"/>
      <c r="X169" s="240"/>
      <c r="Y169" s="170" t="s">
        <v>152</v>
      </c>
      <c r="Z169" s="241">
        <f>Z170+Z172+Z174+Z176+Z178+Z180+Z182+Z184</f>
        <v>3650000</v>
      </c>
      <c r="AA169" s="241">
        <f>AA170+AA172+AA174+AA176+AA178+AA180+AA182+AA184</f>
        <v>729990</v>
      </c>
      <c r="AB169" s="241">
        <f>AB170+AB172+AB174+AB176+AB178+AB180+AB182+AB184</f>
        <v>450000</v>
      </c>
      <c r="AC169" s="226" t="s">
        <v>152</v>
      </c>
      <c r="AD169" s="227"/>
    </row>
    <row r="170" spans="1:30" ht="210" customHeight="1" x14ac:dyDescent="0.3">
      <c r="A170" s="161" t="s">
        <v>590</v>
      </c>
      <c r="B170" s="263" t="s">
        <v>15</v>
      </c>
      <c r="C170" s="263" t="s">
        <v>124</v>
      </c>
      <c r="D170" s="263" t="s">
        <v>123</v>
      </c>
      <c r="E170" s="263" t="s">
        <v>592</v>
      </c>
      <c r="F170" s="263"/>
      <c r="G170" s="263"/>
      <c r="H170" s="263"/>
      <c r="I170" s="263"/>
      <c r="J170" s="263"/>
      <c r="K170" s="263"/>
      <c r="L170" s="263"/>
      <c r="M170" s="263"/>
      <c r="N170" s="263"/>
      <c r="O170" s="263"/>
      <c r="P170" s="263"/>
      <c r="Q170" s="263"/>
      <c r="R170" s="263"/>
      <c r="S170" s="263"/>
      <c r="T170" s="263"/>
      <c r="U170" s="172"/>
      <c r="V170" s="221"/>
      <c r="W170" s="221"/>
      <c r="X170" s="221"/>
      <c r="Y170" s="162" t="s">
        <v>368</v>
      </c>
      <c r="Z170" s="268">
        <f>Z171</f>
        <v>1000000</v>
      </c>
      <c r="AA170" s="268">
        <f>AA171</f>
        <v>379990</v>
      </c>
      <c r="AB170" s="268">
        <f>AB171</f>
        <v>200000</v>
      </c>
      <c r="AC170" s="228" t="s">
        <v>368</v>
      </c>
      <c r="AD170" s="227"/>
    </row>
    <row r="171" spans="1:30" ht="167.25" customHeight="1" x14ac:dyDescent="0.3">
      <c r="A171" s="139" t="s">
        <v>591</v>
      </c>
      <c r="B171" s="144" t="s">
        <v>15</v>
      </c>
      <c r="C171" s="144" t="s">
        <v>124</v>
      </c>
      <c r="D171" s="144" t="s">
        <v>123</v>
      </c>
      <c r="E171" s="263" t="s">
        <v>592</v>
      </c>
      <c r="F171" s="144"/>
      <c r="G171" s="144"/>
      <c r="H171" s="144"/>
      <c r="I171" s="144"/>
      <c r="J171" s="144"/>
      <c r="K171" s="144"/>
      <c r="L171" s="144"/>
      <c r="M171" s="144"/>
      <c r="N171" s="144"/>
      <c r="O171" s="144"/>
      <c r="P171" s="144"/>
      <c r="Q171" s="144"/>
      <c r="R171" s="144"/>
      <c r="S171" s="144"/>
      <c r="T171" s="144" t="s">
        <v>290</v>
      </c>
      <c r="U171" s="140"/>
      <c r="V171" s="141"/>
      <c r="W171" s="141"/>
      <c r="X171" s="141"/>
      <c r="Y171" s="139" t="s">
        <v>369</v>
      </c>
      <c r="Z171" s="230">
        <v>1000000</v>
      </c>
      <c r="AA171" s="230">
        <v>379990</v>
      </c>
      <c r="AB171" s="230">
        <v>200000</v>
      </c>
      <c r="AC171" s="231" t="s">
        <v>369</v>
      </c>
      <c r="AD171" s="227"/>
    </row>
    <row r="172" spans="1:30" ht="118.5" customHeight="1" x14ac:dyDescent="0.3">
      <c r="A172" s="162" t="s">
        <v>593</v>
      </c>
      <c r="B172" s="263" t="s">
        <v>15</v>
      </c>
      <c r="C172" s="263" t="s">
        <v>124</v>
      </c>
      <c r="D172" s="263" t="s">
        <v>123</v>
      </c>
      <c r="E172" s="263" t="s">
        <v>594</v>
      </c>
      <c r="F172" s="263"/>
      <c r="G172" s="263"/>
      <c r="H172" s="263"/>
      <c r="I172" s="263"/>
      <c r="J172" s="263"/>
      <c r="K172" s="263"/>
      <c r="L172" s="263"/>
      <c r="M172" s="263"/>
      <c r="N172" s="263"/>
      <c r="O172" s="263"/>
      <c r="P172" s="263"/>
      <c r="Q172" s="263"/>
      <c r="R172" s="263"/>
      <c r="S172" s="263"/>
      <c r="T172" s="263"/>
      <c r="U172" s="172"/>
      <c r="V172" s="221"/>
      <c r="W172" s="221"/>
      <c r="X172" s="221"/>
      <c r="Y172" s="162" t="s">
        <v>370</v>
      </c>
      <c r="Z172" s="268">
        <f>Z173</f>
        <v>1000000</v>
      </c>
      <c r="AA172" s="268">
        <f>AA173</f>
        <v>100000</v>
      </c>
      <c r="AB172" s="268">
        <f>AB173</f>
        <v>100000</v>
      </c>
      <c r="AC172" s="228" t="s">
        <v>370</v>
      </c>
      <c r="AD172" s="227"/>
    </row>
    <row r="173" spans="1:30" ht="68.25" customHeight="1" x14ac:dyDescent="0.3">
      <c r="A173" s="139" t="s">
        <v>371</v>
      </c>
      <c r="B173" s="144" t="s">
        <v>15</v>
      </c>
      <c r="C173" s="144" t="s">
        <v>124</v>
      </c>
      <c r="D173" s="144" t="s">
        <v>123</v>
      </c>
      <c r="E173" s="263" t="s">
        <v>594</v>
      </c>
      <c r="F173" s="144"/>
      <c r="G173" s="144"/>
      <c r="H173" s="144"/>
      <c r="I173" s="144"/>
      <c r="J173" s="144"/>
      <c r="K173" s="144"/>
      <c r="L173" s="144"/>
      <c r="M173" s="144"/>
      <c r="N173" s="144"/>
      <c r="O173" s="144"/>
      <c r="P173" s="144"/>
      <c r="Q173" s="144"/>
      <c r="R173" s="144"/>
      <c r="S173" s="144"/>
      <c r="T173" s="144" t="s">
        <v>290</v>
      </c>
      <c r="U173" s="140"/>
      <c r="V173" s="141"/>
      <c r="W173" s="141"/>
      <c r="X173" s="141"/>
      <c r="Y173" s="139" t="s">
        <v>371</v>
      </c>
      <c r="Z173" s="230">
        <v>1000000</v>
      </c>
      <c r="AA173" s="230">
        <v>100000</v>
      </c>
      <c r="AB173" s="230">
        <v>100000</v>
      </c>
      <c r="AC173" s="231" t="s">
        <v>371</v>
      </c>
      <c r="AD173" s="227"/>
    </row>
    <row r="174" spans="1:30" ht="114" hidden="1" customHeight="1" x14ac:dyDescent="0.3">
      <c r="A174" s="162" t="s">
        <v>596</v>
      </c>
      <c r="B174" s="144" t="s">
        <v>15</v>
      </c>
      <c r="C174" s="144" t="s">
        <v>124</v>
      </c>
      <c r="D174" s="144" t="s">
        <v>123</v>
      </c>
      <c r="E174" s="263" t="s">
        <v>595</v>
      </c>
      <c r="F174" s="144"/>
      <c r="G174" s="144"/>
      <c r="H174" s="144"/>
      <c r="I174" s="144"/>
      <c r="J174" s="144"/>
      <c r="K174" s="144"/>
      <c r="L174" s="144"/>
      <c r="M174" s="144"/>
      <c r="N174" s="144"/>
      <c r="O174" s="144"/>
      <c r="P174" s="144"/>
      <c r="Q174" s="144"/>
      <c r="R174" s="144"/>
      <c r="S174" s="144"/>
      <c r="T174" s="144"/>
      <c r="U174" s="140"/>
      <c r="V174" s="141"/>
      <c r="W174" s="141"/>
      <c r="X174" s="141"/>
      <c r="Y174" s="139"/>
      <c r="Z174" s="230">
        <f>Z175</f>
        <v>0</v>
      </c>
      <c r="AA174" s="230">
        <f>AA175</f>
        <v>0</v>
      </c>
      <c r="AB174" s="230">
        <f>AB175</f>
        <v>0</v>
      </c>
      <c r="AC174" s="231"/>
      <c r="AD174" s="227"/>
    </row>
    <row r="175" spans="1:30" ht="119.25" hidden="1" customHeight="1" x14ac:dyDescent="0.3">
      <c r="A175" s="139" t="s">
        <v>596</v>
      </c>
      <c r="B175" s="144" t="s">
        <v>15</v>
      </c>
      <c r="C175" s="144" t="s">
        <v>124</v>
      </c>
      <c r="D175" s="144" t="s">
        <v>123</v>
      </c>
      <c r="E175" s="263" t="s">
        <v>595</v>
      </c>
      <c r="F175" s="144"/>
      <c r="G175" s="144"/>
      <c r="H175" s="144"/>
      <c r="I175" s="144"/>
      <c r="J175" s="144"/>
      <c r="K175" s="144"/>
      <c r="L175" s="144"/>
      <c r="M175" s="144"/>
      <c r="N175" s="144"/>
      <c r="O175" s="144"/>
      <c r="P175" s="144"/>
      <c r="Q175" s="144"/>
      <c r="R175" s="144"/>
      <c r="S175" s="144"/>
      <c r="T175" s="144" t="s">
        <v>290</v>
      </c>
      <c r="U175" s="140"/>
      <c r="V175" s="141"/>
      <c r="W175" s="141"/>
      <c r="X175" s="141"/>
      <c r="Y175" s="139"/>
      <c r="Z175" s="230">
        <v>0</v>
      </c>
      <c r="AA175" s="230">
        <v>0</v>
      </c>
      <c r="AB175" s="230">
        <v>0</v>
      </c>
      <c r="AC175" s="231"/>
      <c r="AD175" s="227"/>
    </row>
    <row r="176" spans="1:30" ht="114" hidden="1" customHeight="1" x14ac:dyDescent="0.3">
      <c r="A176" s="162" t="s">
        <v>829</v>
      </c>
      <c r="B176" s="263" t="s">
        <v>15</v>
      </c>
      <c r="C176" s="263" t="s">
        <v>124</v>
      </c>
      <c r="D176" s="263" t="s">
        <v>123</v>
      </c>
      <c r="E176" s="263" t="s">
        <v>597</v>
      </c>
      <c r="F176" s="263"/>
      <c r="G176" s="263"/>
      <c r="H176" s="263"/>
      <c r="I176" s="263"/>
      <c r="J176" s="263"/>
      <c r="K176" s="263"/>
      <c r="L176" s="263"/>
      <c r="M176" s="263"/>
      <c r="N176" s="263"/>
      <c r="O176" s="263"/>
      <c r="P176" s="263"/>
      <c r="Q176" s="263"/>
      <c r="R176" s="263"/>
      <c r="S176" s="263"/>
      <c r="T176" s="263"/>
      <c r="U176" s="172"/>
      <c r="V176" s="221"/>
      <c r="W176" s="221"/>
      <c r="X176" s="221"/>
      <c r="Y176" s="162" t="s">
        <v>372</v>
      </c>
      <c r="Z176" s="268">
        <f>Z177</f>
        <v>0</v>
      </c>
      <c r="AA176" s="268">
        <f>AA177</f>
        <v>0</v>
      </c>
      <c r="AB176" s="268">
        <f>AB177</f>
        <v>0</v>
      </c>
      <c r="AC176" s="228" t="s">
        <v>372</v>
      </c>
      <c r="AD176" s="227"/>
    </row>
    <row r="177" spans="1:30" ht="95.25" hidden="1" customHeight="1" x14ac:dyDescent="0.3">
      <c r="A177" s="139" t="s">
        <v>373</v>
      </c>
      <c r="B177" s="144" t="s">
        <v>15</v>
      </c>
      <c r="C177" s="144" t="s">
        <v>124</v>
      </c>
      <c r="D177" s="144" t="s">
        <v>123</v>
      </c>
      <c r="E177" s="263" t="s">
        <v>597</v>
      </c>
      <c r="F177" s="144"/>
      <c r="G177" s="144"/>
      <c r="H177" s="144"/>
      <c r="I177" s="144"/>
      <c r="J177" s="144"/>
      <c r="K177" s="144"/>
      <c r="L177" s="144"/>
      <c r="M177" s="144"/>
      <c r="N177" s="144"/>
      <c r="O177" s="144"/>
      <c r="P177" s="144"/>
      <c r="Q177" s="144"/>
      <c r="R177" s="144"/>
      <c r="S177" s="144"/>
      <c r="T177" s="144" t="s">
        <v>290</v>
      </c>
      <c r="U177" s="140"/>
      <c r="V177" s="141"/>
      <c r="W177" s="141"/>
      <c r="X177" s="141"/>
      <c r="Y177" s="139" t="s">
        <v>373</v>
      </c>
      <c r="Z177" s="230">
        <v>0</v>
      </c>
      <c r="AA177" s="230">
        <v>0</v>
      </c>
      <c r="AB177" s="230">
        <v>0</v>
      </c>
      <c r="AC177" s="231" t="s">
        <v>373</v>
      </c>
      <c r="AD177" s="227"/>
    </row>
    <row r="178" spans="1:30" ht="72.75" customHeight="1" x14ac:dyDescent="0.3">
      <c r="A178" s="162" t="s">
        <v>601</v>
      </c>
      <c r="B178" s="144" t="s">
        <v>15</v>
      </c>
      <c r="C178" s="144" t="s">
        <v>124</v>
      </c>
      <c r="D178" s="144" t="s">
        <v>123</v>
      </c>
      <c r="E178" s="263" t="s">
        <v>598</v>
      </c>
      <c r="F178" s="144"/>
      <c r="G178" s="144"/>
      <c r="H178" s="144"/>
      <c r="I178" s="144"/>
      <c r="J178" s="144"/>
      <c r="K178" s="144"/>
      <c r="L178" s="144"/>
      <c r="M178" s="144"/>
      <c r="N178" s="144"/>
      <c r="O178" s="144"/>
      <c r="P178" s="144"/>
      <c r="Q178" s="144"/>
      <c r="R178" s="144"/>
      <c r="S178" s="144"/>
      <c r="T178" s="144"/>
      <c r="U178" s="172"/>
      <c r="V178" s="221"/>
      <c r="W178" s="221"/>
      <c r="X178" s="221"/>
      <c r="Y178" s="162" t="s">
        <v>374</v>
      </c>
      <c r="Z178" s="268">
        <f>Z179</f>
        <v>800000</v>
      </c>
      <c r="AA178" s="268">
        <f>AA179</f>
        <v>50000</v>
      </c>
      <c r="AB178" s="268">
        <f>AB179</f>
        <v>50000</v>
      </c>
      <c r="AC178" s="228" t="s">
        <v>374</v>
      </c>
      <c r="AD178" s="227"/>
    </row>
    <row r="179" spans="1:30" ht="81" customHeight="1" x14ac:dyDescent="0.3">
      <c r="A179" s="139" t="s">
        <v>375</v>
      </c>
      <c r="B179" s="144" t="s">
        <v>15</v>
      </c>
      <c r="C179" s="144" t="s">
        <v>124</v>
      </c>
      <c r="D179" s="144" t="s">
        <v>123</v>
      </c>
      <c r="E179" s="263" t="s">
        <v>598</v>
      </c>
      <c r="F179" s="144"/>
      <c r="G179" s="144"/>
      <c r="H179" s="144"/>
      <c r="I179" s="144"/>
      <c r="J179" s="144"/>
      <c r="K179" s="144"/>
      <c r="L179" s="144"/>
      <c r="M179" s="144"/>
      <c r="N179" s="144"/>
      <c r="O179" s="144"/>
      <c r="P179" s="144"/>
      <c r="Q179" s="144"/>
      <c r="R179" s="144"/>
      <c r="S179" s="144"/>
      <c r="T179" s="144" t="s">
        <v>290</v>
      </c>
      <c r="U179" s="140"/>
      <c r="V179" s="141"/>
      <c r="W179" s="141"/>
      <c r="X179" s="141"/>
      <c r="Y179" s="139" t="s">
        <v>375</v>
      </c>
      <c r="Z179" s="230">
        <v>800000</v>
      </c>
      <c r="AA179" s="230">
        <v>50000</v>
      </c>
      <c r="AB179" s="230">
        <v>50000</v>
      </c>
      <c r="AC179" s="231" t="s">
        <v>375</v>
      </c>
      <c r="AD179" s="227"/>
    </row>
    <row r="180" spans="1:30" ht="118.5" customHeight="1" x14ac:dyDescent="0.3">
      <c r="A180" s="162" t="s">
        <v>830</v>
      </c>
      <c r="B180" s="263" t="s">
        <v>15</v>
      </c>
      <c r="C180" s="263" t="s">
        <v>124</v>
      </c>
      <c r="D180" s="263" t="s">
        <v>123</v>
      </c>
      <c r="E180" s="263" t="s">
        <v>599</v>
      </c>
      <c r="F180" s="263"/>
      <c r="G180" s="263"/>
      <c r="H180" s="263"/>
      <c r="I180" s="263"/>
      <c r="J180" s="263"/>
      <c r="K180" s="263"/>
      <c r="L180" s="263"/>
      <c r="M180" s="263"/>
      <c r="N180" s="263"/>
      <c r="O180" s="263"/>
      <c r="P180" s="263"/>
      <c r="Q180" s="263"/>
      <c r="R180" s="263"/>
      <c r="S180" s="263"/>
      <c r="T180" s="263"/>
      <c r="U180" s="172"/>
      <c r="V180" s="221"/>
      <c r="W180" s="221"/>
      <c r="X180" s="221"/>
      <c r="Y180" s="162" t="s">
        <v>376</v>
      </c>
      <c r="Z180" s="268">
        <f>Z181</f>
        <v>850000</v>
      </c>
      <c r="AA180" s="268">
        <f>AA181</f>
        <v>200000</v>
      </c>
      <c r="AB180" s="268">
        <f>AB181</f>
        <v>100000</v>
      </c>
      <c r="AC180" s="228" t="s">
        <v>376</v>
      </c>
      <c r="AD180" s="227"/>
    </row>
    <row r="181" spans="1:30" ht="86.25" customHeight="1" x14ac:dyDescent="0.3">
      <c r="A181" s="139" t="s">
        <v>377</v>
      </c>
      <c r="B181" s="144" t="s">
        <v>15</v>
      </c>
      <c r="C181" s="144" t="s">
        <v>124</v>
      </c>
      <c r="D181" s="144" t="s">
        <v>123</v>
      </c>
      <c r="E181" s="263" t="s">
        <v>599</v>
      </c>
      <c r="F181" s="144"/>
      <c r="G181" s="144"/>
      <c r="H181" s="144"/>
      <c r="I181" s="144"/>
      <c r="J181" s="144"/>
      <c r="K181" s="144"/>
      <c r="L181" s="144"/>
      <c r="M181" s="144"/>
      <c r="N181" s="144"/>
      <c r="O181" s="144"/>
      <c r="P181" s="144"/>
      <c r="Q181" s="144"/>
      <c r="R181" s="144"/>
      <c r="S181" s="144"/>
      <c r="T181" s="144" t="s">
        <v>290</v>
      </c>
      <c r="U181" s="140"/>
      <c r="V181" s="141"/>
      <c r="W181" s="141"/>
      <c r="X181" s="141"/>
      <c r="Y181" s="139" t="s">
        <v>377</v>
      </c>
      <c r="Z181" s="230">
        <v>850000</v>
      </c>
      <c r="AA181" s="230">
        <v>200000</v>
      </c>
      <c r="AB181" s="230">
        <v>100000</v>
      </c>
      <c r="AC181" s="231" t="s">
        <v>377</v>
      </c>
      <c r="AD181" s="227"/>
    </row>
    <row r="182" spans="1:30" ht="91.5" hidden="1" customHeight="1" x14ac:dyDescent="0.3">
      <c r="A182" s="162" t="s">
        <v>1012</v>
      </c>
      <c r="B182" s="263" t="s">
        <v>15</v>
      </c>
      <c r="C182" s="263" t="s">
        <v>124</v>
      </c>
      <c r="D182" s="263" t="s">
        <v>123</v>
      </c>
      <c r="E182" s="263" t="s">
        <v>1011</v>
      </c>
      <c r="F182" s="263"/>
      <c r="G182" s="263"/>
      <c r="H182" s="263"/>
      <c r="I182" s="263"/>
      <c r="J182" s="263"/>
      <c r="K182" s="263"/>
      <c r="L182" s="263"/>
      <c r="M182" s="263"/>
      <c r="N182" s="263"/>
      <c r="O182" s="263"/>
      <c r="P182" s="263"/>
      <c r="Q182" s="263"/>
      <c r="R182" s="263"/>
      <c r="S182" s="263"/>
      <c r="T182" s="263"/>
      <c r="U182" s="172"/>
      <c r="V182" s="221"/>
      <c r="W182" s="221"/>
      <c r="X182" s="221"/>
      <c r="Y182" s="162" t="s">
        <v>378</v>
      </c>
      <c r="Z182" s="268">
        <f>Z183</f>
        <v>0</v>
      </c>
      <c r="AA182" s="268">
        <f>AA183</f>
        <v>0</v>
      </c>
      <c r="AB182" s="268">
        <f>AB183</f>
        <v>0</v>
      </c>
      <c r="AC182" s="228" t="s">
        <v>378</v>
      </c>
      <c r="AD182" s="227"/>
    </row>
    <row r="183" spans="1:30" ht="102.75" hidden="1" customHeight="1" x14ac:dyDescent="0.3">
      <c r="A183" s="139" t="s">
        <v>381</v>
      </c>
      <c r="B183" s="144" t="s">
        <v>15</v>
      </c>
      <c r="C183" s="144" t="s">
        <v>124</v>
      </c>
      <c r="D183" s="144" t="s">
        <v>123</v>
      </c>
      <c r="E183" s="263" t="s">
        <v>1011</v>
      </c>
      <c r="F183" s="144"/>
      <c r="G183" s="144"/>
      <c r="H183" s="144"/>
      <c r="I183" s="144"/>
      <c r="J183" s="144"/>
      <c r="K183" s="144"/>
      <c r="L183" s="144"/>
      <c r="M183" s="144"/>
      <c r="N183" s="144"/>
      <c r="O183" s="144"/>
      <c r="P183" s="144"/>
      <c r="Q183" s="144"/>
      <c r="R183" s="144"/>
      <c r="S183" s="144"/>
      <c r="T183" s="144" t="s">
        <v>290</v>
      </c>
      <c r="U183" s="140"/>
      <c r="V183" s="141"/>
      <c r="W183" s="141"/>
      <c r="X183" s="141"/>
      <c r="Y183" s="139" t="s">
        <v>379</v>
      </c>
      <c r="Z183" s="230">
        <v>0</v>
      </c>
      <c r="AA183" s="230">
        <v>0</v>
      </c>
      <c r="AB183" s="230">
        <v>0</v>
      </c>
      <c r="AC183" s="231" t="s">
        <v>379</v>
      </c>
      <c r="AD183" s="227"/>
    </row>
    <row r="184" spans="1:30" ht="102" hidden="1" customHeight="1" x14ac:dyDescent="0.3">
      <c r="A184" s="162" t="s">
        <v>923</v>
      </c>
      <c r="B184" s="263" t="s">
        <v>15</v>
      </c>
      <c r="C184" s="263" t="s">
        <v>124</v>
      </c>
      <c r="D184" s="263" t="s">
        <v>123</v>
      </c>
      <c r="E184" s="263" t="s">
        <v>847</v>
      </c>
      <c r="F184" s="263"/>
      <c r="G184" s="263"/>
      <c r="H184" s="263"/>
      <c r="I184" s="263"/>
      <c r="J184" s="263"/>
      <c r="K184" s="263"/>
      <c r="L184" s="263"/>
      <c r="M184" s="263"/>
      <c r="N184" s="263"/>
      <c r="O184" s="263"/>
      <c r="P184" s="263"/>
      <c r="Q184" s="263"/>
      <c r="R184" s="263"/>
      <c r="S184" s="263"/>
      <c r="T184" s="263"/>
      <c r="U184" s="172"/>
      <c r="V184" s="221"/>
      <c r="W184" s="221"/>
      <c r="X184" s="221"/>
      <c r="Y184" s="162" t="s">
        <v>380</v>
      </c>
      <c r="Z184" s="268">
        <f>Z185</f>
        <v>0</v>
      </c>
      <c r="AA184" s="268">
        <f>AA185</f>
        <v>0</v>
      </c>
      <c r="AB184" s="268">
        <f>AB185</f>
        <v>0</v>
      </c>
      <c r="AC184" s="228" t="s">
        <v>380</v>
      </c>
      <c r="AD184" s="227"/>
    </row>
    <row r="185" spans="1:30" ht="81.75" hidden="1" customHeight="1" x14ac:dyDescent="0.3">
      <c r="A185" s="139" t="s">
        <v>846</v>
      </c>
      <c r="B185" s="144" t="s">
        <v>15</v>
      </c>
      <c r="C185" s="144" t="s">
        <v>124</v>
      </c>
      <c r="D185" s="144" t="s">
        <v>123</v>
      </c>
      <c r="E185" s="263" t="s">
        <v>847</v>
      </c>
      <c r="F185" s="144"/>
      <c r="G185" s="144"/>
      <c r="H185" s="144"/>
      <c r="I185" s="144"/>
      <c r="J185" s="144"/>
      <c r="K185" s="144"/>
      <c r="L185" s="144"/>
      <c r="M185" s="144"/>
      <c r="N185" s="144"/>
      <c r="O185" s="144"/>
      <c r="P185" s="144"/>
      <c r="Q185" s="144"/>
      <c r="R185" s="144"/>
      <c r="S185" s="144"/>
      <c r="T185" s="144" t="s">
        <v>290</v>
      </c>
      <c r="U185" s="140"/>
      <c r="V185" s="141"/>
      <c r="W185" s="141"/>
      <c r="X185" s="141"/>
      <c r="Y185" s="139" t="s">
        <v>381</v>
      </c>
      <c r="Z185" s="230">
        <v>0</v>
      </c>
      <c r="AA185" s="230">
        <v>0</v>
      </c>
      <c r="AB185" s="230">
        <v>0</v>
      </c>
      <c r="AC185" s="231" t="s">
        <v>381</v>
      </c>
      <c r="AD185" s="227"/>
    </row>
    <row r="186" spans="1:30" ht="29.25" customHeight="1" x14ac:dyDescent="0.3">
      <c r="A186" s="170" t="s">
        <v>382</v>
      </c>
      <c r="B186" s="171" t="s">
        <v>15</v>
      </c>
      <c r="C186" s="171" t="s">
        <v>138</v>
      </c>
      <c r="D186" s="171" t="s">
        <v>133</v>
      </c>
      <c r="E186" s="171"/>
      <c r="F186" s="171"/>
      <c r="G186" s="171"/>
      <c r="H186" s="171"/>
      <c r="I186" s="171"/>
      <c r="J186" s="171"/>
      <c r="K186" s="171"/>
      <c r="L186" s="171"/>
      <c r="M186" s="171"/>
      <c r="N186" s="171"/>
      <c r="O186" s="171"/>
      <c r="P186" s="171"/>
      <c r="Q186" s="171"/>
      <c r="R186" s="171"/>
      <c r="S186" s="171"/>
      <c r="T186" s="171"/>
      <c r="U186" s="171"/>
      <c r="V186" s="240"/>
      <c r="W186" s="240"/>
      <c r="X186" s="240"/>
      <c r="Y186" s="170" t="s">
        <v>382</v>
      </c>
      <c r="Z186" s="241">
        <f>Z187+Z190+Z203</f>
        <v>610000</v>
      </c>
      <c r="AA186" s="241">
        <f>AA187+AA190+AA203</f>
        <v>233000</v>
      </c>
      <c r="AB186" s="241">
        <f>AB187+AB190+AB203</f>
        <v>253000</v>
      </c>
      <c r="AC186" s="226" t="s">
        <v>382</v>
      </c>
      <c r="AD186" s="227"/>
    </row>
    <row r="187" spans="1:30" ht="46.5" hidden="1" customHeight="1" x14ac:dyDescent="0.3">
      <c r="A187" s="170" t="s">
        <v>156</v>
      </c>
      <c r="B187" s="171" t="s">
        <v>15</v>
      </c>
      <c r="C187" s="171" t="s">
        <v>138</v>
      </c>
      <c r="D187" s="171" t="s">
        <v>132</v>
      </c>
      <c r="E187" s="171"/>
      <c r="F187" s="171"/>
      <c r="G187" s="171"/>
      <c r="H187" s="171"/>
      <c r="I187" s="171"/>
      <c r="J187" s="171"/>
      <c r="K187" s="171"/>
      <c r="L187" s="171"/>
      <c r="M187" s="171"/>
      <c r="N187" s="171"/>
      <c r="O187" s="171"/>
      <c r="P187" s="171"/>
      <c r="Q187" s="171"/>
      <c r="R187" s="171"/>
      <c r="S187" s="171"/>
      <c r="T187" s="171"/>
      <c r="U187" s="171"/>
      <c r="V187" s="240"/>
      <c r="W187" s="240"/>
      <c r="X187" s="240"/>
      <c r="Y187" s="170" t="s">
        <v>156</v>
      </c>
      <c r="Z187" s="241">
        <f t="shared" ref="Z187:AB188" si="9">Z188</f>
        <v>0</v>
      </c>
      <c r="AA187" s="241">
        <f t="shared" si="9"/>
        <v>0</v>
      </c>
      <c r="AB187" s="241">
        <f t="shared" si="9"/>
        <v>0</v>
      </c>
      <c r="AC187" s="226" t="s">
        <v>156</v>
      </c>
      <c r="AD187" s="227"/>
    </row>
    <row r="188" spans="1:30" ht="62.25" hidden="1" customHeight="1" x14ac:dyDescent="0.3">
      <c r="A188" s="162" t="s">
        <v>603</v>
      </c>
      <c r="B188" s="263" t="s">
        <v>15</v>
      </c>
      <c r="C188" s="263" t="s">
        <v>138</v>
      </c>
      <c r="D188" s="263" t="s">
        <v>132</v>
      </c>
      <c r="E188" s="263" t="s">
        <v>604</v>
      </c>
      <c r="F188" s="263"/>
      <c r="G188" s="263"/>
      <c r="H188" s="263"/>
      <c r="I188" s="263"/>
      <c r="J188" s="263"/>
      <c r="K188" s="263"/>
      <c r="L188" s="263"/>
      <c r="M188" s="263"/>
      <c r="N188" s="263"/>
      <c r="O188" s="263"/>
      <c r="P188" s="263"/>
      <c r="Q188" s="263"/>
      <c r="R188" s="263"/>
      <c r="S188" s="263"/>
      <c r="T188" s="263"/>
      <c r="U188" s="172"/>
      <c r="V188" s="221"/>
      <c r="W188" s="221"/>
      <c r="X188" s="221"/>
      <c r="Y188" s="162" t="s">
        <v>383</v>
      </c>
      <c r="Z188" s="268">
        <f t="shared" si="9"/>
        <v>0</v>
      </c>
      <c r="AA188" s="268">
        <f t="shared" si="9"/>
        <v>0</v>
      </c>
      <c r="AB188" s="268">
        <f t="shared" si="9"/>
        <v>0</v>
      </c>
      <c r="AC188" s="228" t="s">
        <v>383</v>
      </c>
      <c r="AD188" s="227"/>
    </row>
    <row r="189" spans="1:30" ht="97.5" hidden="1" customHeight="1" x14ac:dyDescent="0.3">
      <c r="A189" s="139" t="s">
        <v>384</v>
      </c>
      <c r="B189" s="144" t="s">
        <v>15</v>
      </c>
      <c r="C189" s="144" t="s">
        <v>138</v>
      </c>
      <c r="D189" s="144" t="s">
        <v>132</v>
      </c>
      <c r="E189" s="263" t="s">
        <v>604</v>
      </c>
      <c r="F189" s="144"/>
      <c r="G189" s="144"/>
      <c r="H189" s="144"/>
      <c r="I189" s="144"/>
      <c r="J189" s="144"/>
      <c r="K189" s="144"/>
      <c r="L189" s="144"/>
      <c r="M189" s="144"/>
      <c r="N189" s="144"/>
      <c r="O189" s="144"/>
      <c r="P189" s="144"/>
      <c r="Q189" s="144"/>
      <c r="R189" s="144"/>
      <c r="S189" s="144"/>
      <c r="T189" s="144" t="s">
        <v>290</v>
      </c>
      <c r="U189" s="140"/>
      <c r="V189" s="141"/>
      <c r="W189" s="141"/>
      <c r="X189" s="141"/>
      <c r="Y189" s="139" t="s">
        <v>384</v>
      </c>
      <c r="Z189" s="230">
        <v>0</v>
      </c>
      <c r="AA189" s="230">
        <v>0</v>
      </c>
      <c r="AB189" s="230">
        <v>0</v>
      </c>
      <c r="AC189" s="231" t="s">
        <v>384</v>
      </c>
      <c r="AD189" s="227"/>
    </row>
    <row r="190" spans="1:30" ht="37.15" customHeight="1" x14ac:dyDescent="0.3">
      <c r="A190" s="170" t="s">
        <v>794</v>
      </c>
      <c r="B190" s="171" t="s">
        <v>15</v>
      </c>
      <c r="C190" s="171" t="s">
        <v>138</v>
      </c>
      <c r="D190" s="171" t="s">
        <v>138</v>
      </c>
      <c r="E190" s="171"/>
      <c r="F190" s="171"/>
      <c r="G190" s="171"/>
      <c r="H190" s="171"/>
      <c r="I190" s="171"/>
      <c r="J190" s="171"/>
      <c r="K190" s="171"/>
      <c r="L190" s="171"/>
      <c r="M190" s="171"/>
      <c r="N190" s="171"/>
      <c r="O190" s="171"/>
      <c r="P190" s="171"/>
      <c r="Q190" s="171"/>
      <c r="R190" s="171"/>
      <c r="S190" s="171"/>
      <c r="T190" s="171"/>
      <c r="U190" s="171"/>
      <c r="V190" s="240"/>
      <c r="W190" s="240"/>
      <c r="X190" s="240"/>
      <c r="Y190" s="170" t="s">
        <v>157</v>
      </c>
      <c r="Z190" s="241">
        <f>Z191+Z193+Z195+Z197+Z201+Z199</f>
        <v>610000</v>
      </c>
      <c r="AA190" s="241">
        <f>AA191+AA193+AA195+AA197+AA201+AA199</f>
        <v>233000</v>
      </c>
      <c r="AB190" s="241">
        <f>AB191+AB193+AB195+AB197+AB201+AB199</f>
        <v>253000</v>
      </c>
      <c r="AC190" s="226" t="s">
        <v>157</v>
      </c>
      <c r="AD190" s="227"/>
    </row>
    <row r="191" spans="1:30" ht="130.5" customHeight="1" x14ac:dyDescent="0.3">
      <c r="A191" s="162" t="s">
        <v>605</v>
      </c>
      <c r="B191" s="263" t="s">
        <v>15</v>
      </c>
      <c r="C191" s="263" t="s">
        <v>138</v>
      </c>
      <c r="D191" s="263" t="s">
        <v>138</v>
      </c>
      <c r="E191" s="263" t="s">
        <v>606</v>
      </c>
      <c r="F191" s="263"/>
      <c r="G191" s="263"/>
      <c r="H191" s="263"/>
      <c r="I191" s="263"/>
      <c r="J191" s="263"/>
      <c r="K191" s="263"/>
      <c r="L191" s="263"/>
      <c r="M191" s="263"/>
      <c r="N191" s="263"/>
      <c r="O191" s="263"/>
      <c r="P191" s="263"/>
      <c r="Q191" s="263"/>
      <c r="R191" s="263"/>
      <c r="S191" s="263"/>
      <c r="T191" s="263"/>
      <c r="U191" s="172"/>
      <c r="V191" s="221"/>
      <c r="W191" s="221"/>
      <c r="X191" s="221"/>
      <c r="Y191" s="162" t="s">
        <v>385</v>
      </c>
      <c r="Z191" s="268">
        <f>Z192</f>
        <v>70000</v>
      </c>
      <c r="AA191" s="268">
        <f>AA192</f>
        <v>50000</v>
      </c>
      <c r="AB191" s="268">
        <f>AB192</f>
        <v>50000</v>
      </c>
      <c r="AC191" s="228" t="s">
        <v>385</v>
      </c>
      <c r="AD191" s="227"/>
    </row>
    <row r="192" spans="1:30" ht="111.75" customHeight="1" x14ac:dyDescent="0.3">
      <c r="A192" s="139" t="s">
        <v>386</v>
      </c>
      <c r="B192" s="144" t="s">
        <v>15</v>
      </c>
      <c r="C192" s="144" t="s">
        <v>138</v>
      </c>
      <c r="D192" s="144" t="s">
        <v>138</v>
      </c>
      <c r="E192" s="263" t="s">
        <v>606</v>
      </c>
      <c r="F192" s="144"/>
      <c r="G192" s="144"/>
      <c r="H192" s="144"/>
      <c r="I192" s="144"/>
      <c r="J192" s="144"/>
      <c r="K192" s="144"/>
      <c r="L192" s="144"/>
      <c r="M192" s="144"/>
      <c r="N192" s="144"/>
      <c r="O192" s="144"/>
      <c r="P192" s="144"/>
      <c r="Q192" s="144"/>
      <c r="R192" s="144"/>
      <c r="S192" s="144"/>
      <c r="T192" s="144" t="s">
        <v>290</v>
      </c>
      <c r="U192" s="140"/>
      <c r="V192" s="141"/>
      <c r="W192" s="141"/>
      <c r="X192" s="141"/>
      <c r="Y192" s="139" t="s">
        <v>386</v>
      </c>
      <c r="Z192" s="230">
        <v>70000</v>
      </c>
      <c r="AA192" s="230">
        <v>50000</v>
      </c>
      <c r="AB192" s="230">
        <v>50000</v>
      </c>
      <c r="AC192" s="231" t="s">
        <v>386</v>
      </c>
      <c r="AD192" s="227"/>
    </row>
    <row r="193" spans="1:30" ht="207" customHeight="1" x14ac:dyDescent="0.3">
      <c r="A193" s="162" t="s">
        <v>607</v>
      </c>
      <c r="B193" s="263" t="s">
        <v>15</v>
      </c>
      <c r="C193" s="263" t="s">
        <v>138</v>
      </c>
      <c r="D193" s="263" t="s">
        <v>138</v>
      </c>
      <c r="E193" s="263" t="s">
        <v>608</v>
      </c>
      <c r="F193" s="263"/>
      <c r="G193" s="263"/>
      <c r="H193" s="263"/>
      <c r="I193" s="263"/>
      <c r="J193" s="263"/>
      <c r="K193" s="263"/>
      <c r="L193" s="263"/>
      <c r="M193" s="263"/>
      <c r="N193" s="263"/>
      <c r="O193" s="263"/>
      <c r="P193" s="263"/>
      <c r="Q193" s="263"/>
      <c r="R193" s="263"/>
      <c r="S193" s="263"/>
      <c r="T193" s="263"/>
      <c r="U193" s="172"/>
      <c r="V193" s="221"/>
      <c r="W193" s="221"/>
      <c r="X193" s="221"/>
      <c r="Y193" s="162" t="s">
        <v>387</v>
      </c>
      <c r="Z193" s="268">
        <f>Z194</f>
        <v>50000</v>
      </c>
      <c r="AA193" s="268">
        <f>AA194</f>
        <v>50000</v>
      </c>
      <c r="AB193" s="268">
        <f>AB194</f>
        <v>50000</v>
      </c>
      <c r="AC193" s="228" t="s">
        <v>387</v>
      </c>
      <c r="AD193" s="227"/>
    </row>
    <row r="194" spans="1:30" ht="130.5" customHeight="1" x14ac:dyDescent="0.3">
      <c r="A194" s="139" t="s">
        <v>831</v>
      </c>
      <c r="B194" s="144" t="s">
        <v>15</v>
      </c>
      <c r="C194" s="144" t="s">
        <v>138</v>
      </c>
      <c r="D194" s="144" t="s">
        <v>138</v>
      </c>
      <c r="E194" s="263" t="s">
        <v>608</v>
      </c>
      <c r="F194" s="144"/>
      <c r="G194" s="144"/>
      <c r="H194" s="144"/>
      <c r="I194" s="144"/>
      <c r="J194" s="144"/>
      <c r="K194" s="144"/>
      <c r="L194" s="144"/>
      <c r="M194" s="144"/>
      <c r="N194" s="144"/>
      <c r="O194" s="144"/>
      <c r="P194" s="144"/>
      <c r="Q194" s="144"/>
      <c r="R194" s="144"/>
      <c r="S194" s="144"/>
      <c r="T194" s="144" t="s">
        <v>290</v>
      </c>
      <c r="U194" s="140"/>
      <c r="V194" s="141"/>
      <c r="W194" s="141"/>
      <c r="X194" s="141"/>
      <c r="Y194" s="139" t="s">
        <v>388</v>
      </c>
      <c r="Z194" s="230">
        <v>50000</v>
      </c>
      <c r="AA194" s="230">
        <v>50000</v>
      </c>
      <c r="AB194" s="230">
        <v>50000</v>
      </c>
      <c r="AC194" s="231" t="s">
        <v>388</v>
      </c>
      <c r="AD194" s="227"/>
    </row>
    <row r="195" spans="1:30" ht="192.75" customHeight="1" x14ac:dyDescent="0.3">
      <c r="A195" s="162" t="s">
        <v>609</v>
      </c>
      <c r="B195" s="263" t="s">
        <v>15</v>
      </c>
      <c r="C195" s="263" t="s">
        <v>138</v>
      </c>
      <c r="D195" s="263" t="s">
        <v>138</v>
      </c>
      <c r="E195" s="263" t="s">
        <v>610</v>
      </c>
      <c r="F195" s="263"/>
      <c r="G195" s="263"/>
      <c r="H195" s="263"/>
      <c r="I195" s="263"/>
      <c r="J195" s="263"/>
      <c r="K195" s="263"/>
      <c r="L195" s="263"/>
      <c r="M195" s="263"/>
      <c r="N195" s="263"/>
      <c r="O195" s="263"/>
      <c r="P195" s="263"/>
      <c r="Q195" s="263"/>
      <c r="R195" s="263"/>
      <c r="S195" s="263"/>
      <c r="T195" s="263"/>
      <c r="U195" s="172"/>
      <c r="V195" s="221"/>
      <c r="W195" s="221"/>
      <c r="X195" s="221"/>
      <c r="Y195" s="162" t="s">
        <v>389</v>
      </c>
      <c r="Z195" s="268">
        <f>Z196</f>
        <v>100000</v>
      </c>
      <c r="AA195" s="268">
        <f>AA196</f>
        <v>53000</v>
      </c>
      <c r="AB195" s="268">
        <f>AB196</f>
        <v>53000</v>
      </c>
      <c r="AC195" s="228" t="s">
        <v>389</v>
      </c>
      <c r="AD195" s="227"/>
    </row>
    <row r="196" spans="1:30" ht="93" customHeight="1" x14ac:dyDescent="0.3">
      <c r="A196" s="139" t="s">
        <v>390</v>
      </c>
      <c r="B196" s="144" t="s">
        <v>15</v>
      </c>
      <c r="C196" s="144" t="s">
        <v>138</v>
      </c>
      <c r="D196" s="144" t="s">
        <v>138</v>
      </c>
      <c r="E196" s="263" t="s">
        <v>610</v>
      </c>
      <c r="F196" s="144"/>
      <c r="G196" s="144"/>
      <c r="H196" s="144"/>
      <c r="I196" s="144"/>
      <c r="J196" s="144"/>
      <c r="K196" s="144"/>
      <c r="L196" s="144"/>
      <c r="M196" s="144"/>
      <c r="N196" s="144"/>
      <c r="O196" s="144"/>
      <c r="P196" s="144"/>
      <c r="Q196" s="144"/>
      <c r="R196" s="144"/>
      <c r="S196" s="144"/>
      <c r="T196" s="144" t="s">
        <v>290</v>
      </c>
      <c r="U196" s="140"/>
      <c r="V196" s="141"/>
      <c r="W196" s="141"/>
      <c r="X196" s="141"/>
      <c r="Y196" s="139" t="s">
        <v>390</v>
      </c>
      <c r="Z196" s="230">
        <v>100000</v>
      </c>
      <c r="AA196" s="230">
        <v>53000</v>
      </c>
      <c r="AB196" s="230">
        <v>53000</v>
      </c>
      <c r="AC196" s="231" t="s">
        <v>390</v>
      </c>
      <c r="AD196" s="227"/>
    </row>
    <row r="197" spans="1:30" ht="213" customHeight="1" x14ac:dyDescent="0.3">
      <c r="A197" s="162" t="s">
        <v>611</v>
      </c>
      <c r="B197" s="144" t="s">
        <v>15</v>
      </c>
      <c r="C197" s="144" t="s">
        <v>138</v>
      </c>
      <c r="D197" s="144" t="s">
        <v>138</v>
      </c>
      <c r="E197" s="263" t="s">
        <v>612</v>
      </c>
      <c r="F197" s="144"/>
      <c r="G197" s="144"/>
      <c r="H197" s="144"/>
      <c r="I197" s="144"/>
      <c r="J197" s="144"/>
      <c r="K197" s="144"/>
      <c r="L197" s="144"/>
      <c r="M197" s="144"/>
      <c r="N197" s="144"/>
      <c r="O197" s="144"/>
      <c r="P197" s="144"/>
      <c r="Q197" s="144"/>
      <c r="R197" s="144"/>
      <c r="S197" s="144"/>
      <c r="T197" s="144"/>
      <c r="U197" s="140"/>
      <c r="V197" s="141"/>
      <c r="W197" s="141"/>
      <c r="X197" s="141"/>
      <c r="Y197" s="139"/>
      <c r="Z197" s="230">
        <f>Z198</f>
        <v>70000</v>
      </c>
      <c r="AA197" s="230">
        <f>AA198</f>
        <v>30000</v>
      </c>
      <c r="AB197" s="230">
        <f>AB198</f>
        <v>50000</v>
      </c>
      <c r="AC197" s="231"/>
      <c r="AD197" s="227"/>
    </row>
    <row r="198" spans="1:30" ht="114.75" customHeight="1" x14ac:dyDescent="0.3">
      <c r="A198" s="139" t="s">
        <v>832</v>
      </c>
      <c r="B198" s="144" t="s">
        <v>15</v>
      </c>
      <c r="C198" s="144" t="s">
        <v>138</v>
      </c>
      <c r="D198" s="144" t="s">
        <v>138</v>
      </c>
      <c r="E198" s="263" t="s">
        <v>612</v>
      </c>
      <c r="F198" s="144"/>
      <c r="G198" s="144"/>
      <c r="H198" s="144"/>
      <c r="I198" s="144"/>
      <c r="J198" s="144"/>
      <c r="K198" s="144"/>
      <c r="L198" s="144"/>
      <c r="M198" s="144"/>
      <c r="N198" s="144"/>
      <c r="O198" s="144"/>
      <c r="P198" s="144"/>
      <c r="Q198" s="144"/>
      <c r="R198" s="144"/>
      <c r="S198" s="144"/>
      <c r="T198" s="144" t="s">
        <v>290</v>
      </c>
      <c r="U198" s="140"/>
      <c r="V198" s="141"/>
      <c r="W198" s="141"/>
      <c r="X198" s="141"/>
      <c r="Y198" s="139"/>
      <c r="Z198" s="230">
        <v>70000</v>
      </c>
      <c r="AA198" s="230">
        <v>30000</v>
      </c>
      <c r="AB198" s="230">
        <v>50000</v>
      </c>
      <c r="AC198" s="231"/>
      <c r="AD198" s="227"/>
    </row>
    <row r="199" spans="1:30" ht="196.5" customHeight="1" x14ac:dyDescent="0.3">
      <c r="A199" s="162" t="s">
        <v>1020</v>
      </c>
      <c r="B199" s="144" t="s">
        <v>15</v>
      </c>
      <c r="C199" s="144" t="s">
        <v>138</v>
      </c>
      <c r="D199" s="144" t="s">
        <v>138</v>
      </c>
      <c r="E199" s="263" t="s">
        <v>1022</v>
      </c>
      <c r="F199" s="144"/>
      <c r="G199" s="144"/>
      <c r="H199" s="144"/>
      <c r="I199" s="144"/>
      <c r="J199" s="144"/>
      <c r="K199" s="144"/>
      <c r="L199" s="144"/>
      <c r="M199" s="144"/>
      <c r="N199" s="144"/>
      <c r="O199" s="144"/>
      <c r="P199" s="144"/>
      <c r="Q199" s="144"/>
      <c r="R199" s="144"/>
      <c r="S199" s="144"/>
      <c r="T199" s="144"/>
      <c r="U199" s="140"/>
      <c r="V199" s="141"/>
      <c r="W199" s="141"/>
      <c r="X199" s="141"/>
      <c r="Y199" s="139"/>
      <c r="Z199" s="230">
        <f>Z200</f>
        <v>20000</v>
      </c>
      <c r="AA199" s="230">
        <v>0</v>
      </c>
      <c r="AB199" s="230">
        <v>0</v>
      </c>
      <c r="AC199" s="231"/>
      <c r="AD199" s="227"/>
    </row>
    <row r="200" spans="1:30" ht="99.75" customHeight="1" x14ac:dyDescent="0.3">
      <c r="A200" s="139" t="s">
        <v>1021</v>
      </c>
      <c r="B200" s="144" t="s">
        <v>15</v>
      </c>
      <c r="C200" s="144" t="s">
        <v>138</v>
      </c>
      <c r="D200" s="144" t="s">
        <v>138</v>
      </c>
      <c r="E200" s="263" t="s">
        <v>1022</v>
      </c>
      <c r="F200" s="144"/>
      <c r="G200" s="144"/>
      <c r="H200" s="144"/>
      <c r="I200" s="144"/>
      <c r="J200" s="144"/>
      <c r="K200" s="144"/>
      <c r="L200" s="144"/>
      <c r="M200" s="144"/>
      <c r="N200" s="144"/>
      <c r="O200" s="144"/>
      <c r="P200" s="144"/>
      <c r="Q200" s="144"/>
      <c r="R200" s="144"/>
      <c r="S200" s="144"/>
      <c r="T200" s="144" t="s">
        <v>290</v>
      </c>
      <c r="U200" s="140"/>
      <c r="V200" s="141"/>
      <c r="W200" s="141"/>
      <c r="X200" s="141"/>
      <c r="Y200" s="139"/>
      <c r="Z200" s="230">
        <v>20000</v>
      </c>
      <c r="AA200" s="230">
        <v>0</v>
      </c>
      <c r="AB200" s="230">
        <v>0</v>
      </c>
      <c r="AC200" s="231"/>
      <c r="AD200" s="227"/>
    </row>
    <row r="201" spans="1:30" ht="129" customHeight="1" x14ac:dyDescent="0.3">
      <c r="A201" s="162" t="s">
        <v>613</v>
      </c>
      <c r="B201" s="263" t="s">
        <v>15</v>
      </c>
      <c r="C201" s="263" t="s">
        <v>138</v>
      </c>
      <c r="D201" s="263" t="s">
        <v>138</v>
      </c>
      <c r="E201" s="263" t="s">
        <v>614</v>
      </c>
      <c r="F201" s="263"/>
      <c r="G201" s="263"/>
      <c r="H201" s="263"/>
      <c r="I201" s="263"/>
      <c r="J201" s="263"/>
      <c r="K201" s="263"/>
      <c r="L201" s="263"/>
      <c r="M201" s="263"/>
      <c r="N201" s="263"/>
      <c r="O201" s="263"/>
      <c r="P201" s="263"/>
      <c r="Q201" s="263"/>
      <c r="R201" s="263"/>
      <c r="S201" s="263"/>
      <c r="T201" s="263"/>
      <c r="U201" s="172"/>
      <c r="V201" s="221"/>
      <c r="W201" s="221"/>
      <c r="X201" s="221"/>
      <c r="Y201" s="162" t="s">
        <v>391</v>
      </c>
      <c r="Z201" s="268">
        <f>Z202</f>
        <v>300000</v>
      </c>
      <c r="AA201" s="268">
        <f>AA202</f>
        <v>50000</v>
      </c>
      <c r="AB201" s="268">
        <f>AB202</f>
        <v>50000</v>
      </c>
      <c r="AC201" s="228" t="s">
        <v>391</v>
      </c>
      <c r="AD201" s="227"/>
    </row>
    <row r="202" spans="1:30" ht="109.5" customHeight="1" x14ac:dyDescent="0.3">
      <c r="A202" s="139" t="s">
        <v>392</v>
      </c>
      <c r="B202" s="144" t="s">
        <v>15</v>
      </c>
      <c r="C202" s="144" t="s">
        <v>138</v>
      </c>
      <c r="D202" s="144" t="s">
        <v>138</v>
      </c>
      <c r="E202" s="263" t="s">
        <v>614</v>
      </c>
      <c r="F202" s="144"/>
      <c r="G202" s="144"/>
      <c r="H202" s="144"/>
      <c r="I202" s="144"/>
      <c r="J202" s="144"/>
      <c r="K202" s="144"/>
      <c r="L202" s="144"/>
      <c r="M202" s="144"/>
      <c r="N202" s="144"/>
      <c r="O202" s="144"/>
      <c r="P202" s="144"/>
      <c r="Q202" s="144"/>
      <c r="R202" s="144"/>
      <c r="S202" s="144"/>
      <c r="T202" s="144" t="s">
        <v>290</v>
      </c>
      <c r="U202" s="140"/>
      <c r="V202" s="141"/>
      <c r="W202" s="141"/>
      <c r="X202" s="141"/>
      <c r="Y202" s="139" t="s">
        <v>392</v>
      </c>
      <c r="Z202" s="230">
        <f>50000+250000</f>
        <v>300000</v>
      </c>
      <c r="AA202" s="230">
        <v>50000</v>
      </c>
      <c r="AB202" s="230">
        <v>50000</v>
      </c>
      <c r="AC202" s="231" t="s">
        <v>392</v>
      </c>
      <c r="AD202" s="227"/>
    </row>
    <row r="203" spans="1:30" ht="112.5" hidden="1" customHeight="1" x14ac:dyDescent="0.3">
      <c r="A203" s="170"/>
      <c r="B203" s="171"/>
      <c r="C203" s="171"/>
      <c r="D203" s="171"/>
      <c r="E203" s="171"/>
      <c r="F203" s="171"/>
      <c r="G203" s="171"/>
      <c r="H203" s="171"/>
      <c r="I203" s="171"/>
      <c r="J203" s="171"/>
      <c r="K203" s="171"/>
      <c r="L203" s="171"/>
      <c r="M203" s="171"/>
      <c r="N203" s="171"/>
      <c r="O203" s="171"/>
      <c r="P203" s="171"/>
      <c r="Q203" s="171"/>
      <c r="R203" s="171"/>
      <c r="S203" s="171"/>
      <c r="T203" s="171"/>
      <c r="U203" s="171"/>
      <c r="V203" s="240"/>
      <c r="W203" s="240"/>
      <c r="X203" s="240"/>
      <c r="Y203" s="170"/>
      <c r="Z203" s="241"/>
      <c r="AA203" s="241"/>
      <c r="AB203" s="241"/>
      <c r="AC203" s="226" t="s">
        <v>158</v>
      </c>
      <c r="AD203" s="227"/>
    </row>
    <row r="204" spans="1:30" ht="112.5" hidden="1" customHeight="1" x14ac:dyDescent="0.3">
      <c r="A204" s="162"/>
      <c r="B204" s="263"/>
      <c r="C204" s="263"/>
      <c r="D204" s="263"/>
      <c r="E204" s="263"/>
      <c r="F204" s="263"/>
      <c r="G204" s="263"/>
      <c r="H204" s="263"/>
      <c r="I204" s="263"/>
      <c r="J204" s="263"/>
      <c r="K204" s="263"/>
      <c r="L204" s="263"/>
      <c r="M204" s="263"/>
      <c r="N204" s="263"/>
      <c r="O204" s="263"/>
      <c r="P204" s="263"/>
      <c r="Q204" s="263"/>
      <c r="R204" s="263"/>
      <c r="S204" s="263"/>
      <c r="T204" s="263"/>
      <c r="U204" s="263"/>
      <c r="V204" s="320"/>
      <c r="W204" s="320"/>
      <c r="X204" s="320"/>
      <c r="Y204" s="306"/>
      <c r="Z204" s="321"/>
      <c r="AA204" s="319"/>
      <c r="AB204" s="268"/>
      <c r="AC204" s="228" t="s">
        <v>235</v>
      </c>
      <c r="AD204" s="227"/>
    </row>
    <row r="205" spans="1:30" ht="112.5" hidden="1" customHeight="1" x14ac:dyDescent="0.3">
      <c r="A205" s="164"/>
      <c r="B205" s="144"/>
      <c r="C205" s="144"/>
      <c r="D205" s="144"/>
      <c r="E205" s="263"/>
      <c r="F205" s="144"/>
      <c r="G205" s="144"/>
      <c r="H205" s="144"/>
      <c r="I205" s="144"/>
      <c r="J205" s="144"/>
      <c r="K205" s="144"/>
      <c r="L205" s="144"/>
      <c r="M205" s="144"/>
      <c r="N205" s="144"/>
      <c r="O205" s="144"/>
      <c r="P205" s="144"/>
      <c r="Q205" s="144"/>
      <c r="R205" s="144"/>
      <c r="S205" s="144"/>
      <c r="T205" s="144"/>
      <c r="U205" s="144"/>
      <c r="V205" s="145"/>
      <c r="W205" s="145"/>
      <c r="X205" s="145"/>
      <c r="Y205" s="146"/>
      <c r="Z205" s="147"/>
      <c r="AA205" s="148"/>
      <c r="AB205" s="230"/>
      <c r="AC205" s="229" t="s">
        <v>393</v>
      </c>
      <c r="AD205" s="227"/>
    </row>
    <row r="206" spans="1:30" ht="112.5" hidden="1" customHeight="1" x14ac:dyDescent="0.3">
      <c r="A206" s="164"/>
      <c r="B206" s="144"/>
      <c r="C206" s="144"/>
      <c r="D206" s="144"/>
      <c r="E206" s="263"/>
      <c r="F206" s="144"/>
      <c r="G206" s="144"/>
      <c r="H206" s="144"/>
      <c r="I206" s="144"/>
      <c r="J206" s="144"/>
      <c r="K206" s="144"/>
      <c r="L206" s="144"/>
      <c r="M206" s="144"/>
      <c r="N206" s="144"/>
      <c r="O206" s="144"/>
      <c r="P206" s="144"/>
      <c r="Q206" s="144"/>
      <c r="R206" s="144"/>
      <c r="S206" s="144"/>
      <c r="T206" s="144"/>
      <c r="U206" s="144"/>
      <c r="V206" s="145"/>
      <c r="W206" s="145"/>
      <c r="X206" s="145"/>
      <c r="Y206" s="146"/>
      <c r="Z206" s="147"/>
      <c r="AA206" s="148"/>
      <c r="AB206" s="230"/>
      <c r="AC206" s="229" t="s">
        <v>394</v>
      </c>
      <c r="AD206" s="227"/>
    </row>
    <row r="207" spans="1:30" ht="35.25" customHeight="1" x14ac:dyDescent="0.3">
      <c r="A207" s="170" t="s">
        <v>395</v>
      </c>
      <c r="B207" s="171" t="s">
        <v>15</v>
      </c>
      <c r="C207" s="171" t="s">
        <v>126</v>
      </c>
      <c r="D207" s="171" t="s">
        <v>133</v>
      </c>
      <c r="E207" s="171"/>
      <c r="F207" s="171"/>
      <c r="G207" s="171"/>
      <c r="H207" s="171"/>
      <c r="I207" s="171"/>
      <c r="J207" s="171"/>
      <c r="K207" s="171"/>
      <c r="L207" s="171"/>
      <c r="M207" s="171"/>
      <c r="N207" s="171"/>
      <c r="O207" s="171"/>
      <c r="P207" s="171"/>
      <c r="Q207" s="171"/>
      <c r="R207" s="171"/>
      <c r="S207" s="171"/>
      <c r="T207" s="171"/>
      <c r="U207" s="171"/>
      <c r="V207" s="240"/>
      <c r="W207" s="240"/>
      <c r="X207" s="240"/>
      <c r="Y207" s="170" t="s">
        <v>395</v>
      </c>
      <c r="Z207" s="241">
        <f>Z208</f>
        <v>950000</v>
      </c>
      <c r="AA207" s="241">
        <f>AA208</f>
        <v>1000000</v>
      </c>
      <c r="AB207" s="241">
        <f>AB208</f>
        <v>250000</v>
      </c>
      <c r="AC207" s="226" t="s">
        <v>395</v>
      </c>
      <c r="AD207" s="227"/>
    </row>
    <row r="208" spans="1:30" ht="24" customHeight="1" x14ac:dyDescent="0.3">
      <c r="A208" s="170" t="s">
        <v>159</v>
      </c>
      <c r="B208" s="171" t="s">
        <v>15</v>
      </c>
      <c r="C208" s="171" t="s">
        <v>126</v>
      </c>
      <c r="D208" s="171" t="s">
        <v>122</v>
      </c>
      <c r="E208" s="171"/>
      <c r="F208" s="171"/>
      <c r="G208" s="171"/>
      <c r="H208" s="171"/>
      <c r="I208" s="171"/>
      <c r="J208" s="171"/>
      <c r="K208" s="171"/>
      <c r="L208" s="171"/>
      <c r="M208" s="171"/>
      <c r="N208" s="171"/>
      <c r="O208" s="171"/>
      <c r="P208" s="171"/>
      <c r="Q208" s="171"/>
      <c r="R208" s="171"/>
      <c r="S208" s="171"/>
      <c r="T208" s="171"/>
      <c r="U208" s="171"/>
      <c r="V208" s="240"/>
      <c r="W208" s="240"/>
      <c r="X208" s="240"/>
      <c r="Y208" s="170" t="s">
        <v>159</v>
      </c>
      <c r="Z208" s="241">
        <f>Z209+Z211+Z213+Z215+Z217</f>
        <v>950000</v>
      </c>
      <c r="AA208" s="241">
        <f>AA209+AA211+AA213+AA215+AA217</f>
        <v>1000000</v>
      </c>
      <c r="AB208" s="241">
        <f>AB209+AB211+AB213+AB215+AB217</f>
        <v>250000</v>
      </c>
      <c r="AC208" s="226" t="s">
        <v>159</v>
      </c>
      <c r="AD208" s="227"/>
    </row>
    <row r="209" spans="1:30" ht="78.75" hidden="1" customHeight="1" x14ac:dyDescent="0.3">
      <c r="A209" s="162" t="s">
        <v>615</v>
      </c>
      <c r="B209" s="263" t="s">
        <v>15</v>
      </c>
      <c r="C209" s="263" t="s">
        <v>126</v>
      </c>
      <c r="D209" s="263" t="s">
        <v>122</v>
      </c>
      <c r="E209" s="263" t="s">
        <v>616</v>
      </c>
      <c r="F209" s="263"/>
      <c r="G209" s="263"/>
      <c r="H209" s="263"/>
      <c r="I209" s="263"/>
      <c r="J209" s="263"/>
      <c r="K209" s="263"/>
      <c r="L209" s="263"/>
      <c r="M209" s="263"/>
      <c r="N209" s="263"/>
      <c r="O209" s="263"/>
      <c r="P209" s="263"/>
      <c r="Q209" s="263"/>
      <c r="R209" s="263"/>
      <c r="S209" s="263"/>
      <c r="T209" s="263"/>
      <c r="U209" s="172"/>
      <c r="V209" s="221"/>
      <c r="W209" s="221"/>
      <c r="X209" s="221"/>
      <c r="Y209" s="162" t="s">
        <v>396</v>
      </c>
      <c r="Z209" s="268">
        <f>Z210</f>
        <v>0</v>
      </c>
      <c r="AA209" s="268">
        <f>AA210</f>
        <v>0</v>
      </c>
      <c r="AB209" s="268">
        <f>AB210</f>
        <v>0</v>
      </c>
      <c r="AC209" s="228" t="s">
        <v>396</v>
      </c>
      <c r="AD209" s="227"/>
    </row>
    <row r="210" spans="1:30" ht="85.5" hidden="1" customHeight="1" x14ac:dyDescent="0.3">
      <c r="A210" s="139" t="s">
        <v>397</v>
      </c>
      <c r="B210" s="144" t="s">
        <v>15</v>
      </c>
      <c r="C210" s="144" t="s">
        <v>126</v>
      </c>
      <c r="D210" s="144" t="s">
        <v>122</v>
      </c>
      <c r="E210" s="263" t="s">
        <v>616</v>
      </c>
      <c r="F210" s="144"/>
      <c r="G210" s="144"/>
      <c r="H210" s="144"/>
      <c r="I210" s="144"/>
      <c r="J210" s="144"/>
      <c r="K210" s="144"/>
      <c r="L210" s="144"/>
      <c r="M210" s="144"/>
      <c r="N210" s="144"/>
      <c r="O210" s="144"/>
      <c r="P210" s="144"/>
      <c r="Q210" s="144"/>
      <c r="R210" s="144"/>
      <c r="S210" s="144"/>
      <c r="T210" s="144" t="s">
        <v>290</v>
      </c>
      <c r="U210" s="140"/>
      <c r="V210" s="141"/>
      <c r="W210" s="141"/>
      <c r="X210" s="141"/>
      <c r="Y210" s="139" t="s">
        <v>397</v>
      </c>
      <c r="Z210" s="230">
        <v>0</v>
      </c>
      <c r="AA210" s="230">
        <v>0</v>
      </c>
      <c r="AB210" s="230">
        <v>0</v>
      </c>
      <c r="AC210" s="231" t="s">
        <v>397</v>
      </c>
      <c r="AD210" s="227"/>
    </row>
    <row r="211" spans="1:30" ht="130.5" customHeight="1" x14ac:dyDescent="0.3">
      <c r="A211" s="162" t="s">
        <v>617</v>
      </c>
      <c r="B211" s="263" t="s">
        <v>15</v>
      </c>
      <c r="C211" s="263" t="s">
        <v>126</v>
      </c>
      <c r="D211" s="263" t="s">
        <v>122</v>
      </c>
      <c r="E211" s="263" t="s">
        <v>618</v>
      </c>
      <c r="F211" s="263"/>
      <c r="G211" s="263"/>
      <c r="H211" s="263"/>
      <c r="I211" s="263"/>
      <c r="J211" s="263"/>
      <c r="K211" s="263"/>
      <c r="L211" s="263"/>
      <c r="M211" s="263"/>
      <c r="N211" s="263"/>
      <c r="O211" s="263"/>
      <c r="P211" s="263"/>
      <c r="Q211" s="263"/>
      <c r="R211" s="263"/>
      <c r="S211" s="263"/>
      <c r="T211" s="263"/>
      <c r="U211" s="172"/>
      <c r="V211" s="221"/>
      <c r="W211" s="221"/>
      <c r="X211" s="221"/>
      <c r="Y211" s="162" t="s">
        <v>396</v>
      </c>
      <c r="Z211" s="268">
        <f>Z212</f>
        <v>100000</v>
      </c>
      <c r="AA211" s="268">
        <f>AA212</f>
        <v>100000</v>
      </c>
      <c r="AB211" s="268">
        <f>AB212</f>
        <v>50000</v>
      </c>
      <c r="AC211" s="228" t="s">
        <v>396</v>
      </c>
      <c r="AD211" s="227"/>
    </row>
    <row r="212" spans="1:30" ht="89.25" customHeight="1" x14ac:dyDescent="0.3">
      <c r="A212" s="139" t="s">
        <v>397</v>
      </c>
      <c r="B212" s="144" t="s">
        <v>15</v>
      </c>
      <c r="C212" s="144" t="s">
        <v>126</v>
      </c>
      <c r="D212" s="144" t="s">
        <v>122</v>
      </c>
      <c r="E212" s="263" t="s">
        <v>618</v>
      </c>
      <c r="F212" s="144"/>
      <c r="G212" s="144"/>
      <c r="H212" s="144"/>
      <c r="I212" s="144"/>
      <c r="J212" s="144"/>
      <c r="K212" s="144"/>
      <c r="L212" s="144"/>
      <c r="M212" s="144"/>
      <c r="N212" s="144"/>
      <c r="O212" s="144"/>
      <c r="P212" s="144"/>
      <c r="Q212" s="144"/>
      <c r="R212" s="144"/>
      <c r="S212" s="144"/>
      <c r="T212" s="144" t="s">
        <v>290</v>
      </c>
      <c r="U212" s="140"/>
      <c r="V212" s="141"/>
      <c r="W212" s="141"/>
      <c r="X212" s="141"/>
      <c r="Y212" s="139" t="s">
        <v>397</v>
      </c>
      <c r="Z212" s="230">
        <v>100000</v>
      </c>
      <c r="AA212" s="230">
        <v>100000</v>
      </c>
      <c r="AB212" s="230">
        <v>50000</v>
      </c>
      <c r="AC212" s="231" t="s">
        <v>397</v>
      </c>
      <c r="AD212" s="227"/>
    </row>
    <row r="213" spans="1:30" ht="176.25" customHeight="1" x14ac:dyDescent="0.3">
      <c r="A213" s="162" t="s">
        <v>619</v>
      </c>
      <c r="B213" s="263" t="s">
        <v>15</v>
      </c>
      <c r="C213" s="263" t="s">
        <v>126</v>
      </c>
      <c r="D213" s="263" t="s">
        <v>122</v>
      </c>
      <c r="E213" s="263" t="s">
        <v>620</v>
      </c>
      <c r="F213" s="263"/>
      <c r="G213" s="263"/>
      <c r="H213" s="263"/>
      <c r="I213" s="263"/>
      <c r="J213" s="263"/>
      <c r="K213" s="263"/>
      <c r="L213" s="263"/>
      <c r="M213" s="263"/>
      <c r="N213" s="263"/>
      <c r="O213" s="263"/>
      <c r="P213" s="263"/>
      <c r="Q213" s="263"/>
      <c r="R213" s="263"/>
      <c r="S213" s="263"/>
      <c r="T213" s="263"/>
      <c r="U213" s="172"/>
      <c r="V213" s="221"/>
      <c r="W213" s="221"/>
      <c r="X213" s="221"/>
      <c r="Y213" s="162" t="s">
        <v>398</v>
      </c>
      <c r="Z213" s="268">
        <f>Z214</f>
        <v>500000</v>
      </c>
      <c r="AA213" s="268">
        <f>AA214</f>
        <v>500000</v>
      </c>
      <c r="AB213" s="268">
        <f>AB214</f>
        <v>100000</v>
      </c>
      <c r="AC213" s="228" t="s">
        <v>398</v>
      </c>
      <c r="AD213" s="227"/>
    </row>
    <row r="214" spans="1:30" ht="86.25" customHeight="1" x14ac:dyDescent="0.3">
      <c r="A214" s="139" t="s">
        <v>399</v>
      </c>
      <c r="B214" s="144" t="s">
        <v>15</v>
      </c>
      <c r="C214" s="144" t="s">
        <v>126</v>
      </c>
      <c r="D214" s="144" t="s">
        <v>122</v>
      </c>
      <c r="E214" s="263" t="s">
        <v>620</v>
      </c>
      <c r="F214" s="144"/>
      <c r="G214" s="144"/>
      <c r="H214" s="144"/>
      <c r="I214" s="144"/>
      <c r="J214" s="144"/>
      <c r="K214" s="144"/>
      <c r="L214" s="144"/>
      <c r="M214" s="144"/>
      <c r="N214" s="144"/>
      <c r="O214" s="144"/>
      <c r="P214" s="144"/>
      <c r="Q214" s="144"/>
      <c r="R214" s="144"/>
      <c r="S214" s="144"/>
      <c r="T214" s="144" t="s">
        <v>290</v>
      </c>
      <c r="U214" s="140"/>
      <c r="V214" s="141"/>
      <c r="W214" s="141"/>
      <c r="X214" s="141"/>
      <c r="Y214" s="139" t="s">
        <v>399</v>
      </c>
      <c r="Z214" s="230">
        <v>500000</v>
      </c>
      <c r="AA214" s="230">
        <v>500000</v>
      </c>
      <c r="AB214" s="230">
        <v>100000</v>
      </c>
      <c r="AC214" s="231" t="s">
        <v>399</v>
      </c>
      <c r="AD214" s="227"/>
    </row>
    <row r="215" spans="1:30" ht="44.25" hidden="1" customHeight="1" x14ac:dyDescent="0.3">
      <c r="A215" s="162" t="s">
        <v>621</v>
      </c>
      <c r="B215" s="263" t="s">
        <v>15</v>
      </c>
      <c r="C215" s="263" t="s">
        <v>126</v>
      </c>
      <c r="D215" s="263" t="s">
        <v>122</v>
      </c>
      <c r="E215" s="263" t="s">
        <v>622</v>
      </c>
      <c r="F215" s="263"/>
      <c r="G215" s="263"/>
      <c r="H215" s="263"/>
      <c r="I215" s="263"/>
      <c r="J215" s="263"/>
      <c r="K215" s="263"/>
      <c r="L215" s="263"/>
      <c r="M215" s="263"/>
      <c r="N215" s="263"/>
      <c r="O215" s="263"/>
      <c r="P215" s="263"/>
      <c r="Q215" s="263"/>
      <c r="R215" s="263"/>
      <c r="S215" s="263"/>
      <c r="T215" s="263"/>
      <c r="U215" s="172"/>
      <c r="V215" s="221"/>
      <c r="W215" s="221"/>
      <c r="X215" s="221"/>
      <c r="Y215" s="162" t="s">
        <v>400</v>
      </c>
      <c r="Z215" s="268">
        <f>Z216</f>
        <v>0</v>
      </c>
      <c r="AA215" s="268">
        <f>AA216</f>
        <v>0</v>
      </c>
      <c r="AB215" s="268">
        <f>AB216</f>
        <v>0</v>
      </c>
      <c r="AC215" s="228" t="s">
        <v>400</v>
      </c>
      <c r="AD215" s="227"/>
    </row>
    <row r="216" spans="1:30" ht="66.75" hidden="1" customHeight="1" x14ac:dyDescent="0.3">
      <c r="A216" s="139" t="s">
        <v>837</v>
      </c>
      <c r="B216" s="144" t="s">
        <v>15</v>
      </c>
      <c r="C216" s="144" t="s">
        <v>126</v>
      </c>
      <c r="D216" s="144" t="s">
        <v>122</v>
      </c>
      <c r="E216" s="263" t="s">
        <v>622</v>
      </c>
      <c r="F216" s="144"/>
      <c r="G216" s="144"/>
      <c r="H216" s="144"/>
      <c r="I216" s="144"/>
      <c r="J216" s="144"/>
      <c r="K216" s="144"/>
      <c r="L216" s="144"/>
      <c r="M216" s="144"/>
      <c r="N216" s="144"/>
      <c r="O216" s="144"/>
      <c r="P216" s="144"/>
      <c r="Q216" s="144"/>
      <c r="R216" s="144"/>
      <c r="S216" s="144"/>
      <c r="T216" s="144" t="s">
        <v>366</v>
      </c>
      <c r="U216" s="140"/>
      <c r="V216" s="141"/>
      <c r="W216" s="141"/>
      <c r="X216" s="141"/>
      <c r="Y216" s="139" t="s">
        <v>401</v>
      </c>
      <c r="Z216" s="230">
        <v>0</v>
      </c>
      <c r="AA216" s="230">
        <v>0</v>
      </c>
      <c r="AB216" s="230">
        <v>0</v>
      </c>
      <c r="AC216" s="231" t="s">
        <v>401</v>
      </c>
      <c r="AD216" s="227"/>
    </row>
    <row r="217" spans="1:30" ht="89.25" customHeight="1" x14ac:dyDescent="0.3">
      <c r="A217" s="162" t="s">
        <v>242</v>
      </c>
      <c r="B217" s="263" t="s">
        <v>15</v>
      </c>
      <c r="C217" s="263" t="s">
        <v>126</v>
      </c>
      <c r="D217" s="263" t="s">
        <v>122</v>
      </c>
      <c r="E217" s="263" t="s">
        <v>623</v>
      </c>
      <c r="F217" s="263"/>
      <c r="G217" s="263"/>
      <c r="H217" s="263"/>
      <c r="I217" s="263"/>
      <c r="J217" s="263"/>
      <c r="K217" s="263"/>
      <c r="L217" s="263"/>
      <c r="M217" s="263"/>
      <c r="N217" s="263"/>
      <c r="O217" s="263"/>
      <c r="P217" s="263"/>
      <c r="Q217" s="263"/>
      <c r="R217" s="263"/>
      <c r="S217" s="263"/>
      <c r="T217" s="263"/>
      <c r="U217" s="172"/>
      <c r="V217" s="221"/>
      <c r="W217" s="221"/>
      <c r="X217" s="221"/>
      <c r="Y217" s="162" t="s">
        <v>242</v>
      </c>
      <c r="Z217" s="268">
        <f>Z218</f>
        <v>350000</v>
      </c>
      <c r="AA217" s="268">
        <f>AA218</f>
        <v>400000</v>
      </c>
      <c r="AB217" s="268">
        <f>AB218</f>
        <v>100000</v>
      </c>
      <c r="AC217" s="228" t="s">
        <v>242</v>
      </c>
      <c r="AD217" s="227"/>
    </row>
    <row r="218" spans="1:30" ht="128.25" customHeight="1" x14ac:dyDescent="0.3">
      <c r="A218" s="139" t="s">
        <v>402</v>
      </c>
      <c r="B218" s="144" t="s">
        <v>15</v>
      </c>
      <c r="C218" s="144" t="s">
        <v>126</v>
      </c>
      <c r="D218" s="144" t="s">
        <v>122</v>
      </c>
      <c r="E218" s="263" t="s">
        <v>623</v>
      </c>
      <c r="F218" s="144"/>
      <c r="G218" s="144"/>
      <c r="H218" s="144"/>
      <c r="I218" s="144"/>
      <c r="J218" s="144"/>
      <c r="K218" s="144"/>
      <c r="L218" s="144"/>
      <c r="M218" s="144"/>
      <c r="N218" s="144"/>
      <c r="O218" s="144"/>
      <c r="P218" s="144"/>
      <c r="Q218" s="144"/>
      <c r="R218" s="144"/>
      <c r="S218" s="144"/>
      <c r="T218" s="144" t="s">
        <v>290</v>
      </c>
      <c r="U218" s="140"/>
      <c r="V218" s="141"/>
      <c r="W218" s="141"/>
      <c r="X218" s="141"/>
      <c r="Y218" s="139" t="s">
        <v>402</v>
      </c>
      <c r="Z218" s="230">
        <v>350000</v>
      </c>
      <c r="AA218" s="230">
        <v>400000</v>
      </c>
      <c r="AB218" s="230">
        <v>100000</v>
      </c>
      <c r="AC218" s="231" t="s">
        <v>402</v>
      </c>
      <c r="AD218" s="227"/>
    </row>
    <row r="219" spans="1:30" ht="79.5" hidden="1" customHeight="1" x14ac:dyDescent="0.3">
      <c r="A219" s="170"/>
      <c r="B219" s="171"/>
      <c r="C219" s="171"/>
      <c r="D219" s="171"/>
      <c r="E219" s="171"/>
      <c r="F219" s="171"/>
      <c r="G219" s="171"/>
      <c r="H219" s="171"/>
      <c r="I219" s="171"/>
      <c r="J219" s="171"/>
      <c r="K219" s="171"/>
      <c r="L219" s="171"/>
      <c r="M219" s="171"/>
      <c r="N219" s="171"/>
      <c r="O219" s="171"/>
      <c r="P219" s="171"/>
      <c r="Q219" s="171"/>
      <c r="R219" s="171"/>
      <c r="S219" s="171"/>
      <c r="T219" s="171"/>
      <c r="U219" s="171"/>
      <c r="V219" s="240"/>
      <c r="W219" s="240"/>
      <c r="X219" s="240"/>
      <c r="Y219" s="170"/>
      <c r="Z219" s="241"/>
      <c r="AA219" s="241"/>
      <c r="AB219" s="241"/>
      <c r="AC219" s="226" t="s">
        <v>403</v>
      </c>
      <c r="AD219" s="227"/>
    </row>
    <row r="220" spans="1:30" ht="79.5" hidden="1" customHeight="1" x14ac:dyDescent="0.3">
      <c r="A220" s="170"/>
      <c r="B220" s="171"/>
      <c r="C220" s="171"/>
      <c r="D220" s="171"/>
      <c r="E220" s="171"/>
      <c r="F220" s="171"/>
      <c r="G220" s="171"/>
      <c r="H220" s="171"/>
      <c r="I220" s="171"/>
      <c r="J220" s="171"/>
      <c r="K220" s="171"/>
      <c r="L220" s="171"/>
      <c r="M220" s="171"/>
      <c r="N220" s="171"/>
      <c r="O220" s="171"/>
      <c r="P220" s="171"/>
      <c r="Q220" s="171"/>
      <c r="R220" s="171"/>
      <c r="S220" s="171"/>
      <c r="T220" s="171"/>
      <c r="U220" s="171"/>
      <c r="V220" s="240"/>
      <c r="W220" s="240"/>
      <c r="X220" s="240"/>
      <c r="Y220" s="170"/>
      <c r="Z220" s="241"/>
      <c r="AA220" s="241"/>
      <c r="AB220" s="241"/>
      <c r="AC220" s="226" t="s">
        <v>161</v>
      </c>
      <c r="AD220" s="227"/>
    </row>
    <row r="221" spans="1:30" ht="79.5" hidden="1" customHeight="1" x14ac:dyDescent="0.3">
      <c r="A221" s="165"/>
      <c r="B221" s="263"/>
      <c r="C221" s="263"/>
      <c r="D221" s="263"/>
      <c r="E221" s="263"/>
      <c r="F221" s="263"/>
      <c r="G221" s="263"/>
      <c r="H221" s="263"/>
      <c r="I221" s="263"/>
      <c r="J221" s="263"/>
      <c r="K221" s="263"/>
      <c r="L221" s="263"/>
      <c r="M221" s="263"/>
      <c r="N221" s="263"/>
      <c r="O221" s="263"/>
      <c r="P221" s="263"/>
      <c r="Q221" s="263"/>
      <c r="R221" s="263"/>
      <c r="S221" s="263"/>
      <c r="T221" s="263"/>
      <c r="U221" s="172"/>
      <c r="V221" s="221"/>
      <c r="W221" s="221"/>
      <c r="X221" s="221"/>
      <c r="Y221" s="165"/>
      <c r="Z221" s="268"/>
      <c r="AA221" s="268"/>
      <c r="AB221" s="268"/>
      <c r="AC221" s="232" t="s">
        <v>227</v>
      </c>
      <c r="AD221" s="227"/>
    </row>
    <row r="222" spans="1:30" ht="79.5" hidden="1" customHeight="1" x14ac:dyDescent="0.3">
      <c r="A222" s="164"/>
      <c r="B222" s="144"/>
      <c r="C222" s="144"/>
      <c r="D222" s="144"/>
      <c r="E222" s="263"/>
      <c r="F222" s="144"/>
      <c r="G222" s="144"/>
      <c r="H222" s="144"/>
      <c r="I222" s="144"/>
      <c r="J222" s="144"/>
      <c r="K222" s="144"/>
      <c r="L222" s="144"/>
      <c r="M222" s="144"/>
      <c r="N222" s="144"/>
      <c r="O222" s="144"/>
      <c r="P222" s="144"/>
      <c r="Q222" s="144"/>
      <c r="R222" s="144"/>
      <c r="S222" s="144"/>
      <c r="T222" s="144"/>
      <c r="U222" s="140"/>
      <c r="V222" s="141"/>
      <c r="W222" s="141"/>
      <c r="X222" s="141"/>
      <c r="Y222" s="164"/>
      <c r="Z222" s="230"/>
      <c r="AA222" s="230"/>
      <c r="AB222" s="230"/>
      <c r="AC222" s="229" t="s">
        <v>404</v>
      </c>
      <c r="AD222" s="227"/>
    </row>
    <row r="223" spans="1:30" ht="79.5" hidden="1" customHeight="1" x14ac:dyDescent="0.3">
      <c r="A223" s="164"/>
      <c r="B223" s="144"/>
      <c r="C223" s="144"/>
      <c r="D223" s="144"/>
      <c r="E223" s="263"/>
      <c r="F223" s="144"/>
      <c r="G223" s="144"/>
      <c r="H223" s="144"/>
      <c r="I223" s="144"/>
      <c r="J223" s="144"/>
      <c r="K223" s="144"/>
      <c r="L223" s="144"/>
      <c r="M223" s="144"/>
      <c r="N223" s="144"/>
      <c r="O223" s="144"/>
      <c r="P223" s="144"/>
      <c r="Q223" s="144"/>
      <c r="R223" s="144"/>
      <c r="S223" s="144"/>
      <c r="T223" s="144"/>
      <c r="U223" s="140"/>
      <c r="V223" s="141"/>
      <c r="W223" s="141"/>
      <c r="X223" s="141"/>
      <c r="Y223" s="164"/>
      <c r="Z223" s="230"/>
      <c r="AA223" s="230"/>
      <c r="AB223" s="230"/>
      <c r="AC223" s="229" t="s">
        <v>405</v>
      </c>
      <c r="AD223" s="227"/>
    </row>
    <row r="224" spans="1:30" ht="27.75" customHeight="1" x14ac:dyDescent="0.3">
      <c r="A224" s="170" t="s">
        <v>406</v>
      </c>
      <c r="B224" s="171" t="s">
        <v>15</v>
      </c>
      <c r="C224" s="171" t="s">
        <v>143</v>
      </c>
      <c r="D224" s="171" t="s">
        <v>133</v>
      </c>
      <c r="E224" s="171"/>
      <c r="F224" s="171"/>
      <c r="G224" s="171"/>
      <c r="H224" s="171"/>
      <c r="I224" s="171"/>
      <c r="J224" s="171"/>
      <c r="K224" s="171"/>
      <c r="L224" s="171"/>
      <c r="M224" s="171"/>
      <c r="N224" s="171"/>
      <c r="O224" s="171"/>
      <c r="P224" s="171"/>
      <c r="Q224" s="171"/>
      <c r="R224" s="171"/>
      <c r="S224" s="171"/>
      <c r="T224" s="171"/>
      <c r="U224" s="171"/>
      <c r="V224" s="240"/>
      <c r="W224" s="240"/>
      <c r="X224" s="240"/>
      <c r="Y224" s="170" t="s">
        <v>406</v>
      </c>
      <c r="Z224" s="241">
        <f>Z225+Z230+Z246</f>
        <v>6730107.4000000004</v>
      </c>
      <c r="AA224" s="241">
        <f>AA225+AA230+AA246</f>
        <v>6839108.0199999996</v>
      </c>
      <c r="AB224" s="241">
        <f>AB225+AB230+AB246</f>
        <v>6489428.0199999996</v>
      </c>
      <c r="AC224" s="226" t="s">
        <v>406</v>
      </c>
      <c r="AD224" s="227"/>
    </row>
    <row r="225" spans="1:30" ht="18.600000000000001" customHeight="1" x14ac:dyDescent="0.3">
      <c r="A225" s="170" t="s">
        <v>162</v>
      </c>
      <c r="B225" s="171" t="s">
        <v>15</v>
      </c>
      <c r="C225" s="171" t="s">
        <v>143</v>
      </c>
      <c r="D225" s="171" t="s">
        <v>122</v>
      </c>
      <c r="E225" s="171"/>
      <c r="F225" s="171"/>
      <c r="G225" s="171"/>
      <c r="H225" s="171"/>
      <c r="I225" s="171"/>
      <c r="J225" s="171"/>
      <c r="K225" s="171"/>
      <c r="L225" s="171"/>
      <c r="M225" s="171"/>
      <c r="N225" s="171"/>
      <c r="O225" s="171"/>
      <c r="P225" s="171"/>
      <c r="Q225" s="171"/>
      <c r="R225" s="171"/>
      <c r="S225" s="171"/>
      <c r="T225" s="171"/>
      <c r="U225" s="171"/>
      <c r="V225" s="240"/>
      <c r="W225" s="240"/>
      <c r="X225" s="240"/>
      <c r="Y225" s="170" t="s">
        <v>162</v>
      </c>
      <c r="Z225" s="241">
        <f>Z226+Z228</f>
        <v>1755907.4</v>
      </c>
      <c r="AA225" s="241">
        <f>AA226+AA228</f>
        <v>1755908.02</v>
      </c>
      <c r="AB225" s="241">
        <f>AB226+AB228</f>
        <v>1756228.02</v>
      </c>
      <c r="AC225" s="226" t="s">
        <v>162</v>
      </c>
      <c r="AD225" s="227"/>
    </row>
    <row r="226" spans="1:30" ht="107.25" customHeight="1" x14ac:dyDescent="0.3">
      <c r="A226" s="162" t="s">
        <v>407</v>
      </c>
      <c r="B226" s="172" t="s">
        <v>15</v>
      </c>
      <c r="C226" s="172" t="s">
        <v>143</v>
      </c>
      <c r="D226" s="172" t="s">
        <v>122</v>
      </c>
      <c r="E226" s="263" t="s">
        <v>655</v>
      </c>
      <c r="F226" s="172"/>
      <c r="G226" s="172"/>
      <c r="H226" s="172"/>
      <c r="I226" s="172"/>
      <c r="J226" s="172"/>
      <c r="K226" s="172"/>
      <c r="L226" s="172"/>
      <c r="M226" s="172"/>
      <c r="N226" s="172"/>
      <c r="O226" s="172"/>
      <c r="P226" s="172"/>
      <c r="Q226" s="172"/>
      <c r="R226" s="172"/>
      <c r="S226" s="172"/>
      <c r="T226" s="172"/>
      <c r="U226" s="172"/>
      <c r="V226" s="221"/>
      <c r="W226" s="221"/>
      <c r="X226" s="221"/>
      <c r="Y226" s="162" t="s">
        <v>407</v>
      </c>
      <c r="Z226" s="268">
        <f>Z227</f>
        <v>1640707.4</v>
      </c>
      <c r="AA226" s="268">
        <f>AA227</f>
        <v>1640708.02</v>
      </c>
      <c r="AB226" s="268">
        <f>AB227</f>
        <v>1640708.02</v>
      </c>
      <c r="AC226" s="228" t="s">
        <v>407</v>
      </c>
      <c r="AD226" s="227"/>
    </row>
    <row r="227" spans="1:30" ht="137.25" customHeight="1" x14ac:dyDescent="0.3">
      <c r="A227" s="139" t="s">
        <v>408</v>
      </c>
      <c r="B227" s="140" t="s">
        <v>15</v>
      </c>
      <c r="C227" s="140" t="s">
        <v>143</v>
      </c>
      <c r="D227" s="140" t="s">
        <v>122</v>
      </c>
      <c r="E227" s="263" t="s">
        <v>655</v>
      </c>
      <c r="F227" s="140"/>
      <c r="G227" s="140"/>
      <c r="H227" s="140"/>
      <c r="I227" s="140"/>
      <c r="J227" s="140"/>
      <c r="K227" s="140"/>
      <c r="L227" s="140"/>
      <c r="M227" s="140"/>
      <c r="N227" s="140"/>
      <c r="O227" s="140"/>
      <c r="P227" s="140"/>
      <c r="Q227" s="140"/>
      <c r="R227" s="140"/>
      <c r="S227" s="140"/>
      <c r="T227" s="140" t="s">
        <v>409</v>
      </c>
      <c r="U227" s="140"/>
      <c r="V227" s="141"/>
      <c r="W227" s="141"/>
      <c r="X227" s="141"/>
      <c r="Y227" s="139" t="s">
        <v>408</v>
      </c>
      <c r="Z227" s="230">
        <f>1427098.38+213609.02</f>
        <v>1640707.4</v>
      </c>
      <c r="AA227" s="230">
        <f>1427099+213609.02</f>
        <v>1640708.02</v>
      </c>
      <c r="AB227" s="230">
        <f>1427099+213609.02</f>
        <v>1640708.02</v>
      </c>
      <c r="AC227" s="231" t="s">
        <v>408</v>
      </c>
      <c r="AD227" s="227"/>
    </row>
    <row r="228" spans="1:30" ht="191.25" customHeight="1" x14ac:dyDescent="0.3">
      <c r="A228" s="165" t="s">
        <v>485</v>
      </c>
      <c r="B228" s="140" t="s">
        <v>15</v>
      </c>
      <c r="C228" s="140" t="s">
        <v>143</v>
      </c>
      <c r="D228" s="140" t="s">
        <v>122</v>
      </c>
      <c r="E228" s="263" t="s">
        <v>656</v>
      </c>
      <c r="F228" s="140"/>
      <c r="G228" s="140"/>
      <c r="H228" s="140"/>
      <c r="I228" s="140"/>
      <c r="J228" s="140"/>
      <c r="K228" s="140"/>
      <c r="L228" s="140"/>
      <c r="M228" s="140"/>
      <c r="N228" s="140"/>
      <c r="O228" s="140"/>
      <c r="P228" s="140"/>
      <c r="Q228" s="140"/>
      <c r="R228" s="140"/>
      <c r="S228" s="140"/>
      <c r="T228" s="140"/>
      <c r="U228" s="140"/>
      <c r="V228" s="141"/>
      <c r="W228" s="141"/>
      <c r="X228" s="141"/>
      <c r="Y228" s="139"/>
      <c r="Z228" s="230">
        <f>Z229</f>
        <v>115200</v>
      </c>
      <c r="AA228" s="230">
        <f>AA229</f>
        <v>115200</v>
      </c>
      <c r="AB228" s="230">
        <f>AB229</f>
        <v>115520</v>
      </c>
      <c r="AC228" s="231"/>
      <c r="AD228" s="227"/>
    </row>
    <row r="229" spans="1:30" ht="225.75" customHeight="1" x14ac:dyDescent="0.3">
      <c r="A229" s="164" t="s">
        <v>486</v>
      </c>
      <c r="B229" s="140" t="s">
        <v>15</v>
      </c>
      <c r="C229" s="140" t="s">
        <v>143</v>
      </c>
      <c r="D229" s="140" t="s">
        <v>122</v>
      </c>
      <c r="E229" s="263" t="s">
        <v>656</v>
      </c>
      <c r="F229" s="140"/>
      <c r="G229" s="140"/>
      <c r="H229" s="140"/>
      <c r="I229" s="140"/>
      <c r="J229" s="140"/>
      <c r="K229" s="140"/>
      <c r="L229" s="140"/>
      <c r="M229" s="140"/>
      <c r="N229" s="140"/>
      <c r="O229" s="140"/>
      <c r="P229" s="140"/>
      <c r="Q229" s="140"/>
      <c r="R229" s="140"/>
      <c r="S229" s="140"/>
      <c r="T229" s="140" t="s">
        <v>409</v>
      </c>
      <c r="U229" s="140"/>
      <c r="V229" s="141"/>
      <c r="W229" s="141"/>
      <c r="X229" s="141"/>
      <c r="Y229" s="139"/>
      <c r="Z229" s="230">
        <v>115200</v>
      </c>
      <c r="AA229" s="230">
        <v>115200</v>
      </c>
      <c r="AB229" s="230">
        <v>115520</v>
      </c>
      <c r="AC229" s="231"/>
      <c r="AD229" s="227"/>
    </row>
    <row r="230" spans="1:30" ht="37.15" customHeight="1" x14ac:dyDescent="0.3">
      <c r="A230" s="170" t="s">
        <v>163</v>
      </c>
      <c r="B230" s="171" t="s">
        <v>15</v>
      </c>
      <c r="C230" s="171" t="s">
        <v>143</v>
      </c>
      <c r="D230" s="171" t="s">
        <v>123</v>
      </c>
      <c r="E230" s="171"/>
      <c r="F230" s="171"/>
      <c r="G230" s="171"/>
      <c r="H230" s="171"/>
      <c r="I230" s="171"/>
      <c r="J230" s="171"/>
      <c r="K230" s="171"/>
      <c r="L230" s="171"/>
      <c r="M230" s="171"/>
      <c r="N230" s="171"/>
      <c r="O230" s="171"/>
      <c r="P230" s="171"/>
      <c r="Q230" s="171"/>
      <c r="R230" s="171"/>
      <c r="S230" s="171"/>
      <c r="T230" s="171"/>
      <c r="U230" s="171"/>
      <c r="V230" s="240"/>
      <c r="W230" s="240"/>
      <c r="X230" s="240"/>
      <c r="Y230" s="170" t="s">
        <v>163</v>
      </c>
      <c r="Z230" s="241">
        <f>Z231+Z237+Z239+Z241+Z244+Z233+Z235</f>
        <v>671000</v>
      </c>
      <c r="AA230" s="241">
        <f>AA231+AA237+AA239+AA241+AA244+AA233+AA235</f>
        <v>780000</v>
      </c>
      <c r="AB230" s="241">
        <f>AB231+AB237+AB239+AB241+AB244+AB233+AB235</f>
        <v>430000</v>
      </c>
      <c r="AC230" s="226" t="s">
        <v>163</v>
      </c>
      <c r="AD230" s="227"/>
    </row>
    <row r="231" spans="1:30" ht="177.75" customHeight="1" x14ac:dyDescent="0.3">
      <c r="A231" s="162" t="s">
        <v>657</v>
      </c>
      <c r="B231" s="172" t="s">
        <v>15</v>
      </c>
      <c r="C231" s="172" t="s">
        <v>143</v>
      </c>
      <c r="D231" s="172" t="s">
        <v>123</v>
      </c>
      <c r="E231" s="263" t="s">
        <v>658</v>
      </c>
      <c r="F231" s="172"/>
      <c r="G231" s="172"/>
      <c r="H231" s="172"/>
      <c r="I231" s="172"/>
      <c r="J231" s="172"/>
      <c r="K231" s="172"/>
      <c r="L231" s="172"/>
      <c r="M231" s="172"/>
      <c r="N231" s="172"/>
      <c r="O231" s="172"/>
      <c r="P231" s="172"/>
      <c r="Q231" s="172"/>
      <c r="R231" s="172"/>
      <c r="S231" s="172"/>
      <c r="T231" s="172"/>
      <c r="U231" s="172"/>
      <c r="V231" s="221"/>
      <c r="W231" s="221"/>
      <c r="X231" s="221"/>
      <c r="Y231" s="162" t="s">
        <v>410</v>
      </c>
      <c r="Z231" s="268">
        <f>Z232</f>
        <v>50000</v>
      </c>
      <c r="AA231" s="268">
        <f>AA232</f>
        <v>100000</v>
      </c>
      <c r="AB231" s="268">
        <f>AB232</f>
        <v>50000</v>
      </c>
      <c r="AC231" s="228" t="s">
        <v>410</v>
      </c>
      <c r="AD231" s="227"/>
    </row>
    <row r="232" spans="1:30" ht="110.25" customHeight="1" x14ac:dyDescent="0.3">
      <c r="A232" s="139" t="s">
        <v>411</v>
      </c>
      <c r="B232" s="140" t="s">
        <v>15</v>
      </c>
      <c r="C232" s="140" t="s">
        <v>143</v>
      </c>
      <c r="D232" s="140" t="s">
        <v>123</v>
      </c>
      <c r="E232" s="263" t="s">
        <v>658</v>
      </c>
      <c r="F232" s="140"/>
      <c r="G232" s="140"/>
      <c r="H232" s="140"/>
      <c r="I232" s="140"/>
      <c r="J232" s="140"/>
      <c r="K232" s="140"/>
      <c r="L232" s="140"/>
      <c r="M232" s="140"/>
      <c r="N232" s="140"/>
      <c r="O232" s="140"/>
      <c r="P232" s="140"/>
      <c r="Q232" s="140"/>
      <c r="R232" s="140"/>
      <c r="S232" s="140"/>
      <c r="T232" s="140" t="s">
        <v>290</v>
      </c>
      <c r="U232" s="140"/>
      <c r="V232" s="141"/>
      <c r="W232" s="141"/>
      <c r="X232" s="141"/>
      <c r="Y232" s="139" t="s">
        <v>411</v>
      </c>
      <c r="Z232" s="230">
        <v>50000</v>
      </c>
      <c r="AA232" s="230">
        <v>100000</v>
      </c>
      <c r="AB232" s="230">
        <v>50000</v>
      </c>
      <c r="AC232" s="231" t="s">
        <v>411</v>
      </c>
      <c r="AD232" s="227"/>
    </row>
    <row r="233" spans="1:30" s="317" customFormat="1" ht="144" hidden="1" customHeight="1" x14ac:dyDescent="0.3">
      <c r="A233" s="248" t="s">
        <v>659</v>
      </c>
      <c r="B233" s="140" t="s">
        <v>15</v>
      </c>
      <c r="C233" s="140" t="s">
        <v>143</v>
      </c>
      <c r="D233" s="140" t="s">
        <v>123</v>
      </c>
      <c r="E233" s="263" t="s">
        <v>913</v>
      </c>
      <c r="F233" s="140"/>
      <c r="G233" s="140"/>
      <c r="H233" s="140"/>
      <c r="I233" s="140"/>
      <c r="J233" s="140"/>
      <c r="K233" s="140"/>
      <c r="L233" s="140"/>
      <c r="M233" s="140"/>
      <c r="N233" s="140"/>
      <c r="O233" s="140"/>
      <c r="P233" s="140"/>
      <c r="Q233" s="140"/>
      <c r="R233" s="140"/>
      <c r="S233" s="140"/>
      <c r="T233" s="140"/>
      <c r="U233" s="140"/>
      <c r="V233" s="141"/>
      <c r="W233" s="141"/>
      <c r="X233" s="141"/>
      <c r="Y233" s="139"/>
      <c r="Z233" s="230">
        <f>Z234</f>
        <v>0</v>
      </c>
      <c r="AA233" s="230">
        <f>AA234</f>
        <v>0</v>
      </c>
      <c r="AB233" s="230">
        <f>AB234</f>
        <v>0</v>
      </c>
      <c r="AC233" s="315"/>
      <c r="AD233" s="316"/>
    </row>
    <row r="234" spans="1:30" s="317" customFormat="1" ht="45" hidden="1" customHeight="1" x14ac:dyDescent="0.3">
      <c r="A234" s="298" t="s">
        <v>413</v>
      </c>
      <c r="B234" s="140" t="s">
        <v>15</v>
      </c>
      <c r="C234" s="140" t="s">
        <v>143</v>
      </c>
      <c r="D234" s="140" t="s">
        <v>123</v>
      </c>
      <c r="E234" s="263" t="s">
        <v>913</v>
      </c>
      <c r="F234" s="140"/>
      <c r="G234" s="140"/>
      <c r="H234" s="140"/>
      <c r="I234" s="140"/>
      <c r="J234" s="140"/>
      <c r="K234" s="140"/>
      <c r="L234" s="140"/>
      <c r="M234" s="140"/>
      <c r="N234" s="140"/>
      <c r="O234" s="140"/>
      <c r="P234" s="140"/>
      <c r="Q234" s="140"/>
      <c r="R234" s="140"/>
      <c r="S234" s="140"/>
      <c r="T234" s="140" t="s">
        <v>409</v>
      </c>
      <c r="U234" s="140"/>
      <c r="V234" s="141"/>
      <c r="W234" s="141"/>
      <c r="X234" s="141"/>
      <c r="Y234" s="139"/>
      <c r="Z234" s="230">
        <v>0</v>
      </c>
      <c r="AA234" s="230">
        <v>0</v>
      </c>
      <c r="AB234" s="230">
        <v>0</v>
      </c>
      <c r="AC234" s="315"/>
      <c r="AD234" s="316"/>
    </row>
    <row r="235" spans="1:30" ht="45" hidden="1" customHeight="1" x14ac:dyDescent="0.3">
      <c r="A235" s="162" t="s">
        <v>914</v>
      </c>
      <c r="B235" s="140" t="s">
        <v>15</v>
      </c>
      <c r="C235" s="140" t="s">
        <v>143</v>
      </c>
      <c r="D235" s="140" t="s">
        <v>123</v>
      </c>
      <c r="E235" s="263" t="s">
        <v>913</v>
      </c>
      <c r="F235" s="140"/>
      <c r="G235" s="140"/>
      <c r="H235" s="140"/>
      <c r="I235" s="140"/>
      <c r="J235" s="140"/>
      <c r="K235" s="140"/>
      <c r="L235" s="140"/>
      <c r="M235" s="140"/>
      <c r="N235" s="140"/>
      <c r="O235" s="140"/>
      <c r="P235" s="140"/>
      <c r="Q235" s="140"/>
      <c r="R235" s="140"/>
      <c r="S235" s="140"/>
      <c r="T235" s="140"/>
      <c r="U235" s="140"/>
      <c r="V235" s="141"/>
      <c r="W235" s="141"/>
      <c r="X235" s="141"/>
      <c r="Y235" s="139"/>
      <c r="Z235" s="230">
        <f>Z236</f>
        <v>0</v>
      </c>
      <c r="AA235" s="230">
        <v>0</v>
      </c>
      <c r="AB235" s="230">
        <v>0</v>
      </c>
      <c r="AC235" s="231"/>
      <c r="AD235" s="227"/>
    </row>
    <row r="236" spans="1:30" ht="45" hidden="1" customHeight="1" x14ac:dyDescent="0.3">
      <c r="A236" s="298" t="s">
        <v>413</v>
      </c>
      <c r="B236" s="140" t="s">
        <v>15</v>
      </c>
      <c r="C236" s="140" t="s">
        <v>143</v>
      </c>
      <c r="D236" s="140" t="s">
        <v>123</v>
      </c>
      <c r="E236" s="263" t="s">
        <v>913</v>
      </c>
      <c r="F236" s="140"/>
      <c r="G236" s="140"/>
      <c r="H236" s="140"/>
      <c r="I236" s="140"/>
      <c r="J236" s="140"/>
      <c r="K236" s="140"/>
      <c r="L236" s="140"/>
      <c r="M236" s="140"/>
      <c r="N236" s="140"/>
      <c r="O236" s="140"/>
      <c r="P236" s="140"/>
      <c r="Q236" s="140"/>
      <c r="R236" s="140"/>
      <c r="S236" s="140"/>
      <c r="T236" s="140" t="s">
        <v>409</v>
      </c>
      <c r="U236" s="140"/>
      <c r="V236" s="141"/>
      <c r="W236" s="141"/>
      <c r="X236" s="141"/>
      <c r="Y236" s="139"/>
      <c r="Z236" s="230">
        <v>0</v>
      </c>
      <c r="AA236" s="230">
        <v>0</v>
      </c>
      <c r="AB236" s="230">
        <v>0</v>
      </c>
      <c r="AC236" s="231"/>
      <c r="AD236" s="227"/>
    </row>
    <row r="237" spans="1:30" ht="45" hidden="1" customHeight="1" x14ac:dyDescent="0.3">
      <c r="A237" s="248" t="s">
        <v>659</v>
      </c>
      <c r="B237" s="249" t="s">
        <v>15</v>
      </c>
      <c r="C237" s="249" t="s">
        <v>143</v>
      </c>
      <c r="D237" s="249" t="s">
        <v>123</v>
      </c>
      <c r="E237" s="364" t="s">
        <v>660</v>
      </c>
      <c r="F237" s="249"/>
      <c r="G237" s="249"/>
      <c r="H237" s="249"/>
      <c r="I237" s="249"/>
      <c r="J237" s="249"/>
      <c r="K237" s="249"/>
      <c r="L237" s="249"/>
      <c r="M237" s="249"/>
      <c r="N237" s="249"/>
      <c r="O237" s="249"/>
      <c r="P237" s="249"/>
      <c r="Q237" s="249"/>
      <c r="R237" s="249"/>
      <c r="S237" s="249"/>
      <c r="T237" s="249"/>
      <c r="U237" s="249"/>
      <c r="V237" s="250"/>
      <c r="W237" s="250"/>
      <c r="X237" s="250"/>
      <c r="Y237" s="248" t="s">
        <v>412</v>
      </c>
      <c r="Z237" s="300">
        <f>Z238</f>
        <v>0</v>
      </c>
      <c r="AA237" s="300">
        <f>AA238</f>
        <v>0</v>
      </c>
      <c r="AB237" s="300">
        <f>AB238</f>
        <v>0</v>
      </c>
      <c r="AC237" s="228" t="s">
        <v>412</v>
      </c>
      <c r="AD237" s="227"/>
    </row>
    <row r="238" spans="1:30" ht="45" hidden="1" customHeight="1" x14ac:dyDescent="0.3">
      <c r="A238" s="298" t="s">
        <v>413</v>
      </c>
      <c r="B238" s="301" t="s">
        <v>15</v>
      </c>
      <c r="C238" s="301" t="s">
        <v>143</v>
      </c>
      <c r="D238" s="301" t="s">
        <v>123</v>
      </c>
      <c r="E238" s="364" t="s">
        <v>660</v>
      </c>
      <c r="F238" s="301"/>
      <c r="G238" s="301"/>
      <c r="H238" s="301"/>
      <c r="I238" s="301"/>
      <c r="J238" s="301"/>
      <c r="K238" s="301"/>
      <c r="L238" s="301"/>
      <c r="M238" s="301"/>
      <c r="N238" s="301"/>
      <c r="O238" s="301"/>
      <c r="P238" s="301"/>
      <c r="Q238" s="301"/>
      <c r="R238" s="301"/>
      <c r="S238" s="301"/>
      <c r="T238" s="301" t="s">
        <v>409</v>
      </c>
      <c r="U238" s="302"/>
      <c r="V238" s="303"/>
      <c r="W238" s="303"/>
      <c r="X238" s="303"/>
      <c r="Y238" s="304" t="s">
        <v>413</v>
      </c>
      <c r="Z238" s="305">
        <f>50000+450000+500000-1000000</f>
        <v>0</v>
      </c>
      <c r="AA238" s="305">
        <f>100000-100000</f>
        <v>0</v>
      </c>
      <c r="AB238" s="305">
        <f>100000-100000</f>
        <v>0</v>
      </c>
      <c r="AC238" s="231" t="s">
        <v>413</v>
      </c>
      <c r="AD238" s="227"/>
    </row>
    <row r="239" spans="1:30" ht="45" hidden="1" customHeight="1" x14ac:dyDescent="0.3">
      <c r="A239" s="162" t="s">
        <v>414</v>
      </c>
      <c r="B239" s="172" t="s">
        <v>15</v>
      </c>
      <c r="C239" s="172" t="s">
        <v>143</v>
      </c>
      <c r="D239" s="172" t="s">
        <v>123</v>
      </c>
      <c r="E239" s="172" t="s">
        <v>661</v>
      </c>
      <c r="F239" s="172"/>
      <c r="G239" s="172"/>
      <c r="H239" s="172"/>
      <c r="I239" s="172"/>
      <c r="J239" s="172"/>
      <c r="K239" s="172"/>
      <c r="L239" s="172"/>
      <c r="M239" s="172"/>
      <c r="N239" s="172"/>
      <c r="O239" s="172"/>
      <c r="P239" s="172"/>
      <c r="Q239" s="172"/>
      <c r="R239" s="172"/>
      <c r="S239" s="172"/>
      <c r="T239" s="172"/>
      <c r="U239" s="172"/>
      <c r="V239" s="221"/>
      <c r="W239" s="221"/>
      <c r="X239" s="221"/>
      <c r="Y239" s="162" t="s">
        <v>414</v>
      </c>
      <c r="Z239" s="268">
        <f>Z240</f>
        <v>0</v>
      </c>
      <c r="AA239" s="268">
        <f>AA240</f>
        <v>0</v>
      </c>
      <c r="AB239" s="268">
        <f>AB240</f>
        <v>0</v>
      </c>
      <c r="AC239" s="228" t="s">
        <v>414</v>
      </c>
      <c r="AD239" s="227"/>
    </row>
    <row r="240" spans="1:30" ht="45" hidden="1" customHeight="1" x14ac:dyDescent="0.3">
      <c r="A240" s="139" t="s">
        <v>415</v>
      </c>
      <c r="B240" s="140" t="s">
        <v>15</v>
      </c>
      <c r="C240" s="140" t="s">
        <v>143</v>
      </c>
      <c r="D240" s="140" t="s">
        <v>123</v>
      </c>
      <c r="E240" s="172" t="s">
        <v>661</v>
      </c>
      <c r="F240" s="140"/>
      <c r="G240" s="140"/>
      <c r="H240" s="140"/>
      <c r="I240" s="140"/>
      <c r="J240" s="140"/>
      <c r="K240" s="140"/>
      <c r="L240" s="140"/>
      <c r="M240" s="140"/>
      <c r="N240" s="140"/>
      <c r="O240" s="140"/>
      <c r="P240" s="140"/>
      <c r="Q240" s="140"/>
      <c r="R240" s="140"/>
      <c r="S240" s="140"/>
      <c r="T240" s="140" t="s">
        <v>290</v>
      </c>
      <c r="U240" s="140"/>
      <c r="V240" s="141"/>
      <c r="W240" s="141"/>
      <c r="X240" s="141"/>
      <c r="Y240" s="139" t="s">
        <v>415</v>
      </c>
      <c r="Z240" s="230">
        <f>50000-50000</f>
        <v>0</v>
      </c>
      <c r="AA240" s="230">
        <v>0</v>
      </c>
      <c r="AB240" s="230">
        <v>0</v>
      </c>
      <c r="AC240" s="231" t="s">
        <v>415</v>
      </c>
      <c r="AD240" s="227"/>
    </row>
    <row r="241" spans="1:30" ht="66" customHeight="1" x14ac:dyDescent="0.3">
      <c r="A241" s="162" t="s">
        <v>240</v>
      </c>
      <c r="B241" s="172" t="s">
        <v>15</v>
      </c>
      <c r="C241" s="172" t="s">
        <v>143</v>
      </c>
      <c r="D241" s="172" t="s">
        <v>123</v>
      </c>
      <c r="E241" s="263" t="s">
        <v>662</v>
      </c>
      <c r="F241" s="263"/>
      <c r="G241" s="263"/>
      <c r="H241" s="263"/>
      <c r="I241" s="263"/>
      <c r="J241" s="263"/>
      <c r="K241" s="263"/>
      <c r="L241" s="263"/>
      <c r="M241" s="263"/>
      <c r="N241" s="263"/>
      <c r="O241" s="263"/>
      <c r="P241" s="263"/>
      <c r="Q241" s="263"/>
      <c r="R241" s="263"/>
      <c r="S241" s="263"/>
      <c r="T241" s="263"/>
      <c r="U241" s="172"/>
      <c r="V241" s="221"/>
      <c r="W241" s="221"/>
      <c r="X241" s="221"/>
      <c r="Y241" s="162" t="s">
        <v>240</v>
      </c>
      <c r="Z241" s="268">
        <f>Z243+Z242</f>
        <v>621000</v>
      </c>
      <c r="AA241" s="268">
        <f>AA243+AA242</f>
        <v>500000</v>
      </c>
      <c r="AB241" s="268">
        <f>AB243+AB242</f>
        <v>300000</v>
      </c>
      <c r="AC241" s="228" t="s">
        <v>240</v>
      </c>
      <c r="AD241" s="227"/>
    </row>
    <row r="242" spans="1:30" ht="89.25" customHeight="1" x14ac:dyDescent="0.3">
      <c r="A242" s="162" t="s">
        <v>807</v>
      </c>
      <c r="B242" s="140" t="s">
        <v>15</v>
      </c>
      <c r="C242" s="140" t="s">
        <v>143</v>
      </c>
      <c r="D242" s="140" t="s">
        <v>123</v>
      </c>
      <c r="E242" s="263" t="s">
        <v>662</v>
      </c>
      <c r="F242" s="140"/>
      <c r="G242" s="140"/>
      <c r="H242" s="140"/>
      <c r="I242" s="140"/>
      <c r="J242" s="140"/>
      <c r="K242" s="140"/>
      <c r="L242" s="140"/>
      <c r="M242" s="140"/>
      <c r="N242" s="140"/>
      <c r="O242" s="140"/>
      <c r="P242" s="140"/>
      <c r="Q242" s="140"/>
      <c r="R242" s="140"/>
      <c r="S242" s="140"/>
      <c r="T242" s="140" t="s">
        <v>290</v>
      </c>
      <c r="U242" s="172"/>
      <c r="V242" s="221"/>
      <c r="W242" s="221"/>
      <c r="X242" s="221"/>
      <c r="Y242" s="162"/>
      <c r="Z242" s="268">
        <v>300000</v>
      </c>
      <c r="AA242" s="268">
        <v>300000</v>
      </c>
      <c r="AB242" s="268">
        <v>100000</v>
      </c>
      <c r="AC242" s="228"/>
      <c r="AD242" s="227"/>
    </row>
    <row r="243" spans="1:30" ht="93.75" customHeight="1" x14ac:dyDescent="0.3">
      <c r="A243" s="139" t="s">
        <v>416</v>
      </c>
      <c r="B243" s="140" t="s">
        <v>15</v>
      </c>
      <c r="C243" s="140" t="s">
        <v>143</v>
      </c>
      <c r="D243" s="140" t="s">
        <v>123</v>
      </c>
      <c r="E243" s="263" t="s">
        <v>662</v>
      </c>
      <c r="F243" s="140"/>
      <c r="G243" s="140"/>
      <c r="H243" s="140"/>
      <c r="I243" s="140"/>
      <c r="J243" s="140"/>
      <c r="K243" s="140"/>
      <c r="L243" s="140"/>
      <c r="M243" s="140"/>
      <c r="N243" s="140"/>
      <c r="O243" s="140"/>
      <c r="P243" s="140"/>
      <c r="Q243" s="140"/>
      <c r="R243" s="140"/>
      <c r="S243" s="140"/>
      <c r="T243" s="140" t="s">
        <v>409</v>
      </c>
      <c r="U243" s="140"/>
      <c r="V243" s="141"/>
      <c r="W243" s="141"/>
      <c r="X243" s="141"/>
      <c r="Y243" s="139" t="s">
        <v>416</v>
      </c>
      <c r="Z243" s="230">
        <f>200000+121000</f>
        <v>321000</v>
      </c>
      <c r="AA243" s="230">
        <v>200000</v>
      </c>
      <c r="AB243" s="230">
        <v>200000</v>
      </c>
      <c r="AC243" s="231" t="s">
        <v>416</v>
      </c>
      <c r="AD243" s="227"/>
    </row>
    <row r="244" spans="1:30" ht="105" customHeight="1" x14ac:dyDescent="0.3">
      <c r="A244" s="20" t="s">
        <v>663</v>
      </c>
      <c r="B244" s="140" t="s">
        <v>15</v>
      </c>
      <c r="C244" s="140" t="s">
        <v>143</v>
      </c>
      <c r="D244" s="140" t="s">
        <v>123</v>
      </c>
      <c r="E244" s="263" t="s">
        <v>664</v>
      </c>
      <c r="F244" s="140"/>
      <c r="G244" s="140"/>
      <c r="H244" s="140"/>
      <c r="I244" s="140"/>
      <c r="J244" s="140"/>
      <c r="K244" s="140"/>
      <c r="L244" s="140"/>
      <c r="M244" s="140"/>
      <c r="N244" s="140"/>
      <c r="O244" s="140"/>
      <c r="P244" s="140"/>
      <c r="Q244" s="140"/>
      <c r="R244" s="140"/>
      <c r="S244" s="140"/>
      <c r="T244" s="140"/>
      <c r="U244" s="140"/>
      <c r="V244" s="141"/>
      <c r="W244" s="141"/>
      <c r="X244" s="141"/>
      <c r="Y244" s="139"/>
      <c r="Z244" s="230">
        <f>Z245</f>
        <v>0</v>
      </c>
      <c r="AA244" s="230">
        <f>AA245</f>
        <v>180000</v>
      </c>
      <c r="AB244" s="230">
        <f>AB245</f>
        <v>80000</v>
      </c>
      <c r="AC244" s="231"/>
      <c r="AD244" s="227"/>
    </row>
    <row r="245" spans="1:30" ht="123" customHeight="1" x14ac:dyDescent="0.3">
      <c r="A245" s="251" t="s">
        <v>833</v>
      </c>
      <c r="B245" s="140" t="s">
        <v>15</v>
      </c>
      <c r="C245" s="140" t="s">
        <v>143</v>
      </c>
      <c r="D245" s="140" t="s">
        <v>123</v>
      </c>
      <c r="E245" s="263" t="s">
        <v>664</v>
      </c>
      <c r="F245" s="140"/>
      <c r="G245" s="140"/>
      <c r="H245" s="140"/>
      <c r="I245" s="140"/>
      <c r="J245" s="140"/>
      <c r="K245" s="140"/>
      <c r="L245" s="140"/>
      <c r="M245" s="140"/>
      <c r="N245" s="140"/>
      <c r="O245" s="140"/>
      <c r="P245" s="140"/>
      <c r="Q245" s="140"/>
      <c r="R245" s="140"/>
      <c r="S245" s="140"/>
      <c r="T245" s="140" t="s">
        <v>409</v>
      </c>
      <c r="U245" s="140"/>
      <c r="V245" s="141"/>
      <c r="W245" s="141"/>
      <c r="X245" s="141"/>
      <c r="Y245" s="139"/>
      <c r="Z245" s="230">
        <v>0</v>
      </c>
      <c r="AA245" s="230">
        <v>180000</v>
      </c>
      <c r="AB245" s="230">
        <v>80000</v>
      </c>
      <c r="AC245" s="231"/>
      <c r="AD245" s="227"/>
    </row>
    <row r="246" spans="1:30" ht="18.600000000000001" customHeight="1" x14ac:dyDescent="0.3">
      <c r="A246" s="170" t="s">
        <v>164</v>
      </c>
      <c r="B246" s="171" t="s">
        <v>15</v>
      </c>
      <c r="C246" s="171" t="s">
        <v>143</v>
      </c>
      <c r="D246" s="171" t="s">
        <v>136</v>
      </c>
      <c r="E246" s="171"/>
      <c r="F246" s="171"/>
      <c r="G246" s="171"/>
      <c r="H246" s="171"/>
      <c r="I246" s="171"/>
      <c r="J246" s="171"/>
      <c r="K246" s="171"/>
      <c r="L246" s="171"/>
      <c r="M246" s="171"/>
      <c r="N246" s="171"/>
      <c r="O246" s="171"/>
      <c r="P246" s="171"/>
      <c r="Q246" s="171"/>
      <c r="R246" s="171"/>
      <c r="S246" s="171"/>
      <c r="T246" s="171"/>
      <c r="U246" s="171"/>
      <c r="V246" s="240"/>
      <c r="W246" s="240"/>
      <c r="X246" s="240"/>
      <c r="Y246" s="170" t="s">
        <v>164</v>
      </c>
      <c r="Z246" s="241">
        <f>Z247+Z249</f>
        <v>4303200</v>
      </c>
      <c r="AA246" s="241">
        <f>AA247+AA249</f>
        <v>4303200</v>
      </c>
      <c r="AB246" s="241">
        <f>AB247+AB249</f>
        <v>4303200</v>
      </c>
      <c r="AC246" s="226" t="s">
        <v>164</v>
      </c>
      <c r="AD246" s="227"/>
    </row>
    <row r="247" spans="1:30" ht="236.25" customHeight="1" x14ac:dyDescent="0.3">
      <c r="A247" s="162" t="s">
        <v>1157</v>
      </c>
      <c r="B247" s="144" t="s">
        <v>15</v>
      </c>
      <c r="C247" s="144" t="s">
        <v>143</v>
      </c>
      <c r="D247" s="144" t="s">
        <v>136</v>
      </c>
      <c r="E247" s="263" t="s">
        <v>1175</v>
      </c>
      <c r="F247" s="144"/>
      <c r="G247" s="144"/>
      <c r="H247" s="144"/>
      <c r="I247" s="144"/>
      <c r="J247" s="144"/>
      <c r="K247" s="144"/>
      <c r="L247" s="144"/>
      <c r="M247" s="144"/>
      <c r="N247" s="144"/>
      <c r="O247" s="144"/>
      <c r="P247" s="144"/>
      <c r="Q247" s="144"/>
      <c r="R247" s="144"/>
      <c r="S247" s="144"/>
      <c r="T247" s="144"/>
      <c r="U247" s="172"/>
      <c r="V247" s="221"/>
      <c r="W247" s="221"/>
      <c r="X247" s="221"/>
      <c r="Y247" s="162" t="s">
        <v>228</v>
      </c>
      <c r="Z247" s="268">
        <f>Z248</f>
        <v>4303200</v>
      </c>
      <c r="AA247" s="268">
        <f>AA248</f>
        <v>4303200</v>
      </c>
      <c r="AB247" s="268">
        <f>AB248</f>
        <v>4303200</v>
      </c>
      <c r="AC247" s="228" t="s">
        <v>228</v>
      </c>
      <c r="AD247" s="227"/>
    </row>
    <row r="248" spans="1:30" ht="60" customHeight="1" x14ac:dyDescent="0.3">
      <c r="A248" s="139" t="s">
        <v>817</v>
      </c>
      <c r="B248" s="263" t="s">
        <v>15</v>
      </c>
      <c r="C248" s="263" t="s">
        <v>143</v>
      </c>
      <c r="D248" s="263" t="s">
        <v>136</v>
      </c>
      <c r="E248" s="263" t="s">
        <v>1175</v>
      </c>
      <c r="F248" s="263"/>
      <c r="G248" s="263"/>
      <c r="H248" s="263"/>
      <c r="I248" s="263"/>
      <c r="J248" s="263"/>
      <c r="K248" s="263"/>
      <c r="L248" s="263"/>
      <c r="M248" s="263"/>
      <c r="N248" s="263"/>
      <c r="O248" s="263"/>
      <c r="P248" s="263"/>
      <c r="Q248" s="263"/>
      <c r="R248" s="263"/>
      <c r="S248" s="263"/>
      <c r="T248" s="263" t="s">
        <v>366</v>
      </c>
      <c r="U248" s="140"/>
      <c r="V248" s="141"/>
      <c r="W248" s="141"/>
      <c r="X248" s="141"/>
      <c r="Y248" s="139" t="s">
        <v>417</v>
      </c>
      <c r="Z248" s="230">
        <v>4303200</v>
      </c>
      <c r="AA248" s="230">
        <v>4303200</v>
      </c>
      <c r="AB248" s="230">
        <v>4303200</v>
      </c>
      <c r="AC248" s="235" t="s">
        <v>417</v>
      </c>
      <c r="AD248" s="236"/>
    </row>
    <row r="249" spans="1:30" ht="255" hidden="1" customHeight="1" x14ac:dyDescent="0.3">
      <c r="A249" s="162" t="s">
        <v>665</v>
      </c>
      <c r="B249" s="172" t="s">
        <v>15</v>
      </c>
      <c r="C249" s="172" t="s">
        <v>143</v>
      </c>
      <c r="D249" s="172" t="s">
        <v>136</v>
      </c>
      <c r="E249" s="172" t="s">
        <v>666</v>
      </c>
      <c r="F249" s="172"/>
      <c r="G249" s="172"/>
      <c r="H249" s="172"/>
      <c r="I249" s="172"/>
      <c r="J249" s="172"/>
      <c r="K249" s="172"/>
      <c r="L249" s="172"/>
      <c r="M249" s="172"/>
      <c r="N249" s="172"/>
      <c r="O249" s="172"/>
      <c r="P249" s="172"/>
      <c r="Q249" s="172"/>
      <c r="R249" s="172"/>
      <c r="S249" s="172"/>
      <c r="T249" s="172"/>
      <c r="U249" s="172"/>
      <c r="V249" s="221"/>
      <c r="W249" s="221"/>
      <c r="X249" s="221"/>
      <c r="Y249" s="162" t="s">
        <v>229</v>
      </c>
      <c r="Z249" s="268">
        <f>Z250</f>
        <v>0</v>
      </c>
      <c r="AA249" s="268">
        <f>AA250</f>
        <v>0</v>
      </c>
      <c r="AB249" s="268">
        <f>AB250</f>
        <v>0</v>
      </c>
      <c r="AC249" s="228" t="s">
        <v>229</v>
      </c>
      <c r="AD249" s="227"/>
    </row>
    <row r="250" spans="1:30" ht="167.25" hidden="1" customHeight="1" x14ac:dyDescent="0.3">
      <c r="A250" s="164" t="s">
        <v>418</v>
      </c>
      <c r="B250" s="140" t="s">
        <v>15</v>
      </c>
      <c r="C250" s="140" t="s">
        <v>143</v>
      </c>
      <c r="D250" s="140" t="s">
        <v>136</v>
      </c>
      <c r="E250" s="172" t="s">
        <v>666</v>
      </c>
      <c r="F250" s="140"/>
      <c r="G250" s="140"/>
      <c r="H250" s="140"/>
      <c r="I250" s="140"/>
      <c r="J250" s="140"/>
      <c r="K250" s="140"/>
      <c r="L250" s="140"/>
      <c r="M250" s="140"/>
      <c r="N250" s="140"/>
      <c r="O250" s="140"/>
      <c r="P250" s="140"/>
      <c r="Q250" s="140"/>
      <c r="R250" s="140"/>
      <c r="S250" s="140"/>
      <c r="T250" s="140" t="s">
        <v>366</v>
      </c>
      <c r="U250" s="140"/>
      <c r="V250" s="141"/>
      <c r="W250" s="141"/>
      <c r="X250" s="141"/>
      <c r="Y250" s="164" t="s">
        <v>418</v>
      </c>
      <c r="Z250" s="230">
        <v>0</v>
      </c>
      <c r="AA250" s="230">
        <v>0</v>
      </c>
      <c r="AB250" s="230">
        <v>0</v>
      </c>
      <c r="AC250" s="229" t="s">
        <v>418</v>
      </c>
      <c r="AD250" s="227"/>
    </row>
    <row r="251" spans="1:30" ht="18.600000000000001" customHeight="1" x14ac:dyDescent="0.3">
      <c r="A251" s="170" t="s">
        <v>419</v>
      </c>
      <c r="B251" s="171" t="s">
        <v>15</v>
      </c>
      <c r="C251" s="171" t="s">
        <v>128</v>
      </c>
      <c r="D251" s="171" t="s">
        <v>133</v>
      </c>
      <c r="E251" s="171"/>
      <c r="F251" s="171"/>
      <c r="G251" s="171"/>
      <c r="H251" s="171"/>
      <c r="I251" s="171"/>
      <c r="J251" s="171"/>
      <c r="K251" s="171"/>
      <c r="L251" s="171"/>
      <c r="M251" s="171"/>
      <c r="N251" s="171"/>
      <c r="O251" s="171"/>
      <c r="P251" s="171"/>
      <c r="Q251" s="171"/>
      <c r="R251" s="171"/>
      <c r="S251" s="171"/>
      <c r="T251" s="171"/>
      <c r="U251" s="171"/>
      <c r="V251" s="240"/>
      <c r="W251" s="240"/>
      <c r="X251" s="240"/>
      <c r="Y251" s="170" t="s">
        <v>419</v>
      </c>
      <c r="Z251" s="241">
        <f>Z252+Z257</f>
        <v>1150000.0000000002</v>
      </c>
      <c r="AA251" s="241">
        <f>AA252+AA257</f>
        <v>950000</v>
      </c>
      <c r="AB251" s="241">
        <f>AB252+AB257</f>
        <v>250000</v>
      </c>
      <c r="AC251" s="226" t="s">
        <v>419</v>
      </c>
      <c r="AD251" s="227"/>
    </row>
    <row r="252" spans="1:30" ht="18.600000000000001" customHeight="1" x14ac:dyDescent="0.3">
      <c r="A252" s="170" t="s">
        <v>119</v>
      </c>
      <c r="B252" s="171" t="s">
        <v>15</v>
      </c>
      <c r="C252" s="171" t="s">
        <v>128</v>
      </c>
      <c r="D252" s="171" t="s">
        <v>122</v>
      </c>
      <c r="E252" s="171"/>
      <c r="F252" s="171"/>
      <c r="G252" s="171"/>
      <c r="H252" s="171"/>
      <c r="I252" s="171"/>
      <c r="J252" s="171"/>
      <c r="K252" s="171"/>
      <c r="L252" s="171"/>
      <c r="M252" s="171"/>
      <c r="N252" s="171"/>
      <c r="O252" s="171"/>
      <c r="P252" s="171"/>
      <c r="Q252" s="171"/>
      <c r="R252" s="171"/>
      <c r="S252" s="171"/>
      <c r="T252" s="171"/>
      <c r="U252" s="171"/>
      <c r="V252" s="240"/>
      <c r="W252" s="240"/>
      <c r="X252" s="240"/>
      <c r="Y252" s="170" t="s">
        <v>119</v>
      </c>
      <c r="Z252" s="241">
        <f>Z253+Z255</f>
        <v>550000</v>
      </c>
      <c r="AA252" s="241">
        <f>AA253+AA255</f>
        <v>550000</v>
      </c>
      <c r="AB252" s="241">
        <f>AB253+AB255</f>
        <v>150000</v>
      </c>
      <c r="AC252" s="226" t="s">
        <v>119</v>
      </c>
      <c r="AD252" s="227"/>
    </row>
    <row r="253" spans="1:30" ht="145.5" customHeight="1" x14ac:dyDescent="0.3">
      <c r="A253" s="162" t="s">
        <v>667</v>
      </c>
      <c r="B253" s="263" t="s">
        <v>15</v>
      </c>
      <c r="C253" s="263" t="s">
        <v>128</v>
      </c>
      <c r="D253" s="263" t="s">
        <v>122</v>
      </c>
      <c r="E253" s="263" t="s">
        <v>668</v>
      </c>
      <c r="F253" s="172"/>
      <c r="G253" s="172"/>
      <c r="H253" s="172"/>
      <c r="I253" s="172"/>
      <c r="J253" s="172"/>
      <c r="K253" s="172"/>
      <c r="L253" s="172"/>
      <c r="M253" s="172"/>
      <c r="N253" s="172"/>
      <c r="O253" s="172"/>
      <c r="P253" s="172"/>
      <c r="Q253" s="172"/>
      <c r="R253" s="172"/>
      <c r="S253" s="172"/>
      <c r="T253" s="172"/>
      <c r="U253" s="172"/>
      <c r="V253" s="221"/>
      <c r="W253" s="221"/>
      <c r="X253" s="221"/>
      <c r="Y253" s="162" t="s">
        <v>420</v>
      </c>
      <c r="Z253" s="268">
        <f>Z254</f>
        <v>500000</v>
      </c>
      <c r="AA253" s="268">
        <f>AA254</f>
        <v>500000</v>
      </c>
      <c r="AB253" s="268">
        <f>AB254</f>
        <v>100000</v>
      </c>
      <c r="AC253" s="228" t="s">
        <v>420</v>
      </c>
      <c r="AD253" s="227"/>
    </row>
    <row r="254" spans="1:30" ht="78" customHeight="1" x14ac:dyDescent="0.3">
      <c r="A254" s="139" t="s">
        <v>421</v>
      </c>
      <c r="B254" s="144" t="s">
        <v>15</v>
      </c>
      <c r="C254" s="144" t="s">
        <v>128</v>
      </c>
      <c r="D254" s="144" t="s">
        <v>122</v>
      </c>
      <c r="E254" s="263" t="s">
        <v>668</v>
      </c>
      <c r="F254" s="140"/>
      <c r="G254" s="140"/>
      <c r="H254" s="140"/>
      <c r="I254" s="140"/>
      <c r="J254" s="140"/>
      <c r="K254" s="140"/>
      <c r="L254" s="140"/>
      <c r="M254" s="140"/>
      <c r="N254" s="140"/>
      <c r="O254" s="140"/>
      <c r="P254" s="140"/>
      <c r="Q254" s="140"/>
      <c r="R254" s="140"/>
      <c r="S254" s="140"/>
      <c r="T254" s="140" t="s">
        <v>290</v>
      </c>
      <c r="U254" s="140"/>
      <c r="V254" s="141"/>
      <c r="W254" s="141"/>
      <c r="X254" s="141"/>
      <c r="Y254" s="139" t="s">
        <v>421</v>
      </c>
      <c r="Z254" s="230">
        <v>500000</v>
      </c>
      <c r="AA254" s="230">
        <v>500000</v>
      </c>
      <c r="AB254" s="230">
        <v>100000</v>
      </c>
      <c r="AC254" s="231" t="s">
        <v>421</v>
      </c>
      <c r="AD254" s="227"/>
    </row>
    <row r="255" spans="1:30" ht="180" customHeight="1" x14ac:dyDescent="0.3">
      <c r="A255" s="162" t="s">
        <v>669</v>
      </c>
      <c r="B255" s="263" t="s">
        <v>15</v>
      </c>
      <c r="C255" s="263" t="s">
        <v>128</v>
      </c>
      <c r="D255" s="263" t="s">
        <v>122</v>
      </c>
      <c r="E255" s="263" t="s">
        <v>670</v>
      </c>
      <c r="F255" s="172"/>
      <c r="G255" s="172"/>
      <c r="H255" s="172"/>
      <c r="I255" s="172"/>
      <c r="J255" s="172"/>
      <c r="K255" s="172"/>
      <c r="L255" s="172"/>
      <c r="M255" s="172"/>
      <c r="N255" s="172"/>
      <c r="O255" s="172"/>
      <c r="P255" s="172"/>
      <c r="Q255" s="172"/>
      <c r="R255" s="172"/>
      <c r="S255" s="172"/>
      <c r="T255" s="172"/>
      <c r="U255" s="172"/>
      <c r="V255" s="221"/>
      <c r="W255" s="221"/>
      <c r="X255" s="221"/>
      <c r="Y255" s="162" t="s">
        <v>422</v>
      </c>
      <c r="Z255" s="268">
        <f>Z256</f>
        <v>50000</v>
      </c>
      <c r="AA255" s="268">
        <f>AA256</f>
        <v>50000</v>
      </c>
      <c r="AB255" s="268">
        <f>AB256</f>
        <v>50000</v>
      </c>
      <c r="AC255" s="228" t="s">
        <v>422</v>
      </c>
      <c r="AD255" s="227"/>
    </row>
    <row r="256" spans="1:30" ht="105" customHeight="1" x14ac:dyDescent="0.3">
      <c r="A256" s="139" t="s">
        <v>423</v>
      </c>
      <c r="B256" s="144" t="s">
        <v>15</v>
      </c>
      <c r="C256" s="144" t="s">
        <v>128</v>
      </c>
      <c r="D256" s="144" t="s">
        <v>122</v>
      </c>
      <c r="E256" s="263" t="s">
        <v>670</v>
      </c>
      <c r="F256" s="140"/>
      <c r="G256" s="140"/>
      <c r="H256" s="140"/>
      <c r="I256" s="140"/>
      <c r="J256" s="140"/>
      <c r="K256" s="140"/>
      <c r="L256" s="140"/>
      <c r="M256" s="140"/>
      <c r="N256" s="140"/>
      <c r="O256" s="140"/>
      <c r="P256" s="140"/>
      <c r="Q256" s="140"/>
      <c r="R256" s="140"/>
      <c r="S256" s="140"/>
      <c r="T256" s="140" t="s">
        <v>290</v>
      </c>
      <c r="U256" s="140"/>
      <c r="V256" s="141"/>
      <c r="W256" s="141"/>
      <c r="X256" s="141"/>
      <c r="Y256" s="139" t="s">
        <v>423</v>
      </c>
      <c r="Z256" s="230">
        <v>50000</v>
      </c>
      <c r="AA256" s="230">
        <v>50000</v>
      </c>
      <c r="AB256" s="230">
        <v>50000</v>
      </c>
      <c r="AC256" s="231" t="s">
        <v>423</v>
      </c>
      <c r="AD256" s="227"/>
    </row>
    <row r="257" spans="1:30" ht="18.600000000000001" customHeight="1" x14ac:dyDescent="0.3">
      <c r="A257" s="170" t="s">
        <v>166</v>
      </c>
      <c r="B257" s="171" t="s">
        <v>15</v>
      </c>
      <c r="C257" s="171" t="s">
        <v>128</v>
      </c>
      <c r="D257" s="171" t="s">
        <v>132</v>
      </c>
      <c r="E257" s="171"/>
      <c r="F257" s="171"/>
      <c r="G257" s="171"/>
      <c r="H257" s="171"/>
      <c r="I257" s="171"/>
      <c r="J257" s="171"/>
      <c r="K257" s="171"/>
      <c r="L257" s="171"/>
      <c r="M257" s="171"/>
      <c r="N257" s="171"/>
      <c r="O257" s="171"/>
      <c r="P257" s="171"/>
      <c r="Q257" s="171"/>
      <c r="R257" s="171"/>
      <c r="S257" s="171"/>
      <c r="T257" s="171"/>
      <c r="U257" s="171"/>
      <c r="V257" s="240"/>
      <c r="W257" s="240"/>
      <c r="X257" s="240"/>
      <c r="Y257" s="170" t="s">
        <v>166</v>
      </c>
      <c r="Z257" s="241">
        <f>Z258+Z260+Z262</f>
        <v>600000.00000000023</v>
      </c>
      <c r="AA257" s="241">
        <f>AA258+AA260+AA262</f>
        <v>400000</v>
      </c>
      <c r="AB257" s="241">
        <f>AB258+AB260+AB262</f>
        <v>100000</v>
      </c>
      <c r="AC257" s="226" t="s">
        <v>166</v>
      </c>
      <c r="AD257" s="227"/>
    </row>
    <row r="258" spans="1:30" ht="147" customHeight="1" x14ac:dyDescent="0.3">
      <c r="A258" s="162" t="s">
        <v>671</v>
      </c>
      <c r="B258" s="263" t="s">
        <v>15</v>
      </c>
      <c r="C258" s="263" t="s">
        <v>128</v>
      </c>
      <c r="D258" s="263" t="s">
        <v>132</v>
      </c>
      <c r="E258" s="263" t="s">
        <v>672</v>
      </c>
      <c r="F258" s="263"/>
      <c r="G258" s="263"/>
      <c r="H258" s="263"/>
      <c r="I258" s="263"/>
      <c r="J258" s="263"/>
      <c r="K258" s="263"/>
      <c r="L258" s="263"/>
      <c r="M258" s="263"/>
      <c r="N258" s="263"/>
      <c r="O258" s="263"/>
      <c r="P258" s="263"/>
      <c r="Q258" s="263"/>
      <c r="R258" s="263"/>
      <c r="S258" s="263"/>
      <c r="T258" s="263"/>
      <c r="U258" s="172"/>
      <c r="V258" s="221"/>
      <c r="W258" s="221"/>
      <c r="X258" s="221"/>
      <c r="Y258" s="162" t="s">
        <v>424</v>
      </c>
      <c r="Z258" s="268">
        <f>Z259</f>
        <v>300000</v>
      </c>
      <c r="AA258" s="268">
        <f>AA259</f>
        <v>200000</v>
      </c>
      <c r="AB258" s="268">
        <f>AB259</f>
        <v>50000</v>
      </c>
      <c r="AC258" s="228" t="s">
        <v>424</v>
      </c>
      <c r="AD258" s="227"/>
    </row>
    <row r="259" spans="1:30" ht="74.45" customHeight="1" x14ac:dyDescent="0.3">
      <c r="A259" s="139" t="s">
        <v>425</v>
      </c>
      <c r="B259" s="144" t="s">
        <v>15</v>
      </c>
      <c r="C259" s="144" t="s">
        <v>128</v>
      </c>
      <c r="D259" s="144" t="s">
        <v>132</v>
      </c>
      <c r="E259" s="263" t="s">
        <v>672</v>
      </c>
      <c r="F259" s="144"/>
      <c r="G259" s="144"/>
      <c r="H259" s="144"/>
      <c r="I259" s="144"/>
      <c r="J259" s="144"/>
      <c r="K259" s="144"/>
      <c r="L259" s="144"/>
      <c r="M259" s="144"/>
      <c r="N259" s="144"/>
      <c r="O259" s="144"/>
      <c r="P259" s="144"/>
      <c r="Q259" s="144"/>
      <c r="R259" s="144"/>
      <c r="S259" s="144"/>
      <c r="T259" s="144" t="s">
        <v>290</v>
      </c>
      <c r="U259" s="140"/>
      <c r="V259" s="141"/>
      <c r="W259" s="141"/>
      <c r="X259" s="141"/>
      <c r="Y259" s="139" t="s">
        <v>425</v>
      </c>
      <c r="Z259" s="230">
        <v>300000</v>
      </c>
      <c r="AA259" s="230">
        <v>200000</v>
      </c>
      <c r="AB259" s="230">
        <v>50000</v>
      </c>
      <c r="AC259" s="231" t="s">
        <v>425</v>
      </c>
      <c r="AD259" s="227"/>
    </row>
    <row r="260" spans="1:30" ht="158.25" customHeight="1" x14ac:dyDescent="0.3">
      <c r="A260" s="162" t="s">
        <v>673</v>
      </c>
      <c r="B260" s="263" t="s">
        <v>15</v>
      </c>
      <c r="C260" s="263" t="s">
        <v>128</v>
      </c>
      <c r="D260" s="263" t="s">
        <v>132</v>
      </c>
      <c r="E260" s="263" t="s">
        <v>674</v>
      </c>
      <c r="F260" s="263"/>
      <c r="G260" s="263"/>
      <c r="H260" s="263"/>
      <c r="I260" s="263"/>
      <c r="J260" s="263"/>
      <c r="K260" s="263"/>
      <c r="L260" s="263"/>
      <c r="M260" s="263"/>
      <c r="N260" s="263"/>
      <c r="O260" s="263"/>
      <c r="P260" s="263"/>
      <c r="Q260" s="263"/>
      <c r="R260" s="263"/>
      <c r="S260" s="263"/>
      <c r="T260" s="263"/>
      <c r="U260" s="172"/>
      <c r="V260" s="221"/>
      <c r="W260" s="221"/>
      <c r="X260" s="221"/>
      <c r="Y260" s="162" t="s">
        <v>426</v>
      </c>
      <c r="Z260" s="268">
        <f>Z261</f>
        <v>300000</v>
      </c>
      <c r="AA260" s="268">
        <f>AA261</f>
        <v>200000</v>
      </c>
      <c r="AB260" s="268">
        <f>AB261</f>
        <v>50000</v>
      </c>
      <c r="AC260" s="228" t="s">
        <v>426</v>
      </c>
      <c r="AD260" s="227"/>
    </row>
    <row r="261" spans="1:30" ht="70.5" customHeight="1" x14ac:dyDescent="0.3">
      <c r="A261" s="139" t="s">
        <v>427</v>
      </c>
      <c r="B261" s="144" t="s">
        <v>15</v>
      </c>
      <c r="C261" s="144" t="s">
        <v>128</v>
      </c>
      <c r="D261" s="144" t="s">
        <v>132</v>
      </c>
      <c r="E261" s="263" t="s">
        <v>674</v>
      </c>
      <c r="F261" s="144"/>
      <c r="G261" s="144"/>
      <c r="H261" s="144"/>
      <c r="I261" s="144"/>
      <c r="J261" s="144"/>
      <c r="K261" s="144"/>
      <c r="L261" s="144"/>
      <c r="M261" s="144"/>
      <c r="N261" s="144"/>
      <c r="O261" s="144"/>
      <c r="P261" s="144"/>
      <c r="Q261" s="144"/>
      <c r="R261" s="144"/>
      <c r="S261" s="144"/>
      <c r="T261" s="144" t="s">
        <v>290</v>
      </c>
      <c r="U261" s="140"/>
      <c r="V261" s="141"/>
      <c r="W261" s="141"/>
      <c r="X261" s="141"/>
      <c r="Y261" s="139" t="s">
        <v>427</v>
      </c>
      <c r="Z261" s="230">
        <v>300000</v>
      </c>
      <c r="AA261" s="230">
        <v>200000</v>
      </c>
      <c r="AB261" s="230">
        <v>50000</v>
      </c>
      <c r="AC261" s="231" t="s">
        <v>427</v>
      </c>
      <c r="AD261" s="227"/>
    </row>
    <row r="262" spans="1:30" s="317" customFormat="1" ht="147" hidden="1" customHeight="1" x14ac:dyDescent="0.3">
      <c r="A262" s="162" t="s">
        <v>675</v>
      </c>
      <c r="B262" s="144" t="s">
        <v>15</v>
      </c>
      <c r="C262" s="144" t="s">
        <v>128</v>
      </c>
      <c r="D262" s="144" t="s">
        <v>132</v>
      </c>
      <c r="E262" s="263" t="s">
        <v>676</v>
      </c>
      <c r="F262" s="144"/>
      <c r="G262" s="144"/>
      <c r="H262" s="144"/>
      <c r="I262" s="144"/>
      <c r="J262" s="144"/>
      <c r="K262" s="144"/>
      <c r="L262" s="144"/>
      <c r="M262" s="144"/>
      <c r="N262" s="144"/>
      <c r="O262" s="144"/>
      <c r="P262" s="144"/>
      <c r="Q262" s="144"/>
      <c r="R262" s="144"/>
      <c r="S262" s="144"/>
      <c r="T262" s="144"/>
      <c r="U262" s="172"/>
      <c r="V262" s="221"/>
      <c r="W262" s="221"/>
      <c r="X262" s="221"/>
      <c r="Y262" s="162" t="s">
        <v>428</v>
      </c>
      <c r="Z262" s="268">
        <f>Z263</f>
        <v>2.7648638933897018E-10</v>
      </c>
      <c r="AA262" s="268">
        <f>AA263</f>
        <v>0</v>
      </c>
      <c r="AB262" s="268">
        <f>AB263</f>
        <v>0</v>
      </c>
      <c r="AC262" s="313" t="s">
        <v>428</v>
      </c>
      <c r="AD262" s="316"/>
    </row>
    <row r="263" spans="1:30" s="317" customFormat="1" ht="52.5" hidden="1" customHeight="1" x14ac:dyDescent="0.3">
      <c r="A263" s="355" t="s">
        <v>834</v>
      </c>
      <c r="B263" s="144" t="s">
        <v>15</v>
      </c>
      <c r="C263" s="144" t="s">
        <v>128</v>
      </c>
      <c r="D263" s="144" t="s">
        <v>132</v>
      </c>
      <c r="E263" s="263" t="s">
        <v>676</v>
      </c>
      <c r="F263" s="144"/>
      <c r="G263" s="144"/>
      <c r="H263" s="144"/>
      <c r="I263" s="144"/>
      <c r="J263" s="144"/>
      <c r="K263" s="144"/>
      <c r="L263" s="144"/>
      <c r="M263" s="144"/>
      <c r="N263" s="144"/>
      <c r="O263" s="144"/>
      <c r="P263" s="144"/>
      <c r="Q263" s="144"/>
      <c r="R263" s="144"/>
      <c r="S263" s="144"/>
      <c r="T263" s="144" t="s">
        <v>366</v>
      </c>
      <c r="U263" s="140"/>
      <c r="V263" s="141"/>
      <c r="W263" s="141"/>
      <c r="X263" s="141"/>
      <c r="Y263" s="139" t="s">
        <v>429</v>
      </c>
      <c r="Z263" s="230">
        <f>4003610.7-2000000+2000000-27000-2938162-33653.61-274580.79-200000-280000-120000-130214.3</f>
        <v>2.7648638933897018E-10</v>
      </c>
      <c r="AA263" s="230">
        <v>0</v>
      </c>
      <c r="AB263" s="230">
        <v>0</v>
      </c>
      <c r="AC263" s="315" t="s">
        <v>429</v>
      </c>
      <c r="AD263" s="316"/>
    </row>
    <row r="264" spans="1:30" ht="55.9" customHeight="1" x14ac:dyDescent="0.3">
      <c r="A264" s="170" t="s">
        <v>430</v>
      </c>
      <c r="B264" s="171" t="s">
        <v>16</v>
      </c>
      <c r="C264" s="171"/>
      <c r="D264" s="171"/>
      <c r="E264" s="171"/>
      <c r="F264" s="171"/>
      <c r="G264" s="171"/>
      <c r="H264" s="171"/>
      <c r="I264" s="171"/>
      <c r="J264" s="171"/>
      <c r="K264" s="171"/>
      <c r="L264" s="171"/>
      <c r="M264" s="171"/>
      <c r="N264" s="171"/>
      <c r="O264" s="171"/>
      <c r="P264" s="171"/>
      <c r="Q264" s="171"/>
      <c r="R264" s="171"/>
      <c r="S264" s="171"/>
      <c r="T264" s="171"/>
      <c r="U264" s="171"/>
      <c r="V264" s="240"/>
      <c r="W264" s="240"/>
      <c r="X264" s="240"/>
      <c r="Y264" s="170" t="s">
        <v>430</v>
      </c>
      <c r="Z264" s="241">
        <f>Z268+Z338+Z277+Z293+Z332+Z280</f>
        <v>31792270.77</v>
      </c>
      <c r="AA264" s="241">
        <f>AA268+AA338+AA277+AA293+AA332+AA280+AA265</f>
        <v>31792270.77</v>
      </c>
      <c r="AB264" s="241">
        <f>AB268+AB338+AB277+AB293+AB332+AB280+AB265</f>
        <v>31792270.77</v>
      </c>
      <c r="AC264" s="226" t="s">
        <v>430</v>
      </c>
      <c r="AD264" s="227"/>
    </row>
    <row r="265" spans="1:30" ht="18.75" customHeight="1" x14ac:dyDescent="0.3">
      <c r="A265" s="170" t="s">
        <v>517</v>
      </c>
      <c r="B265" s="171" t="s">
        <v>16</v>
      </c>
      <c r="C265" s="171" t="s">
        <v>133</v>
      </c>
      <c r="D265" s="171" t="s">
        <v>133</v>
      </c>
      <c r="E265" s="171"/>
      <c r="F265" s="171"/>
      <c r="G265" s="171"/>
      <c r="H265" s="171"/>
      <c r="I265" s="171"/>
      <c r="J265" s="171"/>
      <c r="K265" s="171"/>
      <c r="L265" s="171"/>
      <c r="M265" s="171"/>
      <c r="N265" s="171"/>
      <c r="O265" s="171"/>
      <c r="P265" s="171"/>
      <c r="Q265" s="171"/>
      <c r="R265" s="171"/>
      <c r="S265" s="171"/>
      <c r="T265" s="171"/>
      <c r="U265" s="171"/>
      <c r="V265" s="240"/>
      <c r="W265" s="240"/>
      <c r="X265" s="240"/>
      <c r="Y265" s="170"/>
      <c r="Z265" s="241">
        <v>0</v>
      </c>
      <c r="AA265" s="241">
        <f>AA266</f>
        <v>0</v>
      </c>
      <c r="AB265" s="241">
        <f>AB266</f>
        <v>0</v>
      </c>
      <c r="AC265" s="226"/>
      <c r="AD265" s="227"/>
    </row>
    <row r="266" spans="1:30" ht="16.5" customHeight="1" x14ac:dyDescent="0.3">
      <c r="A266" s="170" t="s">
        <v>518</v>
      </c>
      <c r="B266" s="171" t="s">
        <v>16</v>
      </c>
      <c r="C266" s="171" t="s">
        <v>133</v>
      </c>
      <c r="D266" s="171" t="s">
        <v>133</v>
      </c>
      <c r="E266" s="171" t="s">
        <v>809</v>
      </c>
      <c r="F266" s="171"/>
      <c r="G266" s="171"/>
      <c r="H266" s="171"/>
      <c r="I266" s="171"/>
      <c r="J266" s="171"/>
      <c r="K266" s="171"/>
      <c r="L266" s="171"/>
      <c r="M266" s="171"/>
      <c r="N266" s="171"/>
      <c r="O266" s="171"/>
      <c r="P266" s="171"/>
      <c r="Q266" s="171"/>
      <c r="R266" s="171"/>
      <c r="S266" s="171"/>
      <c r="T266" s="171"/>
      <c r="U266" s="171"/>
      <c r="V266" s="240"/>
      <c r="W266" s="240"/>
      <c r="X266" s="240"/>
      <c r="Y266" s="170"/>
      <c r="Z266" s="241">
        <v>0</v>
      </c>
      <c r="AA266" s="241">
        <f>AA267</f>
        <v>0</v>
      </c>
      <c r="AB266" s="241">
        <f>AB267</f>
        <v>0</v>
      </c>
      <c r="AC266" s="226"/>
      <c r="AD266" s="227"/>
    </row>
    <row r="267" spans="1:30" ht="27" customHeight="1" x14ac:dyDescent="0.3">
      <c r="A267" s="170" t="s">
        <v>517</v>
      </c>
      <c r="B267" s="171" t="s">
        <v>16</v>
      </c>
      <c r="C267" s="171" t="s">
        <v>133</v>
      </c>
      <c r="D267" s="171" t="s">
        <v>133</v>
      </c>
      <c r="E267" s="171" t="s">
        <v>809</v>
      </c>
      <c r="F267" s="171"/>
      <c r="G267" s="171"/>
      <c r="H267" s="171"/>
      <c r="I267" s="171"/>
      <c r="J267" s="171"/>
      <c r="K267" s="171"/>
      <c r="L267" s="171"/>
      <c r="M267" s="171"/>
      <c r="N267" s="171"/>
      <c r="O267" s="171"/>
      <c r="P267" s="171"/>
      <c r="Q267" s="171"/>
      <c r="R267" s="171"/>
      <c r="S267" s="171"/>
      <c r="T267" s="171" t="s">
        <v>519</v>
      </c>
      <c r="U267" s="171"/>
      <c r="V267" s="240"/>
      <c r="W267" s="240"/>
      <c r="X267" s="240"/>
      <c r="Y267" s="170"/>
      <c r="Z267" s="241">
        <v>0</v>
      </c>
      <c r="AA267" s="241">
        <v>0</v>
      </c>
      <c r="AB267" s="241">
        <v>0</v>
      </c>
      <c r="AC267" s="226"/>
      <c r="AD267" s="227"/>
    </row>
    <row r="268" spans="1:30" ht="37.15" customHeight="1" x14ac:dyDescent="0.3">
      <c r="A268" s="170" t="s">
        <v>285</v>
      </c>
      <c r="B268" s="171" t="s">
        <v>16</v>
      </c>
      <c r="C268" s="171" t="s">
        <v>122</v>
      </c>
      <c r="D268" s="171" t="s">
        <v>133</v>
      </c>
      <c r="E268" s="171"/>
      <c r="F268" s="171"/>
      <c r="G268" s="171"/>
      <c r="H268" s="171"/>
      <c r="I268" s="171"/>
      <c r="J268" s="171"/>
      <c r="K268" s="171"/>
      <c r="L268" s="171"/>
      <c r="M268" s="171"/>
      <c r="N268" s="171"/>
      <c r="O268" s="171"/>
      <c r="P268" s="171"/>
      <c r="Q268" s="171"/>
      <c r="R268" s="171"/>
      <c r="S268" s="171"/>
      <c r="T268" s="171"/>
      <c r="U268" s="171"/>
      <c r="V268" s="240"/>
      <c r="W268" s="240"/>
      <c r="X268" s="240"/>
      <c r="Y268" s="170" t="s">
        <v>285</v>
      </c>
      <c r="Z268" s="241">
        <f>Z269</f>
        <v>11792270.77</v>
      </c>
      <c r="AA268" s="241">
        <f>AA269</f>
        <v>11792270.77</v>
      </c>
      <c r="AB268" s="241">
        <f>AB269</f>
        <v>11792270.77</v>
      </c>
      <c r="AC268" s="226" t="s">
        <v>285</v>
      </c>
      <c r="AD268" s="227"/>
    </row>
    <row r="269" spans="1:30" ht="78.75" customHeight="1" x14ac:dyDescent="0.3">
      <c r="A269" s="170" t="s">
        <v>250</v>
      </c>
      <c r="B269" s="171" t="s">
        <v>16</v>
      </c>
      <c r="C269" s="171" t="s">
        <v>122</v>
      </c>
      <c r="D269" s="171" t="s">
        <v>125</v>
      </c>
      <c r="E269" s="171"/>
      <c r="F269" s="171"/>
      <c r="G269" s="171"/>
      <c r="H269" s="171"/>
      <c r="I269" s="171"/>
      <c r="J269" s="171"/>
      <c r="K269" s="171"/>
      <c r="L269" s="171"/>
      <c r="M269" s="171"/>
      <c r="N269" s="171"/>
      <c r="O269" s="171"/>
      <c r="P269" s="171"/>
      <c r="Q269" s="171"/>
      <c r="R269" s="171"/>
      <c r="S269" s="171"/>
      <c r="T269" s="171"/>
      <c r="U269" s="171"/>
      <c r="V269" s="240"/>
      <c r="W269" s="240"/>
      <c r="X269" s="240"/>
      <c r="Y269" s="170" t="s">
        <v>250</v>
      </c>
      <c r="Z269" s="241">
        <f>Z270+Z274</f>
        <v>11792270.77</v>
      </c>
      <c r="AA269" s="241">
        <f>AA270+AA274</f>
        <v>11792270.77</v>
      </c>
      <c r="AB269" s="241">
        <f>AB270+AB274</f>
        <v>11792270.77</v>
      </c>
      <c r="AC269" s="226" t="s">
        <v>250</v>
      </c>
      <c r="AD269" s="227"/>
    </row>
    <row r="270" spans="1:30" ht="168" customHeight="1" x14ac:dyDescent="0.3">
      <c r="A270" s="162" t="s">
        <v>677</v>
      </c>
      <c r="B270" s="263" t="s">
        <v>16</v>
      </c>
      <c r="C270" s="263" t="s">
        <v>122</v>
      </c>
      <c r="D270" s="263" t="s">
        <v>125</v>
      </c>
      <c r="E270" s="263" t="s">
        <v>678</v>
      </c>
      <c r="F270" s="263"/>
      <c r="G270" s="263"/>
      <c r="H270" s="263"/>
      <c r="I270" s="263"/>
      <c r="J270" s="263"/>
      <c r="K270" s="263"/>
      <c r="L270" s="263"/>
      <c r="M270" s="263"/>
      <c r="N270" s="263"/>
      <c r="O270" s="263"/>
      <c r="P270" s="263"/>
      <c r="Q270" s="263"/>
      <c r="R270" s="263"/>
      <c r="S270" s="263"/>
      <c r="T270" s="263"/>
      <c r="U270" s="172"/>
      <c r="V270" s="221"/>
      <c r="W270" s="221"/>
      <c r="X270" s="221"/>
      <c r="Y270" s="162" t="s">
        <v>431</v>
      </c>
      <c r="Z270" s="268">
        <f>Z271+Z272+Z273</f>
        <v>11216270.77</v>
      </c>
      <c r="AA270" s="268">
        <f>AA271+AA272+AA273</f>
        <v>11216270.77</v>
      </c>
      <c r="AB270" s="268">
        <f>AB271+AB272+AB273</f>
        <v>11216270.77</v>
      </c>
      <c r="AC270" s="228" t="s">
        <v>431</v>
      </c>
      <c r="AD270" s="227"/>
    </row>
    <row r="271" spans="1:30" ht="134.25" customHeight="1" x14ac:dyDescent="0.3">
      <c r="A271" s="139" t="s">
        <v>432</v>
      </c>
      <c r="B271" s="144" t="s">
        <v>16</v>
      </c>
      <c r="C271" s="144" t="s">
        <v>122</v>
      </c>
      <c r="D271" s="144" t="s">
        <v>125</v>
      </c>
      <c r="E271" s="263" t="s">
        <v>678</v>
      </c>
      <c r="F271" s="144"/>
      <c r="G271" s="144"/>
      <c r="H271" s="144"/>
      <c r="I271" s="144"/>
      <c r="J271" s="144"/>
      <c r="K271" s="144"/>
      <c r="L271" s="144"/>
      <c r="M271" s="144"/>
      <c r="N271" s="144"/>
      <c r="O271" s="144"/>
      <c r="P271" s="144"/>
      <c r="Q271" s="144"/>
      <c r="R271" s="144"/>
      <c r="S271" s="144"/>
      <c r="T271" s="144" t="s">
        <v>38</v>
      </c>
      <c r="U271" s="140"/>
      <c r="V271" s="141"/>
      <c r="W271" s="141"/>
      <c r="X271" s="141"/>
      <c r="Y271" s="139" t="s">
        <v>432</v>
      </c>
      <c r="Z271" s="230">
        <f>7520736.38+23900+2253142.39+575000+200000</f>
        <v>10572778.77</v>
      </c>
      <c r="AA271" s="230">
        <f>10372778.77+200000</f>
        <v>10572778.77</v>
      </c>
      <c r="AB271" s="230">
        <f>10372778.77+200000</f>
        <v>10572778.77</v>
      </c>
      <c r="AC271" s="231" t="s">
        <v>432</v>
      </c>
      <c r="AD271" s="227"/>
    </row>
    <row r="272" spans="1:30" ht="93" customHeight="1" x14ac:dyDescent="0.3">
      <c r="A272" s="139" t="s">
        <v>433</v>
      </c>
      <c r="B272" s="144" t="s">
        <v>16</v>
      </c>
      <c r="C272" s="144" t="s">
        <v>122</v>
      </c>
      <c r="D272" s="144" t="s">
        <v>125</v>
      </c>
      <c r="E272" s="263" t="s">
        <v>678</v>
      </c>
      <c r="F272" s="144"/>
      <c r="G272" s="144"/>
      <c r="H272" s="144"/>
      <c r="I272" s="144"/>
      <c r="J272" s="144"/>
      <c r="K272" s="144"/>
      <c r="L272" s="144"/>
      <c r="M272" s="144"/>
      <c r="N272" s="144"/>
      <c r="O272" s="144"/>
      <c r="P272" s="144"/>
      <c r="Q272" s="144"/>
      <c r="R272" s="144"/>
      <c r="S272" s="144"/>
      <c r="T272" s="144" t="s">
        <v>290</v>
      </c>
      <c r="U272" s="140"/>
      <c r="V272" s="141"/>
      <c r="W272" s="141"/>
      <c r="X272" s="141"/>
      <c r="Y272" s="139" t="s">
        <v>433</v>
      </c>
      <c r="Z272" s="230">
        <f>184200+15000+20000+249700+11000+66800+94792</f>
        <v>641492</v>
      </c>
      <c r="AA272" s="230">
        <f>184200+15000+20000+249700+11000+66800+94792</f>
        <v>641492</v>
      </c>
      <c r="AB272" s="230">
        <f>184200+15000+20000+249700+11000+66800+94792</f>
        <v>641492</v>
      </c>
      <c r="AC272" s="231" t="s">
        <v>433</v>
      </c>
      <c r="AD272" s="227"/>
    </row>
    <row r="273" spans="1:30" ht="55.9" customHeight="1" x14ac:dyDescent="0.3">
      <c r="A273" s="139" t="s">
        <v>434</v>
      </c>
      <c r="B273" s="144" t="s">
        <v>16</v>
      </c>
      <c r="C273" s="144" t="s">
        <v>122</v>
      </c>
      <c r="D273" s="144" t="s">
        <v>125</v>
      </c>
      <c r="E273" s="263" t="s">
        <v>678</v>
      </c>
      <c r="F273" s="144"/>
      <c r="G273" s="144"/>
      <c r="H273" s="144"/>
      <c r="I273" s="144"/>
      <c r="J273" s="144"/>
      <c r="K273" s="144"/>
      <c r="L273" s="144"/>
      <c r="M273" s="144"/>
      <c r="N273" s="144"/>
      <c r="O273" s="144"/>
      <c r="P273" s="144"/>
      <c r="Q273" s="144"/>
      <c r="R273" s="144"/>
      <c r="S273" s="144"/>
      <c r="T273" s="144" t="s">
        <v>243</v>
      </c>
      <c r="U273" s="140"/>
      <c r="V273" s="141"/>
      <c r="W273" s="141"/>
      <c r="X273" s="141"/>
      <c r="Y273" s="139" t="s">
        <v>434</v>
      </c>
      <c r="Z273" s="230">
        <f>2000</f>
        <v>2000</v>
      </c>
      <c r="AA273" s="230">
        <v>2000</v>
      </c>
      <c r="AB273" s="230">
        <v>2000</v>
      </c>
      <c r="AC273" s="231" t="s">
        <v>434</v>
      </c>
      <c r="AD273" s="227"/>
    </row>
    <row r="274" spans="1:30" ht="209.25" customHeight="1" x14ac:dyDescent="0.3">
      <c r="A274" s="162" t="s">
        <v>679</v>
      </c>
      <c r="B274" s="263" t="s">
        <v>16</v>
      </c>
      <c r="C274" s="263" t="s">
        <v>122</v>
      </c>
      <c r="D274" s="263" t="s">
        <v>125</v>
      </c>
      <c r="E274" s="263" t="s">
        <v>680</v>
      </c>
      <c r="F274" s="263"/>
      <c r="G274" s="263"/>
      <c r="H274" s="263"/>
      <c r="I274" s="263"/>
      <c r="J274" s="263"/>
      <c r="K274" s="263"/>
      <c r="L274" s="263"/>
      <c r="M274" s="263"/>
      <c r="N274" s="263"/>
      <c r="O274" s="263"/>
      <c r="P274" s="263"/>
      <c r="Q274" s="263"/>
      <c r="R274" s="263"/>
      <c r="S274" s="263"/>
      <c r="T274" s="263"/>
      <c r="U274" s="172"/>
      <c r="V274" s="221"/>
      <c r="W274" s="221"/>
      <c r="X274" s="221"/>
      <c r="Y274" s="162" t="s">
        <v>435</v>
      </c>
      <c r="Z274" s="268">
        <f>Z275</f>
        <v>576000</v>
      </c>
      <c r="AA274" s="268">
        <f>AA275</f>
        <v>576000</v>
      </c>
      <c r="AB274" s="268">
        <f>AB275</f>
        <v>576000</v>
      </c>
      <c r="AC274" s="228" t="s">
        <v>435</v>
      </c>
      <c r="AD274" s="227"/>
    </row>
    <row r="275" spans="1:30" ht="205.5" customHeight="1" x14ac:dyDescent="0.3">
      <c r="A275" s="164" t="s">
        <v>436</v>
      </c>
      <c r="B275" s="144" t="s">
        <v>16</v>
      </c>
      <c r="C275" s="144" t="s">
        <v>122</v>
      </c>
      <c r="D275" s="144" t="s">
        <v>125</v>
      </c>
      <c r="E275" s="263" t="s">
        <v>680</v>
      </c>
      <c r="F275" s="144"/>
      <c r="G275" s="144"/>
      <c r="H275" s="144"/>
      <c r="I275" s="144"/>
      <c r="J275" s="144"/>
      <c r="K275" s="144"/>
      <c r="L275" s="144"/>
      <c r="M275" s="144"/>
      <c r="N275" s="144"/>
      <c r="O275" s="144"/>
      <c r="P275" s="144"/>
      <c r="Q275" s="144"/>
      <c r="R275" s="144"/>
      <c r="S275" s="144"/>
      <c r="T275" s="144" t="s">
        <v>38</v>
      </c>
      <c r="U275" s="140"/>
      <c r="V275" s="141"/>
      <c r="W275" s="141"/>
      <c r="X275" s="141"/>
      <c r="Y275" s="164" t="s">
        <v>436</v>
      </c>
      <c r="Z275" s="230">
        <v>576000</v>
      </c>
      <c r="AA275" s="230">
        <v>576000</v>
      </c>
      <c r="AB275" s="230">
        <v>576000</v>
      </c>
      <c r="AC275" s="229" t="s">
        <v>436</v>
      </c>
      <c r="AD275" s="227"/>
    </row>
    <row r="276" spans="1:30" ht="55.5" hidden="1" customHeight="1" x14ac:dyDescent="0.3">
      <c r="A276" s="170" t="s">
        <v>437</v>
      </c>
      <c r="B276" s="171" t="s">
        <v>16</v>
      </c>
      <c r="C276" s="171" t="s">
        <v>130</v>
      </c>
      <c r="D276" s="171" t="s">
        <v>133</v>
      </c>
      <c r="E276" s="171"/>
      <c r="F276" s="171"/>
      <c r="G276" s="171"/>
      <c r="H276" s="171"/>
      <c r="I276" s="171"/>
      <c r="J276" s="171"/>
      <c r="K276" s="171"/>
      <c r="L276" s="171"/>
      <c r="M276" s="171"/>
      <c r="N276" s="171"/>
      <c r="O276" s="171"/>
      <c r="P276" s="171"/>
      <c r="Q276" s="171"/>
      <c r="R276" s="171"/>
      <c r="S276" s="171"/>
      <c r="T276" s="171"/>
      <c r="U276" s="171"/>
      <c r="V276" s="240"/>
      <c r="W276" s="240"/>
      <c r="X276" s="240"/>
      <c r="Y276" s="170" t="s">
        <v>437</v>
      </c>
      <c r="Z276" s="241">
        <f t="shared" ref="Z276:AB278" si="10">Z277</f>
        <v>0</v>
      </c>
      <c r="AA276" s="241">
        <f t="shared" si="10"/>
        <v>0</v>
      </c>
      <c r="AB276" s="241">
        <f t="shared" si="10"/>
        <v>0</v>
      </c>
      <c r="AC276" s="226" t="s">
        <v>437</v>
      </c>
      <c r="AD276" s="227"/>
    </row>
    <row r="277" spans="1:30" ht="44.25" hidden="1" customHeight="1" x14ac:dyDescent="0.3">
      <c r="A277" s="165" t="s">
        <v>141</v>
      </c>
      <c r="B277" s="144" t="s">
        <v>16</v>
      </c>
      <c r="C277" s="144" t="s">
        <v>122</v>
      </c>
      <c r="D277" s="144" t="s">
        <v>130</v>
      </c>
      <c r="E277" s="144"/>
      <c r="F277" s="144"/>
      <c r="G277" s="144"/>
      <c r="H277" s="144"/>
      <c r="I277" s="144"/>
      <c r="J277" s="144"/>
      <c r="K277" s="144"/>
      <c r="L277" s="144"/>
      <c r="M277" s="144"/>
      <c r="N277" s="144"/>
      <c r="O277" s="144"/>
      <c r="P277" s="144"/>
      <c r="Q277" s="144"/>
      <c r="R277" s="144"/>
      <c r="S277" s="144"/>
      <c r="T277" s="144"/>
      <c r="U277" s="171"/>
      <c r="V277" s="240"/>
      <c r="W277" s="240"/>
      <c r="X277" s="240"/>
      <c r="Y277" s="170" t="s">
        <v>437</v>
      </c>
      <c r="Z277" s="241">
        <f t="shared" si="10"/>
        <v>0</v>
      </c>
      <c r="AA277" s="241">
        <f t="shared" si="10"/>
        <v>0</v>
      </c>
      <c r="AB277" s="241">
        <f t="shared" si="10"/>
        <v>0</v>
      </c>
      <c r="AC277" s="226" t="s">
        <v>255</v>
      </c>
      <c r="AD277" s="227"/>
    </row>
    <row r="278" spans="1:30" ht="89.25" hidden="1" customHeight="1" x14ac:dyDescent="0.3">
      <c r="A278" s="164" t="s">
        <v>863</v>
      </c>
      <c r="B278" s="144" t="s">
        <v>16</v>
      </c>
      <c r="C278" s="144" t="s">
        <v>122</v>
      </c>
      <c r="D278" s="144" t="s">
        <v>130</v>
      </c>
      <c r="E278" s="263" t="s">
        <v>864</v>
      </c>
      <c r="F278" s="144"/>
      <c r="G278" s="144"/>
      <c r="H278" s="144"/>
      <c r="I278" s="144"/>
      <c r="J278" s="144"/>
      <c r="K278" s="144"/>
      <c r="L278" s="144"/>
      <c r="M278" s="144"/>
      <c r="N278" s="144"/>
      <c r="O278" s="144"/>
      <c r="P278" s="144"/>
      <c r="Q278" s="144"/>
      <c r="R278" s="144"/>
      <c r="S278" s="144"/>
      <c r="T278" s="144"/>
      <c r="U278" s="171"/>
      <c r="V278" s="240"/>
      <c r="W278" s="240"/>
      <c r="X278" s="240"/>
      <c r="Y278" s="170" t="s">
        <v>255</v>
      </c>
      <c r="Z278" s="268">
        <f t="shared" si="10"/>
        <v>0</v>
      </c>
      <c r="AA278" s="268">
        <f t="shared" si="10"/>
        <v>0</v>
      </c>
      <c r="AB278" s="268">
        <f t="shared" si="10"/>
        <v>0</v>
      </c>
      <c r="AC278" s="228" t="s">
        <v>438</v>
      </c>
      <c r="AD278" s="227"/>
    </row>
    <row r="279" spans="1:30" ht="30.75" hidden="1" customHeight="1" x14ac:dyDescent="0.3">
      <c r="A279" s="146" t="s">
        <v>865</v>
      </c>
      <c r="B279" s="144" t="s">
        <v>16</v>
      </c>
      <c r="C279" s="144" t="s">
        <v>122</v>
      </c>
      <c r="D279" s="144" t="s">
        <v>130</v>
      </c>
      <c r="E279" s="263" t="s">
        <v>864</v>
      </c>
      <c r="F279" s="144"/>
      <c r="G279" s="144"/>
      <c r="H279" s="144"/>
      <c r="I279" s="144"/>
      <c r="J279" s="144"/>
      <c r="K279" s="144"/>
      <c r="L279" s="144"/>
      <c r="M279" s="144"/>
      <c r="N279" s="144"/>
      <c r="O279" s="144"/>
      <c r="P279" s="144"/>
      <c r="Q279" s="144"/>
      <c r="R279" s="144"/>
      <c r="S279" s="144"/>
      <c r="T279" s="144" t="s">
        <v>243</v>
      </c>
      <c r="U279" s="172"/>
      <c r="V279" s="221"/>
      <c r="W279" s="221"/>
      <c r="X279" s="221"/>
      <c r="Y279" s="162" t="s">
        <v>438</v>
      </c>
      <c r="Z279" s="268">
        <f>91224569.87-91224569.87</f>
        <v>0</v>
      </c>
      <c r="AA279" s="230">
        <v>0</v>
      </c>
      <c r="AB279" s="230">
        <v>0</v>
      </c>
      <c r="AC279" s="231" t="s">
        <v>439</v>
      </c>
      <c r="AD279" s="227"/>
    </row>
    <row r="280" spans="1:30" ht="30.75" hidden="1" customHeight="1" x14ac:dyDescent="0.3">
      <c r="A280" s="170" t="s">
        <v>318</v>
      </c>
      <c r="B280" s="144" t="s">
        <v>16</v>
      </c>
      <c r="C280" s="144" t="s">
        <v>136</v>
      </c>
      <c r="D280" s="144" t="s">
        <v>133</v>
      </c>
      <c r="E280" s="263"/>
      <c r="F280" s="144"/>
      <c r="G280" s="144"/>
      <c r="H280" s="144"/>
      <c r="I280" s="144"/>
      <c r="J280" s="144"/>
      <c r="K280" s="144"/>
      <c r="L280" s="144"/>
      <c r="M280" s="144"/>
      <c r="N280" s="144"/>
      <c r="O280" s="144"/>
      <c r="P280" s="144"/>
      <c r="Q280" s="144"/>
      <c r="R280" s="144"/>
      <c r="S280" s="144"/>
      <c r="T280" s="144"/>
      <c r="U280" s="172"/>
      <c r="V280" s="221"/>
      <c r="W280" s="221"/>
      <c r="X280" s="221"/>
      <c r="Y280" s="162"/>
      <c r="Z280" s="268">
        <f>Z281+Z288</f>
        <v>0</v>
      </c>
      <c r="AA280" s="230"/>
      <c r="AB280" s="230"/>
      <c r="AC280" s="231"/>
      <c r="AD280" s="227"/>
    </row>
    <row r="281" spans="1:30" ht="30.75" hidden="1" customHeight="1" x14ac:dyDescent="0.3">
      <c r="A281" s="170" t="s">
        <v>653</v>
      </c>
      <c r="B281" s="144" t="s">
        <v>16</v>
      </c>
      <c r="C281" s="144" t="s">
        <v>136</v>
      </c>
      <c r="D281" s="144" t="s">
        <v>127</v>
      </c>
      <c r="E281" s="263"/>
      <c r="F281" s="144"/>
      <c r="G281" s="144"/>
      <c r="H281" s="144"/>
      <c r="I281" s="144"/>
      <c r="J281" s="144"/>
      <c r="K281" s="144"/>
      <c r="L281" s="144"/>
      <c r="M281" s="144"/>
      <c r="N281" s="144"/>
      <c r="O281" s="144"/>
      <c r="P281" s="144"/>
      <c r="Q281" s="144"/>
      <c r="R281" s="144"/>
      <c r="S281" s="144"/>
      <c r="T281" s="144"/>
      <c r="U281" s="172"/>
      <c r="V281" s="221"/>
      <c r="W281" s="221"/>
      <c r="X281" s="221"/>
      <c r="Y281" s="162"/>
      <c r="Z281" s="268">
        <f>Z282</f>
        <v>0</v>
      </c>
      <c r="AA281" s="230">
        <v>0</v>
      </c>
      <c r="AB281" s="230">
        <v>0</v>
      </c>
      <c r="AC281" s="231"/>
      <c r="AD281" s="227"/>
    </row>
    <row r="282" spans="1:30" ht="177" hidden="1" customHeight="1" x14ac:dyDescent="0.3">
      <c r="A282" s="162" t="s">
        <v>629</v>
      </c>
      <c r="B282" s="144" t="s">
        <v>16</v>
      </c>
      <c r="C282" s="144" t="s">
        <v>136</v>
      </c>
      <c r="D282" s="144" t="s">
        <v>127</v>
      </c>
      <c r="E282" s="263"/>
      <c r="F282" s="144"/>
      <c r="G282" s="144"/>
      <c r="H282" s="144"/>
      <c r="I282" s="144"/>
      <c r="J282" s="144"/>
      <c r="K282" s="144"/>
      <c r="L282" s="144"/>
      <c r="M282" s="144"/>
      <c r="N282" s="144"/>
      <c r="O282" s="144"/>
      <c r="P282" s="144"/>
      <c r="Q282" s="144"/>
      <c r="R282" s="144"/>
      <c r="S282" s="144"/>
      <c r="T282" s="144"/>
      <c r="U282" s="172"/>
      <c r="V282" s="221"/>
      <c r="W282" s="221"/>
      <c r="X282" s="221"/>
      <c r="Y282" s="162"/>
      <c r="Z282" s="268">
        <f>Z283</f>
        <v>0</v>
      </c>
      <c r="AA282" s="230">
        <v>0</v>
      </c>
      <c r="AB282" s="230">
        <v>0</v>
      </c>
      <c r="AC282" s="231"/>
      <c r="AD282" s="227"/>
    </row>
    <row r="283" spans="1:30" ht="30.75" hidden="1" customHeight="1" x14ac:dyDescent="0.3">
      <c r="A283" s="162" t="s">
        <v>875</v>
      </c>
      <c r="B283" s="144" t="s">
        <v>16</v>
      </c>
      <c r="C283" s="144" t="s">
        <v>136</v>
      </c>
      <c r="D283" s="144" t="s">
        <v>127</v>
      </c>
      <c r="E283" s="263" t="s">
        <v>577</v>
      </c>
      <c r="F283" s="144"/>
      <c r="G283" s="144"/>
      <c r="H283" s="144"/>
      <c r="I283" s="144"/>
      <c r="J283" s="144"/>
      <c r="K283" s="144"/>
      <c r="L283" s="144"/>
      <c r="M283" s="144"/>
      <c r="N283" s="144"/>
      <c r="O283" s="144"/>
      <c r="P283" s="144"/>
      <c r="Q283" s="144"/>
      <c r="R283" s="144"/>
      <c r="S283" s="144"/>
      <c r="T283" s="144" t="s">
        <v>443</v>
      </c>
      <c r="U283" s="172"/>
      <c r="V283" s="221"/>
      <c r="W283" s="221"/>
      <c r="X283" s="221"/>
      <c r="Y283" s="162"/>
      <c r="Z283" s="268">
        <f>Z285+Z286+Z287</f>
        <v>0</v>
      </c>
      <c r="AA283" s="230">
        <v>0</v>
      </c>
      <c r="AB283" s="230">
        <v>0</v>
      </c>
      <c r="AC283" s="231"/>
      <c r="AD283" s="227"/>
    </row>
    <row r="284" spans="1:30" ht="30.75" hidden="1" customHeight="1" x14ac:dyDescent="0.3">
      <c r="A284" s="162" t="s">
        <v>109</v>
      </c>
      <c r="B284" s="144"/>
      <c r="C284" s="144"/>
      <c r="D284" s="144"/>
      <c r="E284" s="263"/>
      <c r="F284" s="144"/>
      <c r="G284" s="144"/>
      <c r="H284" s="144"/>
      <c r="I284" s="144"/>
      <c r="J284" s="144"/>
      <c r="K284" s="144"/>
      <c r="L284" s="144"/>
      <c r="M284" s="144"/>
      <c r="N284" s="144"/>
      <c r="O284" s="144"/>
      <c r="P284" s="144"/>
      <c r="Q284" s="144"/>
      <c r="R284" s="144"/>
      <c r="S284" s="144"/>
      <c r="T284" s="144"/>
      <c r="U284" s="172"/>
      <c r="V284" s="221"/>
      <c r="W284" s="221"/>
      <c r="X284" s="221"/>
      <c r="Y284" s="162"/>
      <c r="Z284" s="268"/>
      <c r="AA284" s="230"/>
      <c r="AB284" s="230"/>
      <c r="AC284" s="231"/>
      <c r="AD284" s="227"/>
    </row>
    <row r="285" spans="1:30" ht="30.75" hidden="1" customHeight="1" x14ac:dyDescent="0.3">
      <c r="A285" s="162" t="s">
        <v>905</v>
      </c>
      <c r="B285" s="144" t="s">
        <v>16</v>
      </c>
      <c r="C285" s="144" t="s">
        <v>136</v>
      </c>
      <c r="D285" s="144" t="s">
        <v>127</v>
      </c>
      <c r="E285" s="263" t="s">
        <v>577</v>
      </c>
      <c r="F285" s="144"/>
      <c r="G285" s="144"/>
      <c r="H285" s="144"/>
      <c r="I285" s="144"/>
      <c r="J285" s="144"/>
      <c r="K285" s="144"/>
      <c r="L285" s="144"/>
      <c r="M285" s="144"/>
      <c r="N285" s="144"/>
      <c r="O285" s="144"/>
      <c r="P285" s="144"/>
      <c r="Q285" s="144"/>
      <c r="R285" s="144"/>
      <c r="S285" s="144"/>
      <c r="T285" s="144" t="s">
        <v>443</v>
      </c>
      <c r="U285" s="172"/>
      <c r="V285" s="221"/>
      <c r="W285" s="221"/>
      <c r="X285" s="221"/>
      <c r="Y285" s="162"/>
      <c r="Z285" s="268">
        <v>0</v>
      </c>
      <c r="AA285" s="230">
        <v>0</v>
      </c>
      <c r="AB285" s="230">
        <v>0</v>
      </c>
      <c r="AC285" s="231"/>
      <c r="AD285" s="227"/>
    </row>
    <row r="286" spans="1:30" ht="30.75" hidden="1" customHeight="1" x14ac:dyDescent="0.3">
      <c r="A286" s="162" t="s">
        <v>892</v>
      </c>
      <c r="B286" s="144" t="s">
        <v>16</v>
      </c>
      <c r="C286" s="144" t="s">
        <v>136</v>
      </c>
      <c r="D286" s="144" t="s">
        <v>127</v>
      </c>
      <c r="E286" s="263" t="s">
        <v>577</v>
      </c>
      <c r="F286" s="144"/>
      <c r="G286" s="144"/>
      <c r="H286" s="144"/>
      <c r="I286" s="144"/>
      <c r="J286" s="144"/>
      <c r="K286" s="144"/>
      <c r="L286" s="144"/>
      <c r="M286" s="144"/>
      <c r="N286" s="144"/>
      <c r="O286" s="144"/>
      <c r="P286" s="144"/>
      <c r="Q286" s="144"/>
      <c r="R286" s="144"/>
      <c r="S286" s="144"/>
      <c r="T286" s="144" t="s">
        <v>443</v>
      </c>
      <c r="U286" s="172"/>
      <c r="V286" s="221"/>
      <c r="W286" s="221"/>
      <c r="X286" s="221"/>
      <c r="Y286" s="162"/>
      <c r="Z286" s="268">
        <v>0</v>
      </c>
      <c r="AA286" s="230">
        <v>0</v>
      </c>
      <c r="AB286" s="230">
        <v>0</v>
      </c>
      <c r="AC286" s="231"/>
      <c r="AD286" s="227"/>
    </row>
    <row r="287" spans="1:30" ht="30.75" hidden="1" customHeight="1" x14ac:dyDescent="0.3">
      <c r="A287" s="256" t="s">
        <v>876</v>
      </c>
      <c r="B287" s="144" t="s">
        <v>16</v>
      </c>
      <c r="C287" s="144" t="s">
        <v>136</v>
      </c>
      <c r="D287" s="144" t="s">
        <v>127</v>
      </c>
      <c r="E287" s="263" t="s">
        <v>577</v>
      </c>
      <c r="F287" s="144"/>
      <c r="G287" s="144"/>
      <c r="H287" s="144"/>
      <c r="I287" s="144"/>
      <c r="J287" s="144"/>
      <c r="K287" s="144"/>
      <c r="L287" s="144"/>
      <c r="M287" s="144"/>
      <c r="N287" s="144"/>
      <c r="O287" s="144"/>
      <c r="P287" s="144"/>
      <c r="Q287" s="144"/>
      <c r="R287" s="144"/>
      <c r="S287" s="144"/>
      <c r="T287" s="144" t="s">
        <v>443</v>
      </c>
      <c r="U287" s="172"/>
      <c r="V287" s="221"/>
      <c r="W287" s="221"/>
      <c r="X287" s="221"/>
      <c r="Y287" s="162"/>
      <c r="Z287" s="268">
        <v>0</v>
      </c>
      <c r="AA287" s="230">
        <v>0</v>
      </c>
      <c r="AB287" s="230">
        <v>0</v>
      </c>
      <c r="AC287" s="231"/>
      <c r="AD287" s="227"/>
    </row>
    <row r="288" spans="1:30" ht="30.75" hidden="1" customHeight="1" x14ac:dyDescent="0.3">
      <c r="A288" s="170" t="s">
        <v>149</v>
      </c>
      <c r="B288" s="144" t="s">
        <v>16</v>
      </c>
      <c r="C288" s="144" t="s">
        <v>136</v>
      </c>
      <c r="D288" s="144" t="s">
        <v>129</v>
      </c>
      <c r="E288" s="263"/>
      <c r="F288" s="144"/>
      <c r="G288" s="144"/>
      <c r="H288" s="144"/>
      <c r="I288" s="144"/>
      <c r="J288" s="144"/>
      <c r="K288" s="144"/>
      <c r="L288" s="144"/>
      <c r="M288" s="144"/>
      <c r="N288" s="144"/>
      <c r="O288" s="144"/>
      <c r="P288" s="144"/>
      <c r="Q288" s="144"/>
      <c r="R288" s="144"/>
      <c r="S288" s="144"/>
      <c r="T288" s="144"/>
      <c r="U288" s="172"/>
      <c r="V288" s="221"/>
      <c r="W288" s="221"/>
      <c r="X288" s="221"/>
      <c r="Y288" s="162"/>
      <c r="Z288" s="268">
        <f>Z290</f>
        <v>0</v>
      </c>
      <c r="AA288" s="230">
        <v>0</v>
      </c>
      <c r="AB288" s="230">
        <v>0</v>
      </c>
      <c r="AC288" s="231"/>
      <c r="AD288" s="227"/>
    </row>
    <row r="289" spans="1:30" ht="120.75" hidden="1" customHeight="1" x14ac:dyDescent="0.3">
      <c r="A289" s="162" t="s">
        <v>1036</v>
      </c>
      <c r="B289" s="144" t="s">
        <v>16</v>
      </c>
      <c r="C289" s="144" t="s">
        <v>136</v>
      </c>
      <c r="D289" s="144" t="s">
        <v>129</v>
      </c>
      <c r="E289" s="263"/>
      <c r="F289" s="144"/>
      <c r="G289" s="144"/>
      <c r="H289" s="144"/>
      <c r="I289" s="144"/>
      <c r="J289" s="144"/>
      <c r="K289" s="144"/>
      <c r="L289" s="144"/>
      <c r="M289" s="144"/>
      <c r="N289" s="144"/>
      <c r="O289" s="144"/>
      <c r="P289" s="144"/>
      <c r="Q289" s="144"/>
      <c r="R289" s="144"/>
      <c r="S289" s="144"/>
      <c r="T289" s="144"/>
      <c r="U289" s="172"/>
      <c r="V289" s="221"/>
      <c r="W289" s="221"/>
      <c r="X289" s="221"/>
      <c r="Y289" s="162"/>
      <c r="Z289" s="268">
        <f>Z290</f>
        <v>0</v>
      </c>
      <c r="AA289" s="230">
        <v>0</v>
      </c>
      <c r="AB289" s="230">
        <v>0</v>
      </c>
      <c r="AC289" s="231"/>
      <c r="AD289" s="227"/>
    </row>
    <row r="290" spans="1:30" ht="30.75" hidden="1" customHeight="1" x14ac:dyDescent="0.3">
      <c r="A290" s="162" t="s">
        <v>875</v>
      </c>
      <c r="B290" s="144" t="s">
        <v>16</v>
      </c>
      <c r="C290" s="144" t="s">
        <v>136</v>
      </c>
      <c r="D290" s="144" t="s">
        <v>129</v>
      </c>
      <c r="E290" s="263" t="s">
        <v>1035</v>
      </c>
      <c r="F290" s="144"/>
      <c r="G290" s="144"/>
      <c r="H290" s="144"/>
      <c r="I290" s="144"/>
      <c r="J290" s="144"/>
      <c r="K290" s="144"/>
      <c r="L290" s="144"/>
      <c r="M290" s="144"/>
      <c r="N290" s="144"/>
      <c r="O290" s="144"/>
      <c r="P290" s="144"/>
      <c r="Q290" s="144"/>
      <c r="R290" s="144"/>
      <c r="S290" s="144"/>
      <c r="T290" s="144" t="s">
        <v>443</v>
      </c>
      <c r="U290" s="172"/>
      <c r="V290" s="221"/>
      <c r="W290" s="221"/>
      <c r="X290" s="221"/>
      <c r="Y290" s="162"/>
      <c r="Z290" s="268">
        <v>0</v>
      </c>
      <c r="AA290" s="230">
        <v>0</v>
      </c>
      <c r="AB290" s="230">
        <v>0</v>
      </c>
      <c r="AC290" s="231"/>
      <c r="AD290" s="227"/>
    </row>
    <row r="291" spans="1:30" ht="30.75" hidden="1" customHeight="1" x14ac:dyDescent="0.3">
      <c r="A291" s="162" t="s">
        <v>109</v>
      </c>
      <c r="B291" s="144"/>
      <c r="C291" s="144"/>
      <c r="D291" s="144"/>
      <c r="E291" s="263"/>
      <c r="F291" s="144"/>
      <c r="G291" s="144"/>
      <c r="H291" s="144"/>
      <c r="I291" s="144"/>
      <c r="J291" s="144"/>
      <c r="K291" s="144"/>
      <c r="L291" s="144"/>
      <c r="M291" s="144"/>
      <c r="N291" s="144"/>
      <c r="O291" s="144"/>
      <c r="P291" s="144"/>
      <c r="Q291" s="144"/>
      <c r="R291" s="144"/>
      <c r="S291" s="144"/>
      <c r="T291" s="144"/>
      <c r="U291" s="172"/>
      <c r="V291" s="221"/>
      <c r="W291" s="221"/>
      <c r="X291" s="221"/>
      <c r="Y291" s="162"/>
      <c r="Z291" s="268"/>
      <c r="AA291" s="230"/>
      <c r="AB291" s="230"/>
      <c r="AC291" s="231"/>
      <c r="AD291" s="227"/>
    </row>
    <row r="292" spans="1:30" ht="30.75" hidden="1" customHeight="1" x14ac:dyDescent="0.3">
      <c r="A292" s="313" t="s">
        <v>904</v>
      </c>
      <c r="B292" s="144" t="s">
        <v>16</v>
      </c>
      <c r="C292" s="144" t="s">
        <v>136</v>
      </c>
      <c r="D292" s="144" t="s">
        <v>129</v>
      </c>
      <c r="E292" s="263" t="s">
        <v>1035</v>
      </c>
      <c r="F292" s="144"/>
      <c r="G292" s="144"/>
      <c r="H292" s="144"/>
      <c r="I292" s="144"/>
      <c r="J292" s="144"/>
      <c r="K292" s="144"/>
      <c r="L292" s="144"/>
      <c r="M292" s="144"/>
      <c r="N292" s="144"/>
      <c r="O292" s="144"/>
      <c r="P292" s="144"/>
      <c r="Q292" s="144"/>
      <c r="R292" s="144"/>
      <c r="S292" s="144"/>
      <c r="T292" s="144" t="s">
        <v>443</v>
      </c>
      <c r="U292" s="172"/>
      <c r="V292" s="221"/>
      <c r="W292" s="221"/>
      <c r="X292" s="221"/>
      <c r="Y292" s="162"/>
      <c r="Z292" s="268">
        <v>0</v>
      </c>
      <c r="AA292" s="230">
        <v>0</v>
      </c>
      <c r="AB292" s="230">
        <v>0</v>
      </c>
      <c r="AC292" s="231"/>
      <c r="AD292" s="227"/>
    </row>
    <row r="293" spans="1:30" ht="30.75" hidden="1" customHeight="1" x14ac:dyDescent="0.3">
      <c r="A293" s="170" t="s">
        <v>363</v>
      </c>
      <c r="B293" s="144" t="s">
        <v>16</v>
      </c>
      <c r="C293" s="144" t="s">
        <v>124</v>
      </c>
      <c r="D293" s="144" t="s">
        <v>133</v>
      </c>
      <c r="E293" s="263"/>
      <c r="F293" s="144"/>
      <c r="G293" s="144"/>
      <c r="H293" s="144"/>
      <c r="I293" s="144"/>
      <c r="J293" s="144"/>
      <c r="K293" s="144"/>
      <c r="L293" s="144"/>
      <c r="M293" s="144"/>
      <c r="N293" s="144"/>
      <c r="O293" s="144"/>
      <c r="P293" s="144"/>
      <c r="Q293" s="144"/>
      <c r="R293" s="144"/>
      <c r="S293" s="144"/>
      <c r="T293" s="144"/>
      <c r="U293" s="172"/>
      <c r="V293" s="221"/>
      <c r="W293" s="221"/>
      <c r="X293" s="221"/>
      <c r="Y293" s="162"/>
      <c r="Z293" s="268">
        <f>Z294+Z303</f>
        <v>0</v>
      </c>
      <c r="AA293" s="230">
        <v>0</v>
      </c>
      <c r="AB293" s="230">
        <v>0</v>
      </c>
      <c r="AC293" s="231"/>
      <c r="AD293" s="227"/>
    </row>
    <row r="294" spans="1:30" ht="30.75" hidden="1" customHeight="1" x14ac:dyDescent="0.3">
      <c r="A294" s="274" t="s">
        <v>151</v>
      </c>
      <c r="B294" s="144" t="s">
        <v>16</v>
      </c>
      <c r="C294" s="144" t="s">
        <v>124</v>
      </c>
      <c r="D294" s="144" t="s">
        <v>132</v>
      </c>
      <c r="E294" s="263"/>
      <c r="F294" s="144"/>
      <c r="G294" s="144"/>
      <c r="H294" s="144"/>
      <c r="I294" s="144"/>
      <c r="J294" s="144"/>
      <c r="K294" s="144"/>
      <c r="L294" s="144"/>
      <c r="M294" s="144"/>
      <c r="N294" s="144"/>
      <c r="O294" s="144"/>
      <c r="P294" s="144"/>
      <c r="Q294" s="144"/>
      <c r="R294" s="144"/>
      <c r="S294" s="144"/>
      <c r="T294" s="144"/>
      <c r="U294" s="172"/>
      <c r="V294" s="221"/>
      <c r="W294" s="221"/>
      <c r="X294" s="221"/>
      <c r="Y294" s="162"/>
      <c r="Z294" s="268">
        <f>Z295</f>
        <v>0</v>
      </c>
      <c r="AA294" s="230">
        <v>0</v>
      </c>
      <c r="AB294" s="230">
        <v>0</v>
      </c>
      <c r="AC294" s="231"/>
      <c r="AD294" s="227"/>
    </row>
    <row r="295" spans="1:30" s="317" customFormat="1" ht="218.25" hidden="1" customHeight="1" x14ac:dyDescent="0.3">
      <c r="A295" s="162" t="s">
        <v>588</v>
      </c>
      <c r="B295" s="144" t="s">
        <v>16</v>
      </c>
      <c r="C295" s="144" t="s">
        <v>124</v>
      </c>
      <c r="D295" s="144" t="s">
        <v>132</v>
      </c>
      <c r="E295" s="263" t="s">
        <v>589</v>
      </c>
      <c r="F295" s="144"/>
      <c r="G295" s="144"/>
      <c r="H295" s="144"/>
      <c r="I295" s="144"/>
      <c r="J295" s="144"/>
      <c r="K295" s="144"/>
      <c r="L295" s="144"/>
      <c r="M295" s="144"/>
      <c r="N295" s="144"/>
      <c r="O295" s="144"/>
      <c r="P295" s="144"/>
      <c r="Q295" s="144"/>
      <c r="R295" s="144"/>
      <c r="S295" s="144"/>
      <c r="T295" s="144"/>
      <c r="U295" s="172"/>
      <c r="V295" s="221"/>
      <c r="W295" s="221"/>
      <c r="X295" s="221"/>
      <c r="Y295" s="162"/>
      <c r="Z295" s="268">
        <f>Z296</f>
        <v>0</v>
      </c>
      <c r="AA295" s="230">
        <v>0</v>
      </c>
      <c r="AB295" s="230">
        <v>0</v>
      </c>
      <c r="AC295" s="315"/>
      <c r="AD295" s="316"/>
    </row>
    <row r="296" spans="1:30" s="317" customFormat="1" ht="30.75" hidden="1" customHeight="1" x14ac:dyDescent="0.3">
      <c r="A296" s="162" t="s">
        <v>875</v>
      </c>
      <c r="B296" s="144" t="s">
        <v>16</v>
      </c>
      <c r="C296" s="144" t="s">
        <v>124</v>
      </c>
      <c r="D296" s="144" t="s">
        <v>132</v>
      </c>
      <c r="E296" s="263" t="s">
        <v>589</v>
      </c>
      <c r="F296" s="144"/>
      <c r="G296" s="144"/>
      <c r="H296" s="144"/>
      <c r="I296" s="144"/>
      <c r="J296" s="144"/>
      <c r="K296" s="144"/>
      <c r="L296" s="144"/>
      <c r="M296" s="144"/>
      <c r="N296" s="144"/>
      <c r="O296" s="144"/>
      <c r="P296" s="144"/>
      <c r="Q296" s="144"/>
      <c r="R296" s="144"/>
      <c r="S296" s="144"/>
      <c r="T296" s="144" t="s">
        <v>443</v>
      </c>
      <c r="U296" s="172"/>
      <c r="V296" s="221"/>
      <c r="W296" s="221"/>
      <c r="X296" s="221"/>
      <c r="Y296" s="162"/>
      <c r="Z296" s="268">
        <f>Z298+Z300+Z301+Z302+Z299</f>
        <v>0</v>
      </c>
      <c r="AA296" s="230">
        <v>0</v>
      </c>
      <c r="AB296" s="230">
        <v>0</v>
      </c>
      <c r="AC296" s="315"/>
      <c r="AD296" s="316"/>
    </row>
    <row r="297" spans="1:30" ht="30.75" hidden="1" customHeight="1" x14ac:dyDescent="0.3">
      <c r="A297" s="162" t="s">
        <v>109</v>
      </c>
      <c r="B297" s="144"/>
      <c r="C297" s="144"/>
      <c r="D297" s="144"/>
      <c r="E297" s="263"/>
      <c r="F297" s="144"/>
      <c r="G297" s="144"/>
      <c r="H297" s="144"/>
      <c r="I297" s="144"/>
      <c r="J297" s="144"/>
      <c r="K297" s="144"/>
      <c r="L297" s="144"/>
      <c r="M297" s="144"/>
      <c r="N297" s="144"/>
      <c r="O297" s="144"/>
      <c r="P297" s="144"/>
      <c r="Q297" s="144"/>
      <c r="R297" s="144"/>
      <c r="S297" s="144"/>
      <c r="T297" s="144"/>
      <c r="U297" s="172"/>
      <c r="V297" s="221"/>
      <c r="W297" s="221"/>
      <c r="X297" s="221"/>
      <c r="Y297" s="162"/>
      <c r="Z297" s="268"/>
      <c r="AA297" s="230"/>
      <c r="AB297" s="230"/>
      <c r="AC297" s="231"/>
      <c r="AD297" s="227"/>
    </row>
    <row r="298" spans="1:30" s="317" customFormat="1" ht="30.75" hidden="1" customHeight="1" x14ac:dyDescent="0.3">
      <c r="A298" s="162" t="s">
        <v>876</v>
      </c>
      <c r="B298" s="144" t="s">
        <v>16</v>
      </c>
      <c r="C298" s="144" t="s">
        <v>124</v>
      </c>
      <c r="D298" s="144" t="s">
        <v>132</v>
      </c>
      <c r="E298" s="263" t="s">
        <v>589</v>
      </c>
      <c r="F298" s="144"/>
      <c r="G298" s="144"/>
      <c r="H298" s="144"/>
      <c r="I298" s="144"/>
      <c r="J298" s="144"/>
      <c r="K298" s="144"/>
      <c r="L298" s="144"/>
      <c r="M298" s="144"/>
      <c r="N298" s="144"/>
      <c r="O298" s="144"/>
      <c r="P298" s="144"/>
      <c r="Q298" s="144"/>
      <c r="R298" s="144"/>
      <c r="S298" s="144"/>
      <c r="T298" s="144" t="s">
        <v>443</v>
      </c>
      <c r="U298" s="172"/>
      <c r="V298" s="221"/>
      <c r="W298" s="221"/>
      <c r="X298" s="221"/>
      <c r="Y298" s="162"/>
      <c r="Z298" s="268">
        <v>0</v>
      </c>
      <c r="AA298" s="230">
        <v>0</v>
      </c>
      <c r="AB298" s="230">
        <v>0</v>
      </c>
      <c r="AC298" s="315"/>
      <c r="AD298" s="316"/>
    </row>
    <row r="299" spans="1:30" s="317" customFormat="1" ht="30.75" hidden="1" customHeight="1" x14ac:dyDescent="0.3">
      <c r="A299" s="162" t="s">
        <v>905</v>
      </c>
      <c r="B299" s="144" t="s">
        <v>16</v>
      </c>
      <c r="C299" s="144" t="s">
        <v>124</v>
      </c>
      <c r="D299" s="144" t="s">
        <v>132</v>
      </c>
      <c r="E299" s="263" t="s">
        <v>997</v>
      </c>
      <c r="F299" s="144"/>
      <c r="G299" s="144"/>
      <c r="H299" s="144"/>
      <c r="I299" s="144"/>
      <c r="J299" s="144"/>
      <c r="K299" s="144"/>
      <c r="L299" s="144"/>
      <c r="M299" s="144"/>
      <c r="N299" s="144"/>
      <c r="O299" s="144"/>
      <c r="P299" s="144"/>
      <c r="Q299" s="144"/>
      <c r="R299" s="144"/>
      <c r="S299" s="144"/>
      <c r="T299" s="144" t="s">
        <v>443</v>
      </c>
      <c r="U299" s="172"/>
      <c r="V299" s="221"/>
      <c r="W299" s="221"/>
      <c r="X299" s="221"/>
      <c r="Y299" s="162"/>
      <c r="Z299" s="268">
        <v>0</v>
      </c>
      <c r="AA299" s="230">
        <v>0</v>
      </c>
      <c r="AB299" s="230">
        <v>0</v>
      </c>
      <c r="AC299" s="315"/>
      <c r="AD299" s="316"/>
    </row>
    <row r="300" spans="1:30" ht="30.75" hidden="1" customHeight="1" x14ac:dyDescent="0.3">
      <c r="A300" s="162" t="s">
        <v>890</v>
      </c>
      <c r="B300" s="144" t="s">
        <v>16</v>
      </c>
      <c r="C300" s="144" t="s">
        <v>124</v>
      </c>
      <c r="D300" s="144" t="s">
        <v>132</v>
      </c>
      <c r="E300" s="263" t="s">
        <v>589</v>
      </c>
      <c r="F300" s="144"/>
      <c r="G300" s="144"/>
      <c r="H300" s="144"/>
      <c r="I300" s="144"/>
      <c r="J300" s="144"/>
      <c r="K300" s="144"/>
      <c r="L300" s="144"/>
      <c r="M300" s="144"/>
      <c r="N300" s="144"/>
      <c r="O300" s="144"/>
      <c r="P300" s="144"/>
      <c r="Q300" s="144"/>
      <c r="R300" s="144"/>
      <c r="S300" s="144"/>
      <c r="T300" s="144" t="s">
        <v>443</v>
      </c>
      <c r="U300" s="172"/>
      <c r="V300" s="221"/>
      <c r="W300" s="221"/>
      <c r="X300" s="221"/>
      <c r="Y300" s="162"/>
      <c r="Z300" s="268">
        <v>0</v>
      </c>
      <c r="AA300" s="230">
        <v>0</v>
      </c>
      <c r="AB300" s="230">
        <v>0</v>
      </c>
      <c r="AC300" s="231"/>
      <c r="AD300" s="227"/>
    </row>
    <row r="301" spans="1:30" s="317" customFormat="1" ht="30.75" hidden="1" customHeight="1" x14ac:dyDescent="0.3">
      <c r="A301" s="162" t="s">
        <v>891</v>
      </c>
      <c r="B301" s="144" t="s">
        <v>16</v>
      </c>
      <c r="C301" s="144" t="s">
        <v>124</v>
      </c>
      <c r="D301" s="144" t="s">
        <v>132</v>
      </c>
      <c r="E301" s="263" t="s">
        <v>589</v>
      </c>
      <c r="F301" s="144"/>
      <c r="G301" s="144"/>
      <c r="H301" s="144"/>
      <c r="I301" s="144"/>
      <c r="J301" s="144"/>
      <c r="K301" s="144"/>
      <c r="L301" s="144"/>
      <c r="M301" s="144"/>
      <c r="N301" s="144"/>
      <c r="O301" s="144"/>
      <c r="P301" s="144"/>
      <c r="Q301" s="144"/>
      <c r="R301" s="144"/>
      <c r="S301" s="144"/>
      <c r="T301" s="144" t="s">
        <v>443</v>
      </c>
      <c r="U301" s="172"/>
      <c r="V301" s="221"/>
      <c r="W301" s="221"/>
      <c r="X301" s="221"/>
      <c r="Y301" s="162"/>
      <c r="Z301" s="268">
        <v>0</v>
      </c>
      <c r="AA301" s="230">
        <v>0</v>
      </c>
      <c r="AB301" s="230">
        <v>0</v>
      </c>
      <c r="AC301" s="315"/>
      <c r="AD301" s="316"/>
    </row>
    <row r="302" spans="1:30" ht="30.75" hidden="1" customHeight="1" x14ac:dyDescent="0.3">
      <c r="A302" s="162" t="s">
        <v>892</v>
      </c>
      <c r="B302" s="144" t="s">
        <v>16</v>
      </c>
      <c r="C302" s="144" t="s">
        <v>124</v>
      </c>
      <c r="D302" s="144" t="s">
        <v>132</v>
      </c>
      <c r="E302" s="263" t="s">
        <v>589</v>
      </c>
      <c r="F302" s="144"/>
      <c r="G302" s="144"/>
      <c r="H302" s="144"/>
      <c r="I302" s="144"/>
      <c r="J302" s="144"/>
      <c r="K302" s="144"/>
      <c r="L302" s="144"/>
      <c r="M302" s="144"/>
      <c r="N302" s="144"/>
      <c r="O302" s="144"/>
      <c r="P302" s="144"/>
      <c r="Q302" s="144"/>
      <c r="R302" s="144"/>
      <c r="S302" s="144"/>
      <c r="T302" s="144" t="s">
        <v>443</v>
      </c>
      <c r="U302" s="172"/>
      <c r="V302" s="221"/>
      <c r="W302" s="221"/>
      <c r="X302" s="221"/>
      <c r="Y302" s="162"/>
      <c r="Z302" s="268">
        <v>0</v>
      </c>
      <c r="AA302" s="230">
        <v>0</v>
      </c>
      <c r="AB302" s="230">
        <v>0</v>
      </c>
      <c r="AC302" s="231"/>
      <c r="AD302" s="227"/>
    </row>
    <row r="303" spans="1:30" ht="0.75" hidden="1" customHeight="1" x14ac:dyDescent="0.3">
      <c r="A303" s="288" t="s">
        <v>152</v>
      </c>
      <c r="B303" s="144" t="s">
        <v>16</v>
      </c>
      <c r="C303" s="144" t="s">
        <v>124</v>
      </c>
      <c r="D303" s="144" t="s">
        <v>123</v>
      </c>
      <c r="E303" s="263"/>
      <c r="F303" s="144"/>
      <c r="G303" s="144"/>
      <c r="H303" s="144"/>
      <c r="I303" s="144"/>
      <c r="J303" s="144"/>
      <c r="K303" s="144"/>
      <c r="L303" s="144"/>
      <c r="M303" s="144"/>
      <c r="N303" s="144"/>
      <c r="O303" s="144"/>
      <c r="P303" s="144"/>
      <c r="Q303" s="144"/>
      <c r="R303" s="144"/>
      <c r="S303" s="144"/>
      <c r="T303" s="144"/>
      <c r="U303" s="172"/>
      <c r="V303" s="221"/>
      <c r="W303" s="221"/>
      <c r="X303" s="221"/>
      <c r="Y303" s="162"/>
      <c r="Z303" s="268">
        <f>Z304+Z328+Z316</f>
        <v>0</v>
      </c>
      <c r="AA303" s="230">
        <v>0</v>
      </c>
      <c r="AB303" s="230">
        <v>0</v>
      </c>
      <c r="AC303" s="231"/>
      <c r="AD303" s="227"/>
    </row>
    <row r="304" spans="1:30" ht="210" hidden="1" customHeight="1" x14ac:dyDescent="0.3">
      <c r="A304" s="161" t="s">
        <v>897</v>
      </c>
      <c r="B304" s="144" t="s">
        <v>16</v>
      </c>
      <c r="C304" s="144" t="s">
        <v>124</v>
      </c>
      <c r="D304" s="144" t="s">
        <v>123</v>
      </c>
      <c r="E304" s="263" t="s">
        <v>592</v>
      </c>
      <c r="F304" s="144"/>
      <c r="G304" s="144"/>
      <c r="H304" s="144"/>
      <c r="I304" s="144"/>
      <c r="J304" s="144"/>
      <c r="K304" s="144"/>
      <c r="L304" s="144"/>
      <c r="M304" s="144"/>
      <c r="N304" s="144"/>
      <c r="O304" s="144"/>
      <c r="P304" s="144"/>
      <c r="Q304" s="144"/>
      <c r="R304" s="144"/>
      <c r="S304" s="144"/>
      <c r="T304" s="144"/>
      <c r="U304" s="172"/>
      <c r="V304" s="221"/>
      <c r="W304" s="221"/>
      <c r="X304" s="221"/>
      <c r="Y304" s="162"/>
      <c r="Z304" s="268">
        <f>Z305</f>
        <v>0</v>
      </c>
      <c r="AA304" s="230">
        <v>0</v>
      </c>
      <c r="AB304" s="230">
        <v>0</v>
      </c>
      <c r="AC304" s="231"/>
      <c r="AD304" s="227"/>
    </row>
    <row r="305" spans="1:30" ht="30.75" hidden="1" customHeight="1" x14ac:dyDescent="0.3">
      <c r="A305" s="162" t="s">
        <v>875</v>
      </c>
      <c r="B305" s="144" t="s">
        <v>16</v>
      </c>
      <c r="C305" s="144" t="s">
        <v>124</v>
      </c>
      <c r="D305" s="144" t="s">
        <v>123</v>
      </c>
      <c r="E305" s="263" t="s">
        <v>592</v>
      </c>
      <c r="F305" s="144"/>
      <c r="G305" s="144"/>
      <c r="H305" s="144"/>
      <c r="I305" s="144"/>
      <c r="J305" s="144"/>
      <c r="K305" s="144"/>
      <c r="L305" s="144"/>
      <c r="M305" s="144"/>
      <c r="N305" s="144"/>
      <c r="O305" s="144"/>
      <c r="P305" s="144"/>
      <c r="Q305" s="144"/>
      <c r="R305" s="144"/>
      <c r="S305" s="144"/>
      <c r="T305" s="144" t="s">
        <v>443</v>
      </c>
      <c r="U305" s="172"/>
      <c r="V305" s="221"/>
      <c r="W305" s="221"/>
      <c r="X305" s="221"/>
      <c r="Y305" s="162"/>
      <c r="Z305" s="268">
        <f>Z307+Z308+Z309+Z310+Z311+Z312+Z313+Z314+Z315</f>
        <v>0</v>
      </c>
      <c r="AA305" s="230">
        <v>0</v>
      </c>
      <c r="AB305" s="230">
        <v>0</v>
      </c>
      <c r="AC305" s="231"/>
      <c r="AD305" s="227"/>
    </row>
    <row r="306" spans="1:30" ht="30.75" hidden="1" customHeight="1" x14ac:dyDescent="0.3">
      <c r="A306" s="162" t="s">
        <v>109</v>
      </c>
      <c r="B306" s="144"/>
      <c r="C306" s="144"/>
      <c r="D306" s="144"/>
      <c r="E306" s="263"/>
      <c r="F306" s="144"/>
      <c r="G306" s="144"/>
      <c r="H306" s="144"/>
      <c r="I306" s="144"/>
      <c r="J306" s="144"/>
      <c r="K306" s="144"/>
      <c r="L306" s="144"/>
      <c r="M306" s="144"/>
      <c r="N306" s="144"/>
      <c r="O306" s="144"/>
      <c r="P306" s="144"/>
      <c r="Q306" s="144"/>
      <c r="R306" s="144"/>
      <c r="S306" s="144"/>
      <c r="T306" s="144"/>
      <c r="U306" s="172"/>
      <c r="V306" s="221"/>
      <c r="W306" s="221"/>
      <c r="X306" s="221"/>
      <c r="Y306" s="162"/>
      <c r="Z306" s="268"/>
      <c r="AA306" s="230"/>
      <c r="AB306" s="230"/>
      <c r="AC306" s="231"/>
      <c r="AD306" s="227"/>
    </row>
    <row r="307" spans="1:30" ht="30.75" hidden="1" customHeight="1" x14ac:dyDescent="0.3">
      <c r="A307" s="313" t="s">
        <v>876</v>
      </c>
      <c r="B307" s="144" t="s">
        <v>16</v>
      </c>
      <c r="C307" s="144" t="s">
        <v>124</v>
      </c>
      <c r="D307" s="144" t="s">
        <v>123</v>
      </c>
      <c r="E307" s="263" t="s">
        <v>592</v>
      </c>
      <c r="F307" s="144"/>
      <c r="G307" s="144"/>
      <c r="H307" s="144"/>
      <c r="I307" s="144"/>
      <c r="J307" s="144"/>
      <c r="K307" s="144"/>
      <c r="L307" s="144"/>
      <c r="M307" s="144"/>
      <c r="N307" s="144"/>
      <c r="O307" s="144"/>
      <c r="P307" s="144"/>
      <c r="Q307" s="144"/>
      <c r="R307" s="144"/>
      <c r="S307" s="144"/>
      <c r="T307" s="144" t="s">
        <v>443</v>
      </c>
      <c r="U307" s="172"/>
      <c r="V307" s="221"/>
      <c r="W307" s="221"/>
      <c r="X307" s="221"/>
      <c r="Y307" s="162"/>
      <c r="Z307" s="268">
        <v>0</v>
      </c>
      <c r="AA307" s="230">
        <v>0</v>
      </c>
      <c r="AB307" s="230">
        <v>0</v>
      </c>
      <c r="AC307" s="231"/>
      <c r="AD307" s="227"/>
    </row>
    <row r="308" spans="1:30" ht="30.75" hidden="1" customHeight="1" x14ac:dyDescent="0.3">
      <c r="A308" s="313" t="s">
        <v>898</v>
      </c>
      <c r="B308" s="144" t="s">
        <v>16</v>
      </c>
      <c r="C308" s="144" t="s">
        <v>124</v>
      </c>
      <c r="D308" s="144" t="s">
        <v>123</v>
      </c>
      <c r="E308" s="263" t="s">
        <v>592</v>
      </c>
      <c r="F308" s="144"/>
      <c r="G308" s="144"/>
      <c r="H308" s="144"/>
      <c r="I308" s="144"/>
      <c r="J308" s="144"/>
      <c r="K308" s="144"/>
      <c r="L308" s="144"/>
      <c r="M308" s="144"/>
      <c r="N308" s="144"/>
      <c r="O308" s="144"/>
      <c r="P308" s="144"/>
      <c r="Q308" s="144"/>
      <c r="R308" s="144"/>
      <c r="S308" s="144"/>
      <c r="T308" s="144" t="s">
        <v>443</v>
      </c>
      <c r="U308" s="172"/>
      <c r="V308" s="221"/>
      <c r="W308" s="221"/>
      <c r="X308" s="221"/>
      <c r="Y308" s="162"/>
      <c r="Z308" s="268">
        <v>0</v>
      </c>
      <c r="AA308" s="230">
        <v>0</v>
      </c>
      <c r="AB308" s="230">
        <v>0</v>
      </c>
      <c r="AC308" s="231"/>
      <c r="AD308" s="227"/>
    </row>
    <row r="309" spans="1:30" ht="30.75" hidden="1" customHeight="1" x14ac:dyDescent="0.3">
      <c r="A309" s="306" t="s">
        <v>899</v>
      </c>
      <c r="B309" s="144" t="s">
        <v>16</v>
      </c>
      <c r="C309" s="144" t="s">
        <v>124</v>
      </c>
      <c r="D309" s="144" t="s">
        <v>123</v>
      </c>
      <c r="E309" s="263" t="s">
        <v>592</v>
      </c>
      <c r="F309" s="144"/>
      <c r="G309" s="144"/>
      <c r="H309" s="144"/>
      <c r="I309" s="144"/>
      <c r="J309" s="144"/>
      <c r="K309" s="144"/>
      <c r="L309" s="144"/>
      <c r="M309" s="144"/>
      <c r="N309" s="144"/>
      <c r="O309" s="144"/>
      <c r="P309" s="144"/>
      <c r="Q309" s="144"/>
      <c r="R309" s="144"/>
      <c r="S309" s="144"/>
      <c r="T309" s="144" t="s">
        <v>443</v>
      </c>
      <c r="U309" s="172"/>
      <c r="V309" s="221"/>
      <c r="W309" s="221"/>
      <c r="X309" s="221"/>
      <c r="Y309" s="162"/>
      <c r="Z309" s="268">
        <v>0</v>
      </c>
      <c r="AA309" s="230">
        <v>0</v>
      </c>
      <c r="AB309" s="230">
        <v>0</v>
      </c>
      <c r="AC309" s="231"/>
      <c r="AD309" s="227"/>
    </row>
    <row r="310" spans="1:30" ht="30.75" hidden="1" customHeight="1" x14ac:dyDescent="0.3">
      <c r="A310" s="306" t="s">
        <v>900</v>
      </c>
      <c r="B310" s="144" t="s">
        <v>16</v>
      </c>
      <c r="C310" s="144" t="s">
        <v>124</v>
      </c>
      <c r="D310" s="144" t="s">
        <v>123</v>
      </c>
      <c r="E310" s="263" t="s">
        <v>592</v>
      </c>
      <c r="F310" s="144"/>
      <c r="G310" s="144"/>
      <c r="H310" s="144"/>
      <c r="I310" s="144"/>
      <c r="J310" s="144"/>
      <c r="K310" s="144"/>
      <c r="L310" s="144"/>
      <c r="M310" s="144"/>
      <c r="N310" s="144"/>
      <c r="O310" s="144"/>
      <c r="P310" s="144"/>
      <c r="Q310" s="144"/>
      <c r="R310" s="144"/>
      <c r="S310" s="144"/>
      <c r="T310" s="144" t="s">
        <v>443</v>
      </c>
      <c r="U310" s="172"/>
      <c r="V310" s="221"/>
      <c r="W310" s="221"/>
      <c r="X310" s="221"/>
      <c r="Y310" s="162"/>
      <c r="Z310" s="268">
        <v>0</v>
      </c>
      <c r="AA310" s="230">
        <v>0</v>
      </c>
      <c r="AB310" s="230">
        <v>0</v>
      </c>
      <c r="AC310" s="231"/>
      <c r="AD310" s="227"/>
    </row>
    <row r="311" spans="1:30" ht="30.75" hidden="1" customHeight="1" x14ac:dyDescent="0.3">
      <c r="A311" s="306" t="s">
        <v>901</v>
      </c>
      <c r="B311" s="144" t="s">
        <v>16</v>
      </c>
      <c r="C311" s="144" t="s">
        <v>124</v>
      </c>
      <c r="D311" s="144" t="s">
        <v>123</v>
      </c>
      <c r="E311" s="263" t="s">
        <v>592</v>
      </c>
      <c r="F311" s="144"/>
      <c r="G311" s="144"/>
      <c r="H311" s="144"/>
      <c r="I311" s="144"/>
      <c r="J311" s="144"/>
      <c r="K311" s="144"/>
      <c r="L311" s="144"/>
      <c r="M311" s="144"/>
      <c r="N311" s="144"/>
      <c r="O311" s="144"/>
      <c r="P311" s="144"/>
      <c r="Q311" s="144"/>
      <c r="R311" s="144"/>
      <c r="S311" s="144"/>
      <c r="T311" s="144" t="s">
        <v>443</v>
      </c>
      <c r="U311" s="172"/>
      <c r="V311" s="221"/>
      <c r="W311" s="221"/>
      <c r="X311" s="221"/>
      <c r="Y311" s="162"/>
      <c r="Z311" s="268">
        <v>0</v>
      </c>
      <c r="AA311" s="230">
        <v>0</v>
      </c>
      <c r="AB311" s="230">
        <v>0</v>
      </c>
      <c r="AC311" s="231"/>
      <c r="AD311" s="227"/>
    </row>
    <row r="312" spans="1:30" ht="30.75" hidden="1" customHeight="1" x14ac:dyDescent="0.3">
      <c r="A312" s="306" t="s">
        <v>902</v>
      </c>
      <c r="B312" s="144" t="s">
        <v>16</v>
      </c>
      <c r="C312" s="144" t="s">
        <v>124</v>
      </c>
      <c r="D312" s="144" t="s">
        <v>123</v>
      </c>
      <c r="E312" s="263" t="s">
        <v>592</v>
      </c>
      <c r="F312" s="144"/>
      <c r="G312" s="144"/>
      <c r="H312" s="144"/>
      <c r="I312" s="144"/>
      <c r="J312" s="144"/>
      <c r="K312" s="144"/>
      <c r="L312" s="144"/>
      <c r="M312" s="144"/>
      <c r="N312" s="144"/>
      <c r="O312" s="144"/>
      <c r="P312" s="144"/>
      <c r="Q312" s="144"/>
      <c r="R312" s="144"/>
      <c r="S312" s="144"/>
      <c r="T312" s="144" t="s">
        <v>443</v>
      </c>
      <c r="U312" s="172"/>
      <c r="V312" s="221"/>
      <c r="W312" s="221"/>
      <c r="X312" s="221"/>
      <c r="Y312" s="162"/>
      <c r="Z312" s="268">
        <v>0</v>
      </c>
      <c r="AA312" s="230">
        <v>0</v>
      </c>
      <c r="AB312" s="230">
        <v>0</v>
      </c>
      <c r="AC312" s="231"/>
      <c r="AD312" s="227"/>
    </row>
    <row r="313" spans="1:30" ht="30.75" hidden="1" customHeight="1" x14ac:dyDescent="0.3">
      <c r="A313" s="306" t="s">
        <v>903</v>
      </c>
      <c r="B313" s="144" t="s">
        <v>16</v>
      </c>
      <c r="C313" s="144" t="s">
        <v>124</v>
      </c>
      <c r="D313" s="144" t="s">
        <v>123</v>
      </c>
      <c r="E313" s="263" t="s">
        <v>592</v>
      </c>
      <c r="F313" s="144"/>
      <c r="G313" s="144"/>
      <c r="H313" s="144"/>
      <c r="I313" s="144"/>
      <c r="J313" s="144"/>
      <c r="K313" s="144"/>
      <c r="L313" s="144"/>
      <c r="M313" s="144"/>
      <c r="N313" s="144"/>
      <c r="O313" s="144"/>
      <c r="P313" s="144"/>
      <c r="Q313" s="144"/>
      <c r="R313" s="144"/>
      <c r="S313" s="144"/>
      <c r="T313" s="144" t="s">
        <v>443</v>
      </c>
      <c r="U313" s="172"/>
      <c r="V313" s="221"/>
      <c r="W313" s="221"/>
      <c r="X313" s="221"/>
      <c r="Y313" s="162"/>
      <c r="Z313" s="268">
        <v>0</v>
      </c>
      <c r="AA313" s="230">
        <v>0</v>
      </c>
      <c r="AB313" s="230">
        <v>0</v>
      </c>
      <c r="AC313" s="231"/>
      <c r="AD313" s="227"/>
    </row>
    <row r="314" spans="1:30" ht="30.75" hidden="1" customHeight="1" x14ac:dyDescent="0.3">
      <c r="A314" s="306" t="s">
        <v>904</v>
      </c>
      <c r="B314" s="144" t="s">
        <v>16</v>
      </c>
      <c r="C314" s="144" t="s">
        <v>124</v>
      </c>
      <c r="D314" s="144" t="s">
        <v>123</v>
      </c>
      <c r="E314" s="263" t="s">
        <v>592</v>
      </c>
      <c r="F314" s="144"/>
      <c r="G314" s="144"/>
      <c r="H314" s="144"/>
      <c r="I314" s="144"/>
      <c r="J314" s="144"/>
      <c r="K314" s="144"/>
      <c r="L314" s="144"/>
      <c r="M314" s="144"/>
      <c r="N314" s="144"/>
      <c r="O314" s="144"/>
      <c r="P314" s="144"/>
      <c r="Q314" s="144"/>
      <c r="R314" s="144"/>
      <c r="S314" s="144"/>
      <c r="T314" s="144" t="s">
        <v>443</v>
      </c>
      <c r="U314" s="172"/>
      <c r="V314" s="221"/>
      <c r="W314" s="221"/>
      <c r="X314" s="221"/>
      <c r="Y314" s="162"/>
      <c r="Z314" s="268">
        <v>0</v>
      </c>
      <c r="AA314" s="230">
        <v>0</v>
      </c>
      <c r="AB314" s="230">
        <v>0</v>
      </c>
      <c r="AC314" s="231"/>
      <c r="AD314" s="227"/>
    </row>
    <row r="315" spans="1:30" ht="30.75" hidden="1" customHeight="1" x14ac:dyDescent="0.3">
      <c r="A315" s="313" t="s">
        <v>905</v>
      </c>
      <c r="B315" s="144" t="s">
        <v>16</v>
      </c>
      <c r="C315" s="144" t="s">
        <v>124</v>
      </c>
      <c r="D315" s="144" t="s">
        <v>123</v>
      </c>
      <c r="E315" s="263" t="s">
        <v>592</v>
      </c>
      <c r="F315" s="144"/>
      <c r="G315" s="144"/>
      <c r="H315" s="144"/>
      <c r="I315" s="144"/>
      <c r="J315" s="144"/>
      <c r="K315" s="144"/>
      <c r="L315" s="144"/>
      <c r="M315" s="144"/>
      <c r="N315" s="144"/>
      <c r="O315" s="144"/>
      <c r="P315" s="144"/>
      <c r="Q315" s="144"/>
      <c r="R315" s="144"/>
      <c r="S315" s="144"/>
      <c r="T315" s="144" t="s">
        <v>443</v>
      </c>
      <c r="U315" s="172"/>
      <c r="V315" s="221"/>
      <c r="W315" s="221"/>
      <c r="X315" s="221"/>
      <c r="Y315" s="162"/>
      <c r="Z315" s="268">
        <f>279864-279864</f>
        <v>0</v>
      </c>
      <c r="AA315" s="230">
        <v>0</v>
      </c>
      <c r="AB315" s="230">
        <v>0</v>
      </c>
      <c r="AC315" s="231"/>
      <c r="AD315" s="227"/>
    </row>
    <row r="316" spans="1:30" ht="116.25" hidden="1" customHeight="1" x14ac:dyDescent="0.3">
      <c r="A316" s="162" t="s">
        <v>593</v>
      </c>
      <c r="B316" s="144" t="s">
        <v>16</v>
      </c>
      <c r="C316" s="144" t="s">
        <v>124</v>
      </c>
      <c r="D316" s="144" t="s">
        <v>123</v>
      </c>
      <c r="E316" s="263"/>
      <c r="F316" s="144"/>
      <c r="G316" s="144"/>
      <c r="H316" s="144"/>
      <c r="I316" s="144"/>
      <c r="J316" s="144"/>
      <c r="K316" s="144"/>
      <c r="L316" s="144"/>
      <c r="M316" s="144"/>
      <c r="N316" s="144"/>
      <c r="O316" s="144"/>
      <c r="P316" s="144"/>
      <c r="Q316" s="144"/>
      <c r="R316" s="144"/>
      <c r="S316" s="144"/>
      <c r="T316" s="144"/>
      <c r="U316" s="172"/>
      <c r="V316" s="221"/>
      <c r="W316" s="221"/>
      <c r="X316" s="221"/>
      <c r="Y316" s="162"/>
      <c r="Z316" s="268">
        <f>Z319+Z320+Z321+Z322+Z323+Z324+Z325+Z326+Z327</f>
        <v>0</v>
      </c>
      <c r="AA316" s="230">
        <v>0</v>
      </c>
      <c r="AB316" s="230">
        <v>0</v>
      </c>
      <c r="AC316" s="231"/>
      <c r="AD316" s="227"/>
    </row>
    <row r="317" spans="1:30" ht="34.5" hidden="1" customHeight="1" x14ac:dyDescent="0.3">
      <c r="A317" s="162" t="s">
        <v>875</v>
      </c>
      <c r="B317" s="144" t="s">
        <v>16</v>
      </c>
      <c r="C317" s="144" t="s">
        <v>124</v>
      </c>
      <c r="D317" s="144" t="s">
        <v>123</v>
      </c>
      <c r="E317" s="263"/>
      <c r="F317" s="144"/>
      <c r="G317" s="144"/>
      <c r="H317" s="144"/>
      <c r="I317" s="144"/>
      <c r="J317" s="144"/>
      <c r="K317" s="144"/>
      <c r="L317" s="144"/>
      <c r="M317" s="144"/>
      <c r="N317" s="144"/>
      <c r="O317" s="144"/>
      <c r="P317" s="144"/>
      <c r="Q317" s="144"/>
      <c r="R317" s="144"/>
      <c r="S317" s="144"/>
      <c r="T317" s="144"/>
      <c r="U317" s="172"/>
      <c r="V317" s="221"/>
      <c r="W317" s="221"/>
      <c r="X317" s="221"/>
      <c r="Y317" s="162"/>
      <c r="Z317" s="268"/>
      <c r="AA317" s="230">
        <v>0</v>
      </c>
      <c r="AB317" s="230">
        <v>0</v>
      </c>
      <c r="AC317" s="231"/>
      <c r="AD317" s="227"/>
    </row>
    <row r="318" spans="1:30" ht="35.25" hidden="1" customHeight="1" x14ac:dyDescent="0.3">
      <c r="A318" s="162" t="s">
        <v>109</v>
      </c>
      <c r="B318" s="144"/>
      <c r="C318" s="144"/>
      <c r="D318" s="144"/>
      <c r="E318" s="263"/>
      <c r="F318" s="144"/>
      <c r="G318" s="144"/>
      <c r="H318" s="144"/>
      <c r="I318" s="144"/>
      <c r="J318" s="144"/>
      <c r="K318" s="144"/>
      <c r="L318" s="144"/>
      <c r="M318" s="144"/>
      <c r="N318" s="144"/>
      <c r="O318" s="144"/>
      <c r="P318" s="144"/>
      <c r="Q318" s="144"/>
      <c r="R318" s="144"/>
      <c r="S318" s="144"/>
      <c r="T318" s="144"/>
      <c r="U318" s="172"/>
      <c r="V318" s="221"/>
      <c r="W318" s="221"/>
      <c r="X318" s="221"/>
      <c r="Y318" s="162"/>
      <c r="Z318" s="268"/>
      <c r="AA318" s="230"/>
      <c r="AB318" s="230"/>
      <c r="AC318" s="231"/>
      <c r="AD318" s="227"/>
    </row>
    <row r="319" spans="1:30" ht="30.75" hidden="1" customHeight="1" x14ac:dyDescent="0.3">
      <c r="A319" s="313" t="s">
        <v>876</v>
      </c>
      <c r="B319" s="144" t="s">
        <v>16</v>
      </c>
      <c r="C319" s="144" t="s">
        <v>124</v>
      </c>
      <c r="D319" s="144" t="s">
        <v>123</v>
      </c>
      <c r="E319" s="263" t="s">
        <v>594</v>
      </c>
      <c r="F319" s="144"/>
      <c r="G319" s="144"/>
      <c r="H319" s="144"/>
      <c r="I319" s="144"/>
      <c r="J319" s="144"/>
      <c r="K319" s="144"/>
      <c r="L319" s="144"/>
      <c r="M319" s="144"/>
      <c r="N319" s="144"/>
      <c r="O319" s="144"/>
      <c r="P319" s="144"/>
      <c r="Q319" s="144"/>
      <c r="R319" s="144"/>
      <c r="S319" s="144"/>
      <c r="T319" s="144" t="s">
        <v>443</v>
      </c>
      <c r="U319" s="172"/>
      <c r="V319" s="221"/>
      <c r="W319" s="221"/>
      <c r="X319" s="221"/>
      <c r="Y319" s="162"/>
      <c r="Z319" s="268">
        <v>0</v>
      </c>
      <c r="AA319" s="230">
        <v>0</v>
      </c>
      <c r="AB319" s="230">
        <v>0</v>
      </c>
      <c r="AC319" s="231"/>
      <c r="AD319" s="227"/>
    </row>
    <row r="320" spans="1:30" ht="30.75" hidden="1" customHeight="1" x14ac:dyDescent="0.3">
      <c r="A320" s="313" t="s">
        <v>898</v>
      </c>
      <c r="B320" s="144" t="s">
        <v>16</v>
      </c>
      <c r="C320" s="144" t="s">
        <v>124</v>
      </c>
      <c r="D320" s="144" t="s">
        <v>123</v>
      </c>
      <c r="E320" s="263" t="s">
        <v>594</v>
      </c>
      <c r="F320" s="144"/>
      <c r="G320" s="144"/>
      <c r="H320" s="144"/>
      <c r="I320" s="144"/>
      <c r="J320" s="144"/>
      <c r="K320" s="144"/>
      <c r="L320" s="144"/>
      <c r="M320" s="144"/>
      <c r="N320" s="144"/>
      <c r="O320" s="144"/>
      <c r="P320" s="144"/>
      <c r="Q320" s="144"/>
      <c r="R320" s="144"/>
      <c r="S320" s="144"/>
      <c r="T320" s="144" t="s">
        <v>443</v>
      </c>
      <c r="U320" s="172"/>
      <c r="V320" s="221"/>
      <c r="W320" s="221"/>
      <c r="X320" s="221"/>
      <c r="Y320" s="162"/>
      <c r="Z320" s="268">
        <v>0</v>
      </c>
      <c r="AA320" s="230">
        <v>0</v>
      </c>
      <c r="AB320" s="230">
        <v>0</v>
      </c>
      <c r="AC320" s="231"/>
      <c r="AD320" s="227"/>
    </row>
    <row r="321" spans="1:30" ht="30.75" hidden="1" customHeight="1" x14ac:dyDescent="0.3">
      <c r="A321" s="313" t="s">
        <v>899</v>
      </c>
      <c r="B321" s="144" t="s">
        <v>16</v>
      </c>
      <c r="C321" s="144" t="s">
        <v>124</v>
      </c>
      <c r="D321" s="144" t="s">
        <v>123</v>
      </c>
      <c r="E321" s="263" t="s">
        <v>594</v>
      </c>
      <c r="F321" s="144"/>
      <c r="G321" s="144"/>
      <c r="H321" s="144"/>
      <c r="I321" s="144"/>
      <c r="J321" s="144"/>
      <c r="K321" s="144"/>
      <c r="L321" s="144"/>
      <c r="M321" s="144"/>
      <c r="N321" s="144"/>
      <c r="O321" s="144"/>
      <c r="P321" s="144"/>
      <c r="Q321" s="144"/>
      <c r="R321" s="144"/>
      <c r="S321" s="144"/>
      <c r="T321" s="144" t="s">
        <v>443</v>
      </c>
      <c r="U321" s="172"/>
      <c r="V321" s="221"/>
      <c r="W321" s="221"/>
      <c r="X321" s="221"/>
      <c r="Y321" s="162"/>
      <c r="Z321" s="268">
        <v>0</v>
      </c>
      <c r="AA321" s="230">
        <v>0</v>
      </c>
      <c r="AB321" s="230">
        <v>0</v>
      </c>
      <c r="AC321" s="231"/>
      <c r="AD321" s="227"/>
    </row>
    <row r="322" spans="1:30" ht="30.75" hidden="1" customHeight="1" x14ac:dyDescent="0.3">
      <c r="A322" s="313" t="s">
        <v>900</v>
      </c>
      <c r="B322" s="144" t="s">
        <v>16</v>
      </c>
      <c r="C322" s="144" t="s">
        <v>124</v>
      </c>
      <c r="D322" s="144" t="s">
        <v>123</v>
      </c>
      <c r="E322" s="263" t="s">
        <v>594</v>
      </c>
      <c r="F322" s="144"/>
      <c r="G322" s="144"/>
      <c r="H322" s="144"/>
      <c r="I322" s="144"/>
      <c r="J322" s="144"/>
      <c r="K322" s="144"/>
      <c r="L322" s="144"/>
      <c r="M322" s="144"/>
      <c r="N322" s="144"/>
      <c r="O322" s="144"/>
      <c r="P322" s="144"/>
      <c r="Q322" s="144"/>
      <c r="R322" s="144"/>
      <c r="S322" s="144"/>
      <c r="T322" s="144" t="s">
        <v>443</v>
      </c>
      <c r="U322" s="172"/>
      <c r="V322" s="221"/>
      <c r="W322" s="221"/>
      <c r="X322" s="221"/>
      <c r="Y322" s="162"/>
      <c r="Z322" s="268">
        <v>0</v>
      </c>
      <c r="AA322" s="230">
        <v>0</v>
      </c>
      <c r="AB322" s="230">
        <v>0</v>
      </c>
      <c r="AC322" s="231"/>
      <c r="AD322" s="227"/>
    </row>
    <row r="323" spans="1:30" ht="30.75" hidden="1" customHeight="1" x14ac:dyDescent="0.3">
      <c r="A323" s="313" t="s">
        <v>901</v>
      </c>
      <c r="B323" s="144" t="s">
        <v>16</v>
      </c>
      <c r="C323" s="144" t="s">
        <v>124</v>
      </c>
      <c r="D323" s="144" t="s">
        <v>123</v>
      </c>
      <c r="E323" s="263" t="s">
        <v>594</v>
      </c>
      <c r="F323" s="144"/>
      <c r="G323" s="144"/>
      <c r="H323" s="144"/>
      <c r="I323" s="144"/>
      <c r="J323" s="144"/>
      <c r="K323" s="144"/>
      <c r="L323" s="144"/>
      <c r="M323" s="144"/>
      <c r="N323" s="144"/>
      <c r="O323" s="144"/>
      <c r="P323" s="144"/>
      <c r="Q323" s="144"/>
      <c r="R323" s="144"/>
      <c r="S323" s="144"/>
      <c r="T323" s="144" t="s">
        <v>443</v>
      </c>
      <c r="U323" s="172"/>
      <c r="V323" s="221"/>
      <c r="W323" s="221"/>
      <c r="X323" s="221"/>
      <c r="Y323" s="162"/>
      <c r="Z323" s="268">
        <v>0</v>
      </c>
      <c r="AA323" s="230">
        <v>0</v>
      </c>
      <c r="AB323" s="230">
        <v>0</v>
      </c>
      <c r="AC323" s="231"/>
      <c r="AD323" s="227"/>
    </row>
    <row r="324" spans="1:30" ht="30.75" hidden="1" customHeight="1" x14ac:dyDescent="0.3">
      <c r="A324" s="313" t="s">
        <v>902</v>
      </c>
      <c r="B324" s="144" t="s">
        <v>16</v>
      </c>
      <c r="C324" s="144" t="s">
        <v>124</v>
      </c>
      <c r="D324" s="144" t="s">
        <v>123</v>
      </c>
      <c r="E324" s="263" t="s">
        <v>594</v>
      </c>
      <c r="F324" s="144"/>
      <c r="G324" s="144"/>
      <c r="H324" s="144"/>
      <c r="I324" s="144"/>
      <c r="J324" s="144"/>
      <c r="K324" s="144"/>
      <c r="L324" s="144"/>
      <c r="M324" s="144"/>
      <c r="N324" s="144"/>
      <c r="O324" s="144"/>
      <c r="P324" s="144"/>
      <c r="Q324" s="144"/>
      <c r="R324" s="144"/>
      <c r="S324" s="144"/>
      <c r="T324" s="144" t="s">
        <v>443</v>
      </c>
      <c r="U324" s="172"/>
      <c r="V324" s="221"/>
      <c r="W324" s="221"/>
      <c r="X324" s="221"/>
      <c r="Y324" s="162"/>
      <c r="Z324" s="268">
        <v>0</v>
      </c>
      <c r="AA324" s="230">
        <v>0</v>
      </c>
      <c r="AB324" s="230">
        <v>0</v>
      </c>
      <c r="AC324" s="231"/>
      <c r="AD324" s="227"/>
    </row>
    <row r="325" spans="1:30" ht="30.75" hidden="1" customHeight="1" x14ac:dyDescent="0.3">
      <c r="A325" s="313" t="s">
        <v>903</v>
      </c>
      <c r="B325" s="144" t="s">
        <v>16</v>
      </c>
      <c r="C325" s="144" t="s">
        <v>124</v>
      </c>
      <c r="D325" s="144" t="s">
        <v>123</v>
      </c>
      <c r="E325" s="263" t="s">
        <v>594</v>
      </c>
      <c r="F325" s="144"/>
      <c r="G325" s="144"/>
      <c r="H325" s="144"/>
      <c r="I325" s="144"/>
      <c r="J325" s="144"/>
      <c r="K325" s="144"/>
      <c r="L325" s="144"/>
      <c r="M325" s="144"/>
      <c r="N325" s="144"/>
      <c r="O325" s="144"/>
      <c r="P325" s="144"/>
      <c r="Q325" s="144"/>
      <c r="R325" s="144"/>
      <c r="S325" s="144"/>
      <c r="T325" s="144" t="s">
        <v>443</v>
      </c>
      <c r="U325" s="172"/>
      <c r="V325" s="221"/>
      <c r="W325" s="221"/>
      <c r="X325" s="221"/>
      <c r="Y325" s="162"/>
      <c r="Z325" s="268">
        <v>0</v>
      </c>
      <c r="AA325" s="230">
        <v>0</v>
      </c>
      <c r="AB325" s="230">
        <v>0</v>
      </c>
      <c r="AC325" s="231"/>
      <c r="AD325" s="227"/>
    </row>
    <row r="326" spans="1:30" ht="30.75" hidden="1" customHeight="1" x14ac:dyDescent="0.3">
      <c r="A326" s="313" t="s">
        <v>904</v>
      </c>
      <c r="B326" s="144" t="s">
        <v>16</v>
      </c>
      <c r="C326" s="144" t="s">
        <v>124</v>
      </c>
      <c r="D326" s="144" t="s">
        <v>123</v>
      </c>
      <c r="E326" s="263" t="s">
        <v>594</v>
      </c>
      <c r="F326" s="144"/>
      <c r="G326" s="144"/>
      <c r="H326" s="144"/>
      <c r="I326" s="144"/>
      <c r="J326" s="144"/>
      <c r="K326" s="144"/>
      <c r="L326" s="144"/>
      <c r="M326" s="144"/>
      <c r="N326" s="144"/>
      <c r="O326" s="144"/>
      <c r="P326" s="144"/>
      <c r="Q326" s="144"/>
      <c r="R326" s="144"/>
      <c r="S326" s="144"/>
      <c r="T326" s="144" t="s">
        <v>443</v>
      </c>
      <c r="U326" s="172"/>
      <c r="V326" s="221"/>
      <c r="W326" s="221"/>
      <c r="X326" s="221"/>
      <c r="Y326" s="162"/>
      <c r="Z326" s="268">
        <v>0</v>
      </c>
      <c r="AA326" s="230">
        <v>0</v>
      </c>
      <c r="AB326" s="230">
        <v>0</v>
      </c>
      <c r="AC326" s="231"/>
      <c r="AD326" s="227"/>
    </row>
    <row r="327" spans="1:30" ht="30.75" hidden="1" customHeight="1" x14ac:dyDescent="0.3">
      <c r="A327" s="313" t="s">
        <v>905</v>
      </c>
      <c r="B327" s="144" t="s">
        <v>16</v>
      </c>
      <c r="C327" s="144" t="s">
        <v>124</v>
      </c>
      <c r="D327" s="144" t="s">
        <v>123</v>
      </c>
      <c r="E327" s="263" t="s">
        <v>594</v>
      </c>
      <c r="F327" s="144"/>
      <c r="G327" s="144"/>
      <c r="H327" s="144"/>
      <c r="I327" s="144"/>
      <c r="J327" s="144"/>
      <c r="K327" s="144"/>
      <c r="L327" s="144"/>
      <c r="M327" s="144"/>
      <c r="N327" s="144"/>
      <c r="O327" s="144"/>
      <c r="P327" s="144"/>
      <c r="Q327" s="144"/>
      <c r="R327" s="144"/>
      <c r="S327" s="144"/>
      <c r="T327" s="144" t="s">
        <v>443</v>
      </c>
      <c r="U327" s="172"/>
      <c r="V327" s="221"/>
      <c r="W327" s="221"/>
      <c r="X327" s="221"/>
      <c r="Y327" s="162"/>
      <c r="Z327" s="268">
        <v>0</v>
      </c>
      <c r="AA327" s="230">
        <v>0</v>
      </c>
      <c r="AB327" s="230">
        <v>0</v>
      </c>
      <c r="AC327" s="231"/>
      <c r="AD327" s="227"/>
    </row>
    <row r="328" spans="1:30" ht="117.75" hidden="1" customHeight="1" x14ac:dyDescent="0.3">
      <c r="A328" s="162" t="s">
        <v>830</v>
      </c>
      <c r="B328" s="144" t="s">
        <v>16</v>
      </c>
      <c r="C328" s="144" t="s">
        <v>124</v>
      </c>
      <c r="D328" s="144" t="s">
        <v>123</v>
      </c>
      <c r="E328" s="263" t="s">
        <v>599</v>
      </c>
      <c r="F328" s="144"/>
      <c r="G328" s="144"/>
      <c r="H328" s="144"/>
      <c r="I328" s="144"/>
      <c r="J328" s="144"/>
      <c r="K328" s="144"/>
      <c r="L328" s="144"/>
      <c r="M328" s="144"/>
      <c r="N328" s="144"/>
      <c r="O328" s="144"/>
      <c r="P328" s="144"/>
      <c r="Q328" s="144"/>
      <c r="R328" s="144"/>
      <c r="S328" s="144"/>
      <c r="T328" s="144"/>
      <c r="U328" s="172"/>
      <c r="V328" s="221"/>
      <c r="W328" s="221"/>
      <c r="X328" s="221"/>
      <c r="Y328" s="162"/>
      <c r="Z328" s="268">
        <f>Z329</f>
        <v>0</v>
      </c>
      <c r="AA328" s="230">
        <v>0</v>
      </c>
      <c r="AB328" s="230">
        <v>0</v>
      </c>
      <c r="AC328" s="231"/>
      <c r="AD328" s="227"/>
    </row>
    <row r="329" spans="1:30" ht="30.75" hidden="1" customHeight="1" x14ac:dyDescent="0.3">
      <c r="A329" s="162" t="s">
        <v>875</v>
      </c>
      <c r="B329" s="144" t="s">
        <v>16</v>
      </c>
      <c r="C329" s="144" t="s">
        <v>124</v>
      </c>
      <c r="D329" s="144" t="s">
        <v>123</v>
      </c>
      <c r="E329" s="263" t="s">
        <v>599</v>
      </c>
      <c r="F329" s="144"/>
      <c r="G329" s="144"/>
      <c r="H329" s="144"/>
      <c r="I329" s="144"/>
      <c r="J329" s="144"/>
      <c r="K329" s="144"/>
      <c r="L329" s="144"/>
      <c r="M329" s="144"/>
      <c r="N329" s="144"/>
      <c r="O329" s="144"/>
      <c r="P329" s="144"/>
      <c r="Q329" s="144"/>
      <c r="R329" s="144"/>
      <c r="S329" s="144"/>
      <c r="T329" s="144" t="s">
        <v>443</v>
      </c>
      <c r="U329" s="172"/>
      <c r="V329" s="221"/>
      <c r="W329" s="221"/>
      <c r="X329" s="221"/>
      <c r="Y329" s="162"/>
      <c r="Z329" s="268">
        <f>Z331</f>
        <v>0</v>
      </c>
      <c r="AA329" s="230">
        <v>0</v>
      </c>
      <c r="AB329" s="230">
        <v>0</v>
      </c>
      <c r="AC329" s="231"/>
      <c r="AD329" s="227"/>
    </row>
    <row r="330" spans="1:30" ht="30.75" hidden="1" customHeight="1" x14ac:dyDescent="0.3">
      <c r="A330" s="162" t="s">
        <v>109</v>
      </c>
      <c r="B330" s="144"/>
      <c r="C330" s="144"/>
      <c r="D330" s="144"/>
      <c r="E330" s="263"/>
      <c r="F330" s="144"/>
      <c r="G330" s="144"/>
      <c r="H330" s="144"/>
      <c r="I330" s="144"/>
      <c r="J330" s="144"/>
      <c r="K330" s="144"/>
      <c r="L330" s="144"/>
      <c r="M330" s="144"/>
      <c r="N330" s="144"/>
      <c r="O330" s="144"/>
      <c r="P330" s="144"/>
      <c r="Q330" s="144"/>
      <c r="R330" s="144"/>
      <c r="S330" s="144"/>
      <c r="T330" s="144"/>
      <c r="U330" s="172"/>
      <c r="V330" s="221"/>
      <c r="W330" s="221"/>
      <c r="X330" s="221"/>
      <c r="Y330" s="162"/>
      <c r="Z330" s="268"/>
      <c r="AA330" s="230"/>
      <c r="AB330" s="230"/>
      <c r="AC330" s="231"/>
      <c r="AD330" s="227"/>
    </row>
    <row r="331" spans="1:30" ht="30.75" hidden="1" customHeight="1" x14ac:dyDescent="0.3">
      <c r="A331" s="306" t="s">
        <v>905</v>
      </c>
      <c r="B331" s="144" t="s">
        <v>16</v>
      </c>
      <c r="C331" s="144" t="s">
        <v>124</v>
      </c>
      <c r="D331" s="144" t="s">
        <v>123</v>
      </c>
      <c r="E331" s="263" t="s">
        <v>599</v>
      </c>
      <c r="F331" s="144"/>
      <c r="G331" s="144"/>
      <c r="H331" s="144"/>
      <c r="I331" s="144"/>
      <c r="J331" s="144"/>
      <c r="K331" s="144"/>
      <c r="L331" s="144"/>
      <c r="M331" s="144"/>
      <c r="N331" s="144"/>
      <c r="O331" s="144"/>
      <c r="P331" s="144"/>
      <c r="Q331" s="144"/>
      <c r="R331" s="144"/>
      <c r="S331" s="144"/>
      <c r="T331" s="144" t="s">
        <v>443</v>
      </c>
      <c r="U331" s="172"/>
      <c r="V331" s="221"/>
      <c r="W331" s="221"/>
      <c r="X331" s="221"/>
      <c r="Y331" s="162"/>
      <c r="Z331" s="268">
        <v>0</v>
      </c>
      <c r="AA331" s="230">
        <v>0</v>
      </c>
      <c r="AB331" s="230">
        <v>0</v>
      </c>
      <c r="AC331" s="231"/>
      <c r="AD331" s="227"/>
    </row>
    <row r="332" spans="1:30" ht="30.75" hidden="1" customHeight="1" x14ac:dyDescent="0.3">
      <c r="A332" s="170" t="s">
        <v>395</v>
      </c>
      <c r="B332" s="144" t="s">
        <v>16</v>
      </c>
      <c r="C332" s="144" t="s">
        <v>126</v>
      </c>
      <c r="D332" s="144" t="s">
        <v>122</v>
      </c>
      <c r="E332" s="263"/>
      <c r="F332" s="144"/>
      <c r="G332" s="144"/>
      <c r="H332" s="144"/>
      <c r="I332" s="144"/>
      <c r="J332" s="144"/>
      <c r="K332" s="144"/>
      <c r="L332" s="144"/>
      <c r="M332" s="144"/>
      <c r="N332" s="144"/>
      <c r="O332" s="144"/>
      <c r="P332" s="144"/>
      <c r="Q332" s="144"/>
      <c r="R332" s="144"/>
      <c r="S332" s="144"/>
      <c r="T332" s="144"/>
      <c r="U332" s="172"/>
      <c r="V332" s="221"/>
      <c r="W332" s="221"/>
      <c r="X332" s="221"/>
      <c r="Y332" s="162"/>
      <c r="Z332" s="268">
        <f>Z333</f>
        <v>0</v>
      </c>
      <c r="AA332" s="230">
        <v>0</v>
      </c>
      <c r="AB332" s="230">
        <v>0</v>
      </c>
      <c r="AC332" s="231"/>
      <c r="AD332" s="227"/>
    </row>
    <row r="333" spans="1:30" ht="178.5" hidden="1" customHeight="1" x14ac:dyDescent="0.3">
      <c r="A333" s="162" t="s">
        <v>619</v>
      </c>
      <c r="B333" s="144" t="s">
        <v>16</v>
      </c>
      <c r="C333" s="144" t="s">
        <v>126</v>
      </c>
      <c r="D333" s="144" t="s">
        <v>122</v>
      </c>
      <c r="E333" s="263" t="s">
        <v>620</v>
      </c>
      <c r="F333" s="144"/>
      <c r="G333" s="144"/>
      <c r="H333" s="144"/>
      <c r="I333" s="144"/>
      <c r="J333" s="144"/>
      <c r="K333" s="144"/>
      <c r="L333" s="144"/>
      <c r="M333" s="144"/>
      <c r="N333" s="144"/>
      <c r="O333" s="144"/>
      <c r="P333" s="144"/>
      <c r="Q333" s="144"/>
      <c r="R333" s="144"/>
      <c r="S333" s="144"/>
      <c r="T333" s="144"/>
      <c r="U333" s="172"/>
      <c r="V333" s="221"/>
      <c r="W333" s="221"/>
      <c r="X333" s="221"/>
      <c r="Y333" s="162"/>
      <c r="Z333" s="268">
        <f>Z334</f>
        <v>0</v>
      </c>
      <c r="AA333" s="230">
        <v>0</v>
      </c>
      <c r="AB333" s="230">
        <v>0</v>
      </c>
      <c r="AC333" s="231"/>
      <c r="AD333" s="227"/>
    </row>
    <row r="334" spans="1:30" ht="30.75" hidden="1" customHeight="1" x14ac:dyDescent="0.3">
      <c r="A334" s="162" t="s">
        <v>875</v>
      </c>
      <c r="B334" s="144" t="s">
        <v>16</v>
      </c>
      <c r="C334" s="144" t="s">
        <v>126</v>
      </c>
      <c r="D334" s="144" t="s">
        <v>122</v>
      </c>
      <c r="E334" s="263" t="s">
        <v>620</v>
      </c>
      <c r="F334" s="144"/>
      <c r="G334" s="144"/>
      <c r="H334" s="144"/>
      <c r="I334" s="144"/>
      <c r="J334" s="144"/>
      <c r="K334" s="144"/>
      <c r="L334" s="144"/>
      <c r="M334" s="144"/>
      <c r="N334" s="144"/>
      <c r="O334" s="144"/>
      <c r="P334" s="144"/>
      <c r="Q334" s="144"/>
      <c r="R334" s="144"/>
      <c r="S334" s="144"/>
      <c r="T334" s="144" t="s">
        <v>443</v>
      </c>
      <c r="U334" s="172"/>
      <c r="V334" s="221"/>
      <c r="W334" s="221"/>
      <c r="X334" s="221"/>
      <c r="Y334" s="162"/>
      <c r="Z334" s="268">
        <v>0</v>
      </c>
      <c r="AA334" s="230">
        <v>0</v>
      </c>
      <c r="AB334" s="230">
        <v>0</v>
      </c>
      <c r="AC334" s="231"/>
      <c r="AD334" s="227"/>
    </row>
    <row r="335" spans="1:30" ht="30.75" hidden="1" customHeight="1" x14ac:dyDescent="0.3">
      <c r="A335" s="162" t="s">
        <v>109</v>
      </c>
      <c r="B335" s="144"/>
      <c r="C335" s="144"/>
      <c r="D335" s="144"/>
      <c r="E335" s="263"/>
      <c r="F335" s="144"/>
      <c r="G335" s="144"/>
      <c r="H335" s="144"/>
      <c r="I335" s="144"/>
      <c r="J335" s="144"/>
      <c r="K335" s="144"/>
      <c r="L335" s="144"/>
      <c r="M335" s="144"/>
      <c r="N335" s="144"/>
      <c r="O335" s="144"/>
      <c r="P335" s="144"/>
      <c r="Q335" s="144"/>
      <c r="R335" s="144"/>
      <c r="S335" s="144"/>
      <c r="T335" s="144"/>
      <c r="U335" s="172"/>
      <c r="V335" s="221"/>
      <c r="W335" s="221"/>
      <c r="X335" s="221"/>
      <c r="Y335" s="162"/>
      <c r="Z335" s="268"/>
      <c r="AA335" s="230"/>
      <c r="AB335" s="230"/>
      <c r="AC335" s="231"/>
      <c r="AD335" s="227"/>
    </row>
    <row r="336" spans="1:30" ht="30.75" hidden="1" customHeight="1" x14ac:dyDescent="0.3">
      <c r="A336" s="306" t="s">
        <v>903</v>
      </c>
      <c r="B336" s="144" t="s">
        <v>16</v>
      </c>
      <c r="C336" s="144" t="s">
        <v>126</v>
      </c>
      <c r="D336" s="144" t="s">
        <v>122</v>
      </c>
      <c r="E336" s="263" t="s">
        <v>620</v>
      </c>
      <c r="F336" s="144"/>
      <c r="G336" s="144"/>
      <c r="H336" s="144"/>
      <c r="I336" s="144"/>
      <c r="J336" s="144"/>
      <c r="K336" s="144"/>
      <c r="L336" s="144"/>
      <c r="M336" s="144"/>
      <c r="N336" s="144"/>
      <c r="O336" s="144"/>
      <c r="P336" s="144"/>
      <c r="Q336" s="144"/>
      <c r="R336" s="144"/>
      <c r="S336" s="144"/>
      <c r="T336" s="144" t="s">
        <v>443</v>
      </c>
      <c r="U336" s="172"/>
      <c r="V336" s="221"/>
      <c r="W336" s="221"/>
      <c r="X336" s="221"/>
      <c r="Y336" s="162"/>
      <c r="Z336" s="268">
        <v>0</v>
      </c>
      <c r="AA336" s="230">
        <v>0</v>
      </c>
      <c r="AB336" s="230">
        <v>0</v>
      </c>
      <c r="AC336" s="231"/>
      <c r="AD336" s="227"/>
    </row>
    <row r="337" spans="1:30" ht="30.75" hidden="1" customHeight="1" x14ac:dyDescent="0.3">
      <c r="A337" s="306" t="s">
        <v>902</v>
      </c>
      <c r="B337" s="144" t="s">
        <v>16</v>
      </c>
      <c r="C337" s="144" t="s">
        <v>126</v>
      </c>
      <c r="D337" s="144" t="s">
        <v>122</v>
      </c>
      <c r="E337" s="263" t="s">
        <v>620</v>
      </c>
      <c r="F337" s="144"/>
      <c r="G337" s="144"/>
      <c r="H337" s="144"/>
      <c r="I337" s="144"/>
      <c r="J337" s="144"/>
      <c r="K337" s="144"/>
      <c r="L337" s="144"/>
      <c r="M337" s="144"/>
      <c r="N337" s="144"/>
      <c r="O337" s="144"/>
      <c r="P337" s="144"/>
      <c r="Q337" s="144"/>
      <c r="R337" s="144"/>
      <c r="S337" s="144"/>
      <c r="T337" s="144" t="s">
        <v>443</v>
      </c>
      <c r="U337" s="172"/>
      <c r="V337" s="221"/>
      <c r="W337" s="221"/>
      <c r="X337" s="221"/>
      <c r="Y337" s="162"/>
      <c r="Z337" s="268">
        <v>0</v>
      </c>
      <c r="AA337" s="230">
        <v>0</v>
      </c>
      <c r="AB337" s="230">
        <v>0</v>
      </c>
      <c r="AC337" s="231"/>
      <c r="AD337" s="227"/>
    </row>
    <row r="338" spans="1:30" ht="93" customHeight="1" x14ac:dyDescent="0.3">
      <c r="A338" s="170" t="s">
        <v>804</v>
      </c>
      <c r="B338" s="171" t="s">
        <v>16</v>
      </c>
      <c r="C338" s="171" t="s">
        <v>131</v>
      </c>
      <c r="D338" s="171" t="s">
        <v>133</v>
      </c>
      <c r="E338" s="171"/>
      <c r="F338" s="171"/>
      <c r="G338" s="171"/>
      <c r="H338" s="171"/>
      <c r="I338" s="171"/>
      <c r="J338" s="171"/>
      <c r="K338" s="171"/>
      <c r="L338" s="171"/>
      <c r="M338" s="171"/>
      <c r="N338" s="171"/>
      <c r="O338" s="171"/>
      <c r="P338" s="171"/>
      <c r="Q338" s="171"/>
      <c r="R338" s="171"/>
      <c r="S338" s="171"/>
      <c r="T338" s="171"/>
      <c r="U338" s="171"/>
      <c r="V338" s="240"/>
      <c r="W338" s="240"/>
      <c r="X338" s="240"/>
      <c r="Y338" s="170" t="s">
        <v>440</v>
      </c>
      <c r="Z338" s="241">
        <f t="shared" ref="Z338:AB340" si="11">Z339</f>
        <v>20000000</v>
      </c>
      <c r="AA338" s="241">
        <f t="shared" si="11"/>
        <v>20000000</v>
      </c>
      <c r="AB338" s="241">
        <f t="shared" si="11"/>
        <v>20000000</v>
      </c>
      <c r="AC338" s="226" t="s">
        <v>440</v>
      </c>
      <c r="AD338" s="227"/>
    </row>
    <row r="339" spans="1:30" ht="74.45" customHeight="1" x14ac:dyDescent="0.3">
      <c r="A339" s="170" t="s">
        <v>169</v>
      </c>
      <c r="B339" s="171" t="s">
        <v>16</v>
      </c>
      <c r="C339" s="171" t="s">
        <v>131</v>
      </c>
      <c r="D339" s="171" t="s">
        <v>122</v>
      </c>
      <c r="E339" s="171"/>
      <c r="F339" s="171"/>
      <c r="G339" s="171"/>
      <c r="H339" s="171"/>
      <c r="I339" s="171"/>
      <c r="J339" s="171"/>
      <c r="K339" s="171"/>
      <c r="L339" s="171"/>
      <c r="M339" s="171"/>
      <c r="N339" s="171"/>
      <c r="O339" s="171"/>
      <c r="P339" s="171"/>
      <c r="Q339" s="171"/>
      <c r="R339" s="171"/>
      <c r="S339" s="171"/>
      <c r="T339" s="171"/>
      <c r="U339" s="171"/>
      <c r="V339" s="240"/>
      <c r="W339" s="240"/>
      <c r="X339" s="240"/>
      <c r="Y339" s="170" t="s">
        <v>169</v>
      </c>
      <c r="Z339" s="241">
        <f t="shared" si="11"/>
        <v>20000000</v>
      </c>
      <c r="AA339" s="241">
        <f t="shared" si="11"/>
        <v>20000000</v>
      </c>
      <c r="AB339" s="241">
        <f t="shared" si="11"/>
        <v>20000000</v>
      </c>
      <c r="AC339" s="226" t="s">
        <v>169</v>
      </c>
      <c r="AD339" s="227"/>
    </row>
    <row r="340" spans="1:30" ht="192" customHeight="1" x14ac:dyDescent="0.3">
      <c r="A340" s="165" t="s">
        <v>681</v>
      </c>
      <c r="B340" s="263" t="s">
        <v>16</v>
      </c>
      <c r="C340" s="263" t="s">
        <v>131</v>
      </c>
      <c r="D340" s="263" t="s">
        <v>122</v>
      </c>
      <c r="E340" s="263" t="s">
        <v>682</v>
      </c>
      <c r="F340" s="263"/>
      <c r="G340" s="263"/>
      <c r="H340" s="263"/>
      <c r="I340" s="263"/>
      <c r="J340" s="263"/>
      <c r="K340" s="263"/>
      <c r="L340" s="263"/>
      <c r="M340" s="263"/>
      <c r="N340" s="263"/>
      <c r="O340" s="263"/>
      <c r="P340" s="263"/>
      <c r="Q340" s="263"/>
      <c r="R340" s="263"/>
      <c r="S340" s="263"/>
      <c r="T340" s="263"/>
      <c r="U340" s="172"/>
      <c r="V340" s="221"/>
      <c r="W340" s="221"/>
      <c r="X340" s="221"/>
      <c r="Y340" s="165" t="s">
        <v>441</v>
      </c>
      <c r="Z340" s="268">
        <f t="shared" si="11"/>
        <v>20000000</v>
      </c>
      <c r="AA340" s="268">
        <f t="shared" si="11"/>
        <v>20000000</v>
      </c>
      <c r="AB340" s="268">
        <f t="shared" si="11"/>
        <v>20000000</v>
      </c>
      <c r="AC340" s="232" t="s">
        <v>441</v>
      </c>
      <c r="AD340" s="227"/>
    </row>
    <row r="341" spans="1:30" ht="87" customHeight="1" x14ac:dyDescent="0.3">
      <c r="A341" s="164" t="s">
        <v>683</v>
      </c>
      <c r="B341" s="144" t="s">
        <v>16</v>
      </c>
      <c r="C341" s="144" t="s">
        <v>131</v>
      </c>
      <c r="D341" s="144" t="s">
        <v>122</v>
      </c>
      <c r="E341" s="263" t="s">
        <v>682</v>
      </c>
      <c r="F341" s="144"/>
      <c r="G341" s="144"/>
      <c r="H341" s="144"/>
      <c r="I341" s="144"/>
      <c r="J341" s="144"/>
      <c r="K341" s="144"/>
      <c r="L341" s="144"/>
      <c r="M341" s="144"/>
      <c r="N341" s="144"/>
      <c r="O341" s="144"/>
      <c r="P341" s="144"/>
      <c r="Q341" s="144"/>
      <c r="R341" s="144"/>
      <c r="S341" s="144"/>
      <c r="T341" s="144" t="s">
        <v>443</v>
      </c>
      <c r="U341" s="140"/>
      <c r="V341" s="141"/>
      <c r="W341" s="141"/>
      <c r="X341" s="141"/>
      <c r="Y341" s="164" t="s">
        <v>442</v>
      </c>
      <c r="Z341" s="230">
        <v>20000000</v>
      </c>
      <c r="AA341" s="230">
        <v>20000000</v>
      </c>
      <c r="AB341" s="230">
        <v>20000000</v>
      </c>
      <c r="AC341" s="229" t="s">
        <v>442</v>
      </c>
      <c r="AD341" s="227"/>
    </row>
    <row r="342" spans="1:30" ht="55.9" customHeight="1" x14ac:dyDescent="0.3">
      <c r="A342" s="170" t="s">
        <v>805</v>
      </c>
      <c r="B342" s="171" t="s">
        <v>18</v>
      </c>
      <c r="C342" s="171"/>
      <c r="D342" s="171"/>
      <c r="E342" s="171"/>
      <c r="F342" s="171"/>
      <c r="G342" s="171"/>
      <c r="H342" s="171"/>
      <c r="I342" s="171"/>
      <c r="J342" s="171"/>
      <c r="K342" s="171"/>
      <c r="L342" s="171"/>
      <c r="M342" s="171"/>
      <c r="N342" s="171"/>
      <c r="O342" s="171"/>
      <c r="P342" s="171"/>
      <c r="Q342" s="171"/>
      <c r="R342" s="171"/>
      <c r="S342" s="171"/>
      <c r="T342" s="171"/>
      <c r="U342" s="171"/>
      <c r="V342" s="240"/>
      <c r="W342" s="240"/>
      <c r="X342" s="240"/>
      <c r="Y342" s="170" t="s">
        <v>444</v>
      </c>
      <c r="Z342" s="241">
        <f>Z343+Z410</f>
        <v>419924797.97999996</v>
      </c>
      <c r="AA342" s="241">
        <f>AA343+AA410</f>
        <v>427516294.12</v>
      </c>
      <c r="AB342" s="241">
        <f>AB343+AB410</f>
        <v>428357056.46000004</v>
      </c>
      <c r="AC342" s="226" t="s">
        <v>444</v>
      </c>
      <c r="AD342" s="227"/>
    </row>
    <row r="343" spans="1:30" ht="18.600000000000001" customHeight="1" x14ac:dyDescent="0.3">
      <c r="A343" s="170" t="s">
        <v>382</v>
      </c>
      <c r="B343" s="171" t="s">
        <v>18</v>
      </c>
      <c r="C343" s="171" t="s">
        <v>138</v>
      </c>
      <c r="D343" s="171" t="s">
        <v>133</v>
      </c>
      <c r="E343" s="171"/>
      <c r="F343" s="171"/>
      <c r="G343" s="171"/>
      <c r="H343" s="171"/>
      <c r="I343" s="171"/>
      <c r="J343" s="171"/>
      <c r="K343" s="171"/>
      <c r="L343" s="171"/>
      <c r="M343" s="171"/>
      <c r="N343" s="171"/>
      <c r="O343" s="171"/>
      <c r="P343" s="171"/>
      <c r="Q343" s="171"/>
      <c r="R343" s="171"/>
      <c r="S343" s="171"/>
      <c r="T343" s="171"/>
      <c r="U343" s="171"/>
      <c r="V343" s="240"/>
      <c r="W343" s="240"/>
      <c r="X343" s="240"/>
      <c r="Y343" s="170" t="s">
        <v>382</v>
      </c>
      <c r="Z343" s="241">
        <f>Z344+Z357+Z388+Z399</f>
        <v>391380134.97999996</v>
      </c>
      <c r="AA343" s="241">
        <f>AA344+AA357+AA388+AA399</f>
        <v>398788086.12</v>
      </c>
      <c r="AB343" s="241">
        <f>AB344+AB357+AB388+AB399</f>
        <v>399628848.46000004</v>
      </c>
      <c r="AC343" s="226" t="s">
        <v>382</v>
      </c>
      <c r="AD343" s="227"/>
    </row>
    <row r="344" spans="1:30" ht="18.600000000000001" customHeight="1" x14ac:dyDescent="0.3">
      <c r="A344" s="170" t="s">
        <v>155</v>
      </c>
      <c r="B344" s="171" t="s">
        <v>18</v>
      </c>
      <c r="C344" s="171" t="s">
        <v>138</v>
      </c>
      <c r="D344" s="171" t="s">
        <v>122</v>
      </c>
      <c r="E344" s="171"/>
      <c r="F344" s="171"/>
      <c r="G344" s="171"/>
      <c r="H344" s="171"/>
      <c r="I344" s="171"/>
      <c r="J344" s="171"/>
      <c r="K344" s="171"/>
      <c r="L344" s="171"/>
      <c r="M344" s="171"/>
      <c r="N344" s="171"/>
      <c r="O344" s="171"/>
      <c r="P344" s="171"/>
      <c r="Q344" s="171"/>
      <c r="R344" s="171"/>
      <c r="S344" s="171"/>
      <c r="T344" s="171"/>
      <c r="U344" s="171"/>
      <c r="V344" s="240"/>
      <c r="W344" s="240"/>
      <c r="X344" s="240"/>
      <c r="Y344" s="170" t="s">
        <v>155</v>
      </c>
      <c r="Z344" s="241">
        <f>Z345+Z349+Z351+Z353+Z355+Z347</f>
        <v>102836589.02000001</v>
      </c>
      <c r="AA344" s="241">
        <f>AA345+AA349+AA351+AA353+AA355+AA347</f>
        <v>99916814.579999998</v>
      </c>
      <c r="AB344" s="241">
        <f>AB345+AB349+AB351+AB353+AB355+AB347</f>
        <v>102849481.18000001</v>
      </c>
      <c r="AC344" s="226" t="s">
        <v>155</v>
      </c>
      <c r="AD344" s="227"/>
    </row>
    <row r="345" spans="1:30" ht="0.75" customHeight="1" x14ac:dyDescent="0.3">
      <c r="A345" s="276" t="s">
        <v>868</v>
      </c>
      <c r="B345" s="263" t="s">
        <v>18</v>
      </c>
      <c r="C345" s="263" t="s">
        <v>138</v>
      </c>
      <c r="D345" s="263" t="s">
        <v>122</v>
      </c>
      <c r="E345" s="263" t="s">
        <v>867</v>
      </c>
      <c r="F345" s="263"/>
      <c r="G345" s="263"/>
      <c r="H345" s="263"/>
      <c r="I345" s="263"/>
      <c r="J345" s="263"/>
      <c r="K345" s="263"/>
      <c r="L345" s="263"/>
      <c r="M345" s="263"/>
      <c r="N345" s="263"/>
      <c r="O345" s="263"/>
      <c r="P345" s="263"/>
      <c r="Q345" s="263"/>
      <c r="R345" s="263"/>
      <c r="S345" s="263"/>
      <c r="T345" s="263"/>
      <c r="U345" s="171"/>
      <c r="V345" s="240"/>
      <c r="W345" s="240"/>
      <c r="X345" s="240"/>
      <c r="Y345" s="170"/>
      <c r="Z345" s="268">
        <f>Z346</f>
        <v>0</v>
      </c>
      <c r="AA345" s="268">
        <f>AA346</f>
        <v>0</v>
      </c>
      <c r="AB345" s="268">
        <f>AB346</f>
        <v>0</v>
      </c>
      <c r="AC345" s="226"/>
      <c r="AD345" s="227"/>
    </row>
    <row r="346" spans="1:30" ht="100.5" hidden="1" customHeight="1" x14ac:dyDescent="0.3">
      <c r="A346" s="139" t="s">
        <v>866</v>
      </c>
      <c r="B346" s="144" t="s">
        <v>18</v>
      </c>
      <c r="C346" s="144" t="s">
        <v>138</v>
      </c>
      <c r="D346" s="144" t="s">
        <v>122</v>
      </c>
      <c r="E346" s="263" t="s">
        <v>867</v>
      </c>
      <c r="F346" s="144"/>
      <c r="G346" s="144"/>
      <c r="H346" s="144"/>
      <c r="I346" s="144"/>
      <c r="J346" s="144"/>
      <c r="K346" s="144"/>
      <c r="L346" s="144"/>
      <c r="M346" s="144"/>
      <c r="N346" s="144"/>
      <c r="O346" s="144"/>
      <c r="P346" s="144"/>
      <c r="Q346" s="144"/>
      <c r="R346" s="144"/>
      <c r="S346" s="144"/>
      <c r="T346" s="144" t="s">
        <v>309</v>
      </c>
      <c r="U346" s="171"/>
      <c r="V346" s="240"/>
      <c r="W346" s="240"/>
      <c r="X346" s="240"/>
      <c r="Y346" s="170"/>
      <c r="Z346" s="268">
        <v>0</v>
      </c>
      <c r="AA346" s="268">
        <v>0</v>
      </c>
      <c r="AB346" s="268">
        <v>0</v>
      </c>
      <c r="AC346" s="226"/>
      <c r="AD346" s="227"/>
    </row>
    <row r="347" spans="1:30" ht="181.5" customHeight="1" x14ac:dyDescent="0.3">
      <c r="A347" s="162" t="s">
        <v>881</v>
      </c>
      <c r="B347" s="263" t="s">
        <v>18</v>
      </c>
      <c r="C347" s="263" t="s">
        <v>138</v>
      </c>
      <c r="D347" s="263" t="s">
        <v>122</v>
      </c>
      <c r="E347" s="263" t="s">
        <v>882</v>
      </c>
      <c r="F347" s="263"/>
      <c r="G347" s="263"/>
      <c r="H347" s="263"/>
      <c r="I347" s="263"/>
      <c r="J347" s="263"/>
      <c r="K347" s="263"/>
      <c r="L347" s="263"/>
      <c r="M347" s="263"/>
      <c r="N347" s="263"/>
      <c r="O347" s="263"/>
      <c r="P347" s="263"/>
      <c r="Q347" s="263"/>
      <c r="R347" s="263"/>
      <c r="S347" s="263"/>
      <c r="T347" s="263"/>
      <c r="U347" s="171"/>
      <c r="V347" s="240"/>
      <c r="W347" s="240"/>
      <c r="X347" s="240"/>
      <c r="Y347" s="170"/>
      <c r="Z347" s="268">
        <f>Z348</f>
        <v>300000</v>
      </c>
      <c r="AA347" s="268">
        <f>AA348</f>
        <v>500000</v>
      </c>
      <c r="AB347" s="268">
        <f>AB348</f>
        <v>100000</v>
      </c>
      <c r="AC347" s="226"/>
      <c r="AD347" s="227"/>
    </row>
    <row r="348" spans="1:30" ht="99.75" customHeight="1" x14ac:dyDescent="0.3">
      <c r="A348" s="139" t="s">
        <v>453</v>
      </c>
      <c r="B348" s="144" t="s">
        <v>18</v>
      </c>
      <c r="C348" s="144" t="s">
        <v>138</v>
      </c>
      <c r="D348" s="144" t="s">
        <v>122</v>
      </c>
      <c r="E348" s="263" t="s">
        <v>882</v>
      </c>
      <c r="F348" s="144"/>
      <c r="G348" s="144"/>
      <c r="H348" s="144"/>
      <c r="I348" s="144"/>
      <c r="J348" s="144"/>
      <c r="K348" s="144"/>
      <c r="L348" s="144"/>
      <c r="M348" s="144"/>
      <c r="N348" s="144"/>
      <c r="O348" s="144"/>
      <c r="P348" s="144"/>
      <c r="Q348" s="144"/>
      <c r="R348" s="144"/>
      <c r="S348" s="144"/>
      <c r="T348" s="144" t="s">
        <v>309</v>
      </c>
      <c r="U348" s="171"/>
      <c r="V348" s="240"/>
      <c r="W348" s="240"/>
      <c r="X348" s="240"/>
      <c r="Y348" s="170"/>
      <c r="Z348" s="268">
        <v>300000</v>
      </c>
      <c r="AA348" s="268">
        <v>500000</v>
      </c>
      <c r="AB348" s="268">
        <v>100000</v>
      </c>
      <c r="AC348" s="226"/>
      <c r="AD348" s="227"/>
    </row>
    <row r="349" spans="1:30" ht="140.25" customHeight="1" x14ac:dyDescent="0.3">
      <c r="A349" s="162" t="s">
        <v>684</v>
      </c>
      <c r="B349" s="263" t="s">
        <v>18</v>
      </c>
      <c r="C349" s="263" t="s">
        <v>138</v>
      </c>
      <c r="D349" s="263" t="s">
        <v>122</v>
      </c>
      <c r="E349" s="263" t="s">
        <v>685</v>
      </c>
      <c r="F349" s="263"/>
      <c r="G349" s="263"/>
      <c r="H349" s="263"/>
      <c r="I349" s="263"/>
      <c r="J349" s="263"/>
      <c r="K349" s="263"/>
      <c r="L349" s="263"/>
      <c r="M349" s="263"/>
      <c r="N349" s="263"/>
      <c r="O349" s="263"/>
      <c r="P349" s="263"/>
      <c r="Q349" s="263"/>
      <c r="R349" s="263"/>
      <c r="S349" s="263"/>
      <c r="T349" s="263"/>
      <c r="U349" s="172"/>
      <c r="V349" s="221"/>
      <c r="W349" s="221"/>
      <c r="X349" s="221"/>
      <c r="Y349" s="162" t="s">
        <v>445</v>
      </c>
      <c r="Z349" s="268">
        <f>Z350</f>
        <v>51636589.020000003</v>
      </c>
      <c r="AA349" s="268">
        <f>AA350</f>
        <v>49849090.530000001</v>
      </c>
      <c r="AB349" s="268">
        <f>AB350</f>
        <v>51292054.149999999</v>
      </c>
      <c r="AC349" s="228" t="s">
        <v>445</v>
      </c>
      <c r="AD349" s="227"/>
    </row>
    <row r="350" spans="1:30" ht="120" customHeight="1" x14ac:dyDescent="0.3">
      <c r="A350" s="139" t="s">
        <v>446</v>
      </c>
      <c r="B350" s="144" t="s">
        <v>18</v>
      </c>
      <c r="C350" s="144" t="s">
        <v>138</v>
      </c>
      <c r="D350" s="144" t="s">
        <v>122</v>
      </c>
      <c r="E350" s="263" t="s">
        <v>685</v>
      </c>
      <c r="F350" s="144"/>
      <c r="G350" s="144"/>
      <c r="H350" s="144"/>
      <c r="I350" s="144"/>
      <c r="J350" s="144"/>
      <c r="K350" s="144"/>
      <c r="L350" s="144"/>
      <c r="M350" s="144"/>
      <c r="N350" s="144"/>
      <c r="O350" s="144"/>
      <c r="P350" s="144"/>
      <c r="Q350" s="144"/>
      <c r="R350" s="144"/>
      <c r="S350" s="144"/>
      <c r="T350" s="144" t="s">
        <v>309</v>
      </c>
      <c r="U350" s="140"/>
      <c r="V350" s="141"/>
      <c r="W350" s="141"/>
      <c r="X350" s="141"/>
      <c r="Y350" s="139" t="s">
        <v>446</v>
      </c>
      <c r="Z350" s="230">
        <f>47931817.82+2000000+1704752+19.2</f>
        <v>51636589.020000003</v>
      </c>
      <c r="AA350" s="230">
        <v>49849090.530000001</v>
      </c>
      <c r="AB350" s="230">
        <f>51243054.15+49000</f>
        <v>51292054.149999999</v>
      </c>
      <c r="AC350" s="231" t="s">
        <v>446</v>
      </c>
      <c r="AD350" s="227"/>
    </row>
    <row r="351" spans="1:30" ht="120.75" customHeight="1" x14ac:dyDescent="0.3">
      <c r="A351" s="162" t="s">
        <v>686</v>
      </c>
      <c r="B351" s="263" t="s">
        <v>18</v>
      </c>
      <c r="C351" s="263" t="s">
        <v>138</v>
      </c>
      <c r="D351" s="263" t="s">
        <v>122</v>
      </c>
      <c r="E351" s="263" t="s">
        <v>687</v>
      </c>
      <c r="F351" s="263"/>
      <c r="G351" s="263"/>
      <c r="H351" s="263"/>
      <c r="I351" s="263"/>
      <c r="J351" s="263"/>
      <c r="K351" s="263"/>
      <c r="L351" s="263"/>
      <c r="M351" s="263"/>
      <c r="N351" s="263"/>
      <c r="O351" s="263"/>
      <c r="P351" s="263"/>
      <c r="Q351" s="263"/>
      <c r="R351" s="263"/>
      <c r="S351" s="263"/>
      <c r="T351" s="263"/>
      <c r="U351" s="172"/>
      <c r="V351" s="221"/>
      <c r="W351" s="221"/>
      <c r="X351" s="221"/>
      <c r="Y351" s="162" t="s">
        <v>447</v>
      </c>
      <c r="Z351" s="268">
        <f>Z352</f>
        <v>6000000</v>
      </c>
      <c r="AA351" s="268">
        <f>AA352</f>
        <v>3978424.05</v>
      </c>
      <c r="AB351" s="268">
        <f>AB352</f>
        <v>4214827.03</v>
      </c>
      <c r="AC351" s="228" t="s">
        <v>447</v>
      </c>
      <c r="AD351" s="227"/>
    </row>
    <row r="352" spans="1:30" ht="90" customHeight="1" x14ac:dyDescent="0.3">
      <c r="A352" s="139" t="s">
        <v>448</v>
      </c>
      <c r="B352" s="144" t="s">
        <v>18</v>
      </c>
      <c r="C352" s="144" t="s">
        <v>138</v>
      </c>
      <c r="D352" s="144" t="s">
        <v>122</v>
      </c>
      <c r="E352" s="263" t="s">
        <v>687</v>
      </c>
      <c r="F352" s="144"/>
      <c r="G352" s="144"/>
      <c r="H352" s="144"/>
      <c r="I352" s="144"/>
      <c r="J352" s="144"/>
      <c r="K352" s="144"/>
      <c r="L352" s="144"/>
      <c r="M352" s="144"/>
      <c r="N352" s="144"/>
      <c r="O352" s="144"/>
      <c r="P352" s="144"/>
      <c r="Q352" s="144"/>
      <c r="R352" s="144"/>
      <c r="S352" s="144"/>
      <c r="T352" s="144" t="s">
        <v>309</v>
      </c>
      <c r="U352" s="140"/>
      <c r="V352" s="141"/>
      <c r="W352" s="141"/>
      <c r="X352" s="141"/>
      <c r="Y352" s="139" t="s">
        <v>448</v>
      </c>
      <c r="Z352" s="230">
        <v>6000000</v>
      </c>
      <c r="AA352" s="230">
        <v>3978424.05</v>
      </c>
      <c r="AB352" s="230">
        <v>4214827.03</v>
      </c>
      <c r="AC352" s="231" t="s">
        <v>448</v>
      </c>
      <c r="AD352" s="227"/>
    </row>
    <row r="353" spans="1:30" ht="318.75" customHeight="1" x14ac:dyDescent="0.3">
      <c r="A353" s="358" t="s">
        <v>1350</v>
      </c>
      <c r="B353" s="365" t="s">
        <v>18</v>
      </c>
      <c r="C353" s="365" t="s">
        <v>138</v>
      </c>
      <c r="D353" s="365" t="s">
        <v>122</v>
      </c>
      <c r="E353" s="365" t="s">
        <v>1177</v>
      </c>
      <c r="F353" s="263"/>
      <c r="G353" s="263"/>
      <c r="H353" s="263"/>
      <c r="I353" s="263"/>
      <c r="J353" s="263"/>
      <c r="K353" s="263"/>
      <c r="L353" s="263"/>
      <c r="M353" s="263"/>
      <c r="N353" s="263"/>
      <c r="O353" s="263"/>
      <c r="P353" s="263"/>
      <c r="Q353" s="263"/>
      <c r="R353" s="263"/>
      <c r="S353" s="263"/>
      <c r="T353" s="263"/>
      <c r="U353" s="172"/>
      <c r="V353" s="221"/>
      <c r="W353" s="221"/>
      <c r="X353" s="221"/>
      <c r="Y353" s="165" t="s">
        <v>234</v>
      </c>
      <c r="Z353" s="268">
        <f>Z354</f>
        <v>44720000</v>
      </c>
      <c r="AA353" s="268">
        <f>AA354</f>
        <v>45269300</v>
      </c>
      <c r="AB353" s="268">
        <f>AB354</f>
        <v>46922600</v>
      </c>
      <c r="AC353" s="232" t="s">
        <v>234</v>
      </c>
      <c r="AD353" s="227"/>
    </row>
    <row r="354" spans="1:30" ht="73.5" customHeight="1" thickBot="1" x14ac:dyDescent="0.35">
      <c r="A354" s="164" t="s">
        <v>796</v>
      </c>
      <c r="B354" s="144" t="s">
        <v>18</v>
      </c>
      <c r="C354" s="144" t="s">
        <v>138</v>
      </c>
      <c r="D354" s="144" t="s">
        <v>122</v>
      </c>
      <c r="E354" s="365" t="s">
        <v>1177</v>
      </c>
      <c r="F354" s="144"/>
      <c r="G354" s="144"/>
      <c r="H354" s="144"/>
      <c r="I354" s="144"/>
      <c r="J354" s="144"/>
      <c r="K354" s="144"/>
      <c r="L354" s="144"/>
      <c r="M354" s="144"/>
      <c r="N354" s="144"/>
      <c r="O354" s="144"/>
      <c r="P354" s="144"/>
      <c r="Q354" s="144"/>
      <c r="R354" s="144"/>
      <c r="S354" s="144"/>
      <c r="T354" s="144" t="s">
        <v>309</v>
      </c>
      <c r="U354" s="140"/>
      <c r="V354" s="141"/>
      <c r="W354" s="141"/>
      <c r="X354" s="141"/>
      <c r="Y354" s="164" t="s">
        <v>449</v>
      </c>
      <c r="Z354" s="230">
        <v>44720000</v>
      </c>
      <c r="AA354" s="230">
        <v>45269300</v>
      </c>
      <c r="AB354" s="230">
        <v>46922600</v>
      </c>
      <c r="AC354" s="229" t="s">
        <v>449</v>
      </c>
      <c r="AD354" s="227"/>
    </row>
    <row r="355" spans="1:30" ht="108" customHeight="1" thickBot="1" x14ac:dyDescent="0.35">
      <c r="A355" s="177" t="s">
        <v>663</v>
      </c>
      <c r="B355" s="144" t="s">
        <v>18</v>
      </c>
      <c r="C355" s="144" t="s">
        <v>138</v>
      </c>
      <c r="D355" s="144" t="s">
        <v>122</v>
      </c>
      <c r="E355" s="263" t="s">
        <v>664</v>
      </c>
      <c r="F355" s="144"/>
      <c r="G355" s="144"/>
      <c r="H355" s="144"/>
      <c r="I355" s="144"/>
      <c r="J355" s="144"/>
      <c r="K355" s="144"/>
      <c r="L355" s="144"/>
      <c r="M355" s="144"/>
      <c r="N355" s="144"/>
      <c r="O355" s="144"/>
      <c r="P355" s="144"/>
      <c r="Q355" s="144"/>
      <c r="R355" s="144"/>
      <c r="S355" s="144"/>
      <c r="T355" s="144"/>
      <c r="U355" s="140"/>
      <c r="V355" s="141"/>
      <c r="W355" s="141"/>
      <c r="X355" s="141"/>
      <c r="Y355" s="164"/>
      <c r="Z355" s="230">
        <f>Z356</f>
        <v>180000</v>
      </c>
      <c r="AA355" s="230">
        <f>AA356</f>
        <v>320000</v>
      </c>
      <c r="AB355" s="230">
        <f>AB356</f>
        <v>320000</v>
      </c>
      <c r="AC355" s="229"/>
      <c r="AD355" s="227"/>
    </row>
    <row r="356" spans="1:30" ht="150" customHeight="1" x14ac:dyDescent="0.3">
      <c r="A356" s="252" t="s">
        <v>835</v>
      </c>
      <c r="B356" s="144" t="s">
        <v>18</v>
      </c>
      <c r="C356" s="144" t="s">
        <v>138</v>
      </c>
      <c r="D356" s="144" t="s">
        <v>122</v>
      </c>
      <c r="E356" s="263" t="s">
        <v>664</v>
      </c>
      <c r="F356" s="144"/>
      <c r="G356" s="144"/>
      <c r="H356" s="144"/>
      <c r="I356" s="144"/>
      <c r="J356" s="144"/>
      <c r="K356" s="144"/>
      <c r="L356" s="144"/>
      <c r="M356" s="144"/>
      <c r="N356" s="144"/>
      <c r="O356" s="144"/>
      <c r="P356" s="144"/>
      <c r="Q356" s="144"/>
      <c r="R356" s="144"/>
      <c r="S356" s="144"/>
      <c r="T356" s="144" t="s">
        <v>309</v>
      </c>
      <c r="U356" s="140"/>
      <c r="V356" s="141"/>
      <c r="W356" s="141"/>
      <c r="X356" s="141"/>
      <c r="Y356" s="164"/>
      <c r="Z356" s="230">
        <v>180000</v>
      </c>
      <c r="AA356" s="230">
        <v>320000</v>
      </c>
      <c r="AB356" s="230">
        <v>320000</v>
      </c>
      <c r="AC356" s="229"/>
      <c r="AD356" s="227"/>
    </row>
    <row r="357" spans="1:30" ht="22.5" customHeight="1" x14ac:dyDescent="0.3">
      <c r="A357" s="170" t="s">
        <v>156</v>
      </c>
      <c r="B357" s="171" t="s">
        <v>18</v>
      </c>
      <c r="C357" s="171" t="s">
        <v>138</v>
      </c>
      <c r="D357" s="171" t="s">
        <v>132</v>
      </c>
      <c r="E357" s="171"/>
      <c r="F357" s="171"/>
      <c r="G357" s="171"/>
      <c r="H357" s="171"/>
      <c r="I357" s="171"/>
      <c r="J357" s="171"/>
      <c r="K357" s="171"/>
      <c r="L357" s="171"/>
      <c r="M357" s="171"/>
      <c r="N357" s="171"/>
      <c r="O357" s="171"/>
      <c r="P357" s="171"/>
      <c r="Q357" s="171"/>
      <c r="R357" s="171"/>
      <c r="S357" s="171"/>
      <c r="T357" s="171"/>
      <c r="U357" s="171"/>
      <c r="V357" s="240"/>
      <c r="W357" s="240"/>
      <c r="X357" s="240"/>
      <c r="Y357" s="170" t="s">
        <v>156</v>
      </c>
      <c r="Z357" s="241">
        <f>Z358+Z362+Z364+Z366+Z368+Z370+Z372+Z376+Z378+Z380+Z382+Z384+Z386+Z360+Z374</f>
        <v>260674244</v>
      </c>
      <c r="AA357" s="241">
        <f>AA358+AA362+AA364+AA366+AA368+AA370+AA372+AA376+AA378+AA380+AA382+AA384+AA386+AA360</f>
        <v>270923952.06999999</v>
      </c>
      <c r="AB357" s="241">
        <f>AB358+AB362+AB364+AB366+AB368+AB370+AB372+AB376+AB378+AB380+AB382+AB384+AB386+AB360</f>
        <v>269017847.81</v>
      </c>
      <c r="AC357" s="226" t="s">
        <v>156</v>
      </c>
      <c r="AD357" s="227"/>
    </row>
    <row r="358" spans="1:30" ht="1.5" hidden="1" customHeight="1" x14ac:dyDescent="0.3">
      <c r="A358" s="276" t="s">
        <v>868</v>
      </c>
      <c r="B358" s="263" t="s">
        <v>18</v>
      </c>
      <c r="C358" s="263" t="s">
        <v>138</v>
      </c>
      <c r="D358" s="263" t="s">
        <v>132</v>
      </c>
      <c r="E358" s="263" t="s">
        <v>867</v>
      </c>
      <c r="F358" s="263"/>
      <c r="G358" s="263"/>
      <c r="H358" s="263"/>
      <c r="I358" s="263"/>
      <c r="J358" s="263"/>
      <c r="K358" s="263"/>
      <c r="L358" s="263"/>
      <c r="M358" s="263"/>
      <c r="N358" s="263"/>
      <c r="O358" s="263"/>
      <c r="P358" s="263"/>
      <c r="Q358" s="263"/>
      <c r="R358" s="263"/>
      <c r="S358" s="263"/>
      <c r="T358" s="263"/>
      <c r="U358" s="172"/>
      <c r="V358" s="221"/>
      <c r="W358" s="221"/>
      <c r="X358" s="221"/>
      <c r="Y358" s="162" t="s">
        <v>452</v>
      </c>
      <c r="Z358" s="268">
        <f>Z359</f>
        <v>0</v>
      </c>
      <c r="AA358" s="268">
        <f>AA359</f>
        <v>0</v>
      </c>
      <c r="AB358" s="268">
        <f>AB359</f>
        <v>0</v>
      </c>
      <c r="AC358" s="228" t="s">
        <v>452</v>
      </c>
      <c r="AD358" s="227"/>
    </row>
    <row r="359" spans="1:30" ht="82.5" hidden="1" customHeight="1" x14ac:dyDescent="0.3">
      <c r="A359" s="139" t="s">
        <v>866</v>
      </c>
      <c r="B359" s="144" t="s">
        <v>18</v>
      </c>
      <c r="C359" s="144" t="s">
        <v>138</v>
      </c>
      <c r="D359" s="144" t="s">
        <v>132</v>
      </c>
      <c r="E359" s="263" t="s">
        <v>867</v>
      </c>
      <c r="F359" s="144"/>
      <c r="G359" s="144"/>
      <c r="H359" s="144"/>
      <c r="I359" s="144"/>
      <c r="J359" s="144"/>
      <c r="K359" s="144"/>
      <c r="L359" s="144"/>
      <c r="M359" s="144"/>
      <c r="N359" s="144"/>
      <c r="O359" s="144"/>
      <c r="P359" s="144"/>
      <c r="Q359" s="144"/>
      <c r="R359" s="144"/>
      <c r="S359" s="144"/>
      <c r="T359" s="144" t="s">
        <v>309</v>
      </c>
      <c r="U359" s="140"/>
      <c r="V359" s="141"/>
      <c r="W359" s="141"/>
      <c r="X359" s="141"/>
      <c r="Y359" s="139" t="s">
        <v>453</v>
      </c>
      <c r="Z359" s="230">
        <v>0</v>
      </c>
      <c r="AA359" s="230">
        <v>0</v>
      </c>
      <c r="AB359" s="230">
        <v>0</v>
      </c>
      <c r="AC359" s="231" t="s">
        <v>453</v>
      </c>
      <c r="AD359" s="227"/>
    </row>
    <row r="360" spans="1:30" ht="188.25" customHeight="1" x14ac:dyDescent="0.3">
      <c r="A360" s="162" t="s">
        <v>881</v>
      </c>
      <c r="B360" s="263" t="s">
        <v>18</v>
      </c>
      <c r="C360" s="263" t="s">
        <v>138</v>
      </c>
      <c r="D360" s="263" t="s">
        <v>132</v>
      </c>
      <c r="E360" s="263" t="s">
        <v>882</v>
      </c>
      <c r="F360" s="263"/>
      <c r="G360" s="263"/>
      <c r="H360" s="263"/>
      <c r="I360" s="263"/>
      <c r="J360" s="263"/>
      <c r="K360" s="263"/>
      <c r="L360" s="263"/>
      <c r="M360" s="263"/>
      <c r="N360" s="263"/>
      <c r="O360" s="263"/>
      <c r="P360" s="263"/>
      <c r="Q360" s="263"/>
      <c r="R360" s="263"/>
      <c r="S360" s="263"/>
      <c r="T360" s="263"/>
      <c r="U360" s="140"/>
      <c r="V360" s="141"/>
      <c r="W360" s="141"/>
      <c r="X360" s="141"/>
      <c r="Y360" s="139"/>
      <c r="Z360" s="230">
        <f>Z361</f>
        <v>1000000</v>
      </c>
      <c r="AA360" s="230">
        <f>AA361</f>
        <v>2092000</v>
      </c>
      <c r="AB360" s="230">
        <f>AB361</f>
        <v>500000</v>
      </c>
      <c r="AC360" s="231"/>
      <c r="AD360" s="227"/>
    </row>
    <row r="361" spans="1:30" ht="111.75" customHeight="1" x14ac:dyDescent="0.3">
      <c r="A361" s="139" t="s">
        <v>453</v>
      </c>
      <c r="B361" s="144" t="s">
        <v>18</v>
      </c>
      <c r="C361" s="144" t="s">
        <v>138</v>
      </c>
      <c r="D361" s="144" t="s">
        <v>132</v>
      </c>
      <c r="E361" s="263" t="s">
        <v>882</v>
      </c>
      <c r="F361" s="144"/>
      <c r="G361" s="144"/>
      <c r="H361" s="144"/>
      <c r="I361" s="144"/>
      <c r="J361" s="144"/>
      <c r="K361" s="144"/>
      <c r="L361" s="144"/>
      <c r="M361" s="144"/>
      <c r="N361" s="144"/>
      <c r="O361" s="144"/>
      <c r="P361" s="144"/>
      <c r="Q361" s="144"/>
      <c r="R361" s="144"/>
      <c r="S361" s="144"/>
      <c r="T361" s="144" t="s">
        <v>309</v>
      </c>
      <c r="U361" s="140"/>
      <c r="V361" s="141"/>
      <c r="W361" s="141"/>
      <c r="X361" s="141"/>
      <c r="Y361" s="139"/>
      <c r="Z361" s="230">
        <v>1000000</v>
      </c>
      <c r="AA361" s="230">
        <v>2092000</v>
      </c>
      <c r="AB361" s="230">
        <v>500000</v>
      </c>
      <c r="AC361" s="231"/>
      <c r="AD361" s="227"/>
    </row>
    <row r="362" spans="1:30" ht="179.25" customHeight="1" x14ac:dyDescent="0.3">
      <c r="A362" s="162" t="s">
        <v>688</v>
      </c>
      <c r="B362" s="263" t="s">
        <v>18</v>
      </c>
      <c r="C362" s="263" t="s">
        <v>138</v>
      </c>
      <c r="D362" s="263" t="s">
        <v>132</v>
      </c>
      <c r="E362" s="263" t="s">
        <v>689</v>
      </c>
      <c r="F362" s="263"/>
      <c r="G362" s="263"/>
      <c r="H362" s="263"/>
      <c r="I362" s="263"/>
      <c r="J362" s="263"/>
      <c r="K362" s="263"/>
      <c r="L362" s="263"/>
      <c r="M362" s="263"/>
      <c r="N362" s="263"/>
      <c r="O362" s="263"/>
      <c r="P362" s="263"/>
      <c r="Q362" s="263"/>
      <c r="R362" s="263"/>
      <c r="S362" s="263"/>
      <c r="T362" s="263"/>
      <c r="U362" s="172"/>
      <c r="V362" s="221"/>
      <c r="W362" s="221"/>
      <c r="X362" s="221"/>
      <c r="Y362" s="162" t="s">
        <v>454</v>
      </c>
      <c r="Z362" s="268">
        <f>Z363</f>
        <v>200000</v>
      </c>
      <c r="AA362" s="268">
        <f>AA363</f>
        <v>209200</v>
      </c>
      <c r="AB362" s="268">
        <f>AB363</f>
        <v>100000</v>
      </c>
      <c r="AC362" s="228" t="s">
        <v>454</v>
      </c>
      <c r="AD362" s="227"/>
    </row>
    <row r="363" spans="1:30" ht="130.35" customHeight="1" x14ac:dyDescent="0.3">
      <c r="A363" s="139" t="s">
        <v>455</v>
      </c>
      <c r="B363" s="144" t="s">
        <v>18</v>
      </c>
      <c r="C363" s="144" t="s">
        <v>138</v>
      </c>
      <c r="D363" s="144" t="s">
        <v>132</v>
      </c>
      <c r="E363" s="263" t="s">
        <v>689</v>
      </c>
      <c r="F363" s="144"/>
      <c r="G363" s="144"/>
      <c r="H363" s="144"/>
      <c r="I363" s="144"/>
      <c r="J363" s="144"/>
      <c r="K363" s="144"/>
      <c r="L363" s="144"/>
      <c r="M363" s="144"/>
      <c r="N363" s="144"/>
      <c r="O363" s="144"/>
      <c r="P363" s="144"/>
      <c r="Q363" s="144"/>
      <c r="R363" s="144"/>
      <c r="S363" s="144"/>
      <c r="T363" s="144" t="s">
        <v>309</v>
      </c>
      <c r="U363" s="140"/>
      <c r="V363" s="141"/>
      <c r="W363" s="141"/>
      <c r="X363" s="141"/>
      <c r="Y363" s="139" t="s">
        <v>455</v>
      </c>
      <c r="Z363" s="230">
        <f>100000+100000</f>
        <v>200000</v>
      </c>
      <c r="AA363" s="230">
        <v>209200</v>
      </c>
      <c r="AB363" s="230">
        <v>100000</v>
      </c>
      <c r="AC363" s="231" t="s">
        <v>455</v>
      </c>
      <c r="AD363" s="227"/>
    </row>
    <row r="364" spans="1:30" ht="173.25" customHeight="1" x14ac:dyDescent="0.3">
      <c r="A364" s="162" t="s">
        <v>690</v>
      </c>
      <c r="B364" s="263" t="s">
        <v>18</v>
      </c>
      <c r="C364" s="263" t="s">
        <v>138</v>
      </c>
      <c r="D364" s="263" t="s">
        <v>132</v>
      </c>
      <c r="E364" s="263" t="s">
        <v>691</v>
      </c>
      <c r="F364" s="263"/>
      <c r="G364" s="263"/>
      <c r="H364" s="263"/>
      <c r="I364" s="263"/>
      <c r="J364" s="263"/>
      <c r="K364" s="263"/>
      <c r="L364" s="263"/>
      <c r="M364" s="263"/>
      <c r="N364" s="263"/>
      <c r="O364" s="263"/>
      <c r="P364" s="263"/>
      <c r="Q364" s="263"/>
      <c r="R364" s="263"/>
      <c r="S364" s="263"/>
      <c r="T364" s="263"/>
      <c r="U364" s="172"/>
      <c r="V364" s="221"/>
      <c r="W364" s="221"/>
      <c r="X364" s="221"/>
      <c r="Y364" s="162" t="s">
        <v>456</v>
      </c>
      <c r="Z364" s="268">
        <f>Z365</f>
        <v>87245039.069999993</v>
      </c>
      <c r="AA364" s="268">
        <f>AA365</f>
        <v>86999952.069999993</v>
      </c>
      <c r="AB364" s="268">
        <f>AB365</f>
        <v>90479950.150000006</v>
      </c>
      <c r="AC364" s="228" t="s">
        <v>456</v>
      </c>
      <c r="AD364" s="227"/>
    </row>
    <row r="365" spans="1:30" ht="147.75" customHeight="1" x14ac:dyDescent="0.3">
      <c r="A365" s="139" t="s">
        <v>457</v>
      </c>
      <c r="B365" s="144" t="s">
        <v>18</v>
      </c>
      <c r="C365" s="144" t="s">
        <v>138</v>
      </c>
      <c r="D365" s="144" t="s">
        <v>132</v>
      </c>
      <c r="E365" s="263" t="s">
        <v>691</v>
      </c>
      <c r="F365" s="144"/>
      <c r="G365" s="144"/>
      <c r="H365" s="144"/>
      <c r="I365" s="144"/>
      <c r="J365" s="144"/>
      <c r="K365" s="144"/>
      <c r="L365" s="144"/>
      <c r="M365" s="144"/>
      <c r="N365" s="144"/>
      <c r="O365" s="144"/>
      <c r="P365" s="144"/>
      <c r="Q365" s="144"/>
      <c r="R365" s="144"/>
      <c r="S365" s="144"/>
      <c r="T365" s="144" t="s">
        <v>309</v>
      </c>
      <c r="U365" s="140"/>
      <c r="V365" s="141"/>
      <c r="W365" s="141"/>
      <c r="X365" s="141"/>
      <c r="Y365" s="139" t="s">
        <v>457</v>
      </c>
      <c r="Z365" s="230">
        <f>83653800.07+2000000+1591239</f>
        <v>87245039.069999993</v>
      </c>
      <c r="AA365" s="230">
        <v>86999952.069999993</v>
      </c>
      <c r="AB365" s="230">
        <v>90479950.150000006</v>
      </c>
      <c r="AC365" s="231" t="s">
        <v>457</v>
      </c>
      <c r="AD365" s="372"/>
    </row>
    <row r="366" spans="1:30" ht="45" hidden="1" customHeight="1" x14ac:dyDescent="0.3">
      <c r="A366" s="162" t="s">
        <v>692</v>
      </c>
      <c r="B366" s="263" t="s">
        <v>18</v>
      </c>
      <c r="C366" s="263" t="s">
        <v>138</v>
      </c>
      <c r="D366" s="263" t="s">
        <v>132</v>
      </c>
      <c r="E366" s="263" t="s">
        <v>693</v>
      </c>
      <c r="F366" s="263"/>
      <c r="G366" s="263"/>
      <c r="H366" s="263"/>
      <c r="I366" s="263"/>
      <c r="J366" s="263"/>
      <c r="K366" s="263"/>
      <c r="L366" s="263"/>
      <c r="M366" s="263"/>
      <c r="N366" s="263"/>
      <c r="O366" s="263"/>
      <c r="P366" s="263"/>
      <c r="Q366" s="263"/>
      <c r="R366" s="263"/>
      <c r="S366" s="263"/>
      <c r="T366" s="263"/>
      <c r="U366" s="172"/>
      <c r="V366" s="221"/>
      <c r="W366" s="221"/>
      <c r="X366" s="221"/>
      <c r="Y366" s="162" t="s">
        <v>458</v>
      </c>
      <c r="Z366" s="268">
        <f>Z367</f>
        <v>0</v>
      </c>
      <c r="AA366" s="268">
        <f>AA367</f>
        <v>0</v>
      </c>
      <c r="AB366" s="268">
        <f>AB367</f>
        <v>0</v>
      </c>
      <c r="AC366" s="228" t="s">
        <v>458</v>
      </c>
      <c r="AD366" s="227"/>
    </row>
    <row r="367" spans="1:30" ht="57.75" hidden="1" customHeight="1" x14ac:dyDescent="0.3">
      <c r="A367" s="139" t="s">
        <v>459</v>
      </c>
      <c r="B367" s="144" t="s">
        <v>18</v>
      </c>
      <c r="C367" s="144" t="s">
        <v>138</v>
      </c>
      <c r="D367" s="144" t="s">
        <v>132</v>
      </c>
      <c r="E367" s="263" t="s">
        <v>693</v>
      </c>
      <c r="F367" s="144"/>
      <c r="G367" s="144"/>
      <c r="H367" s="144"/>
      <c r="I367" s="144"/>
      <c r="J367" s="144"/>
      <c r="K367" s="144"/>
      <c r="L367" s="144"/>
      <c r="M367" s="144"/>
      <c r="N367" s="144"/>
      <c r="O367" s="144"/>
      <c r="P367" s="144"/>
      <c r="Q367" s="144"/>
      <c r="R367" s="144"/>
      <c r="S367" s="144"/>
      <c r="T367" s="144" t="s">
        <v>309</v>
      </c>
      <c r="U367" s="140"/>
      <c r="V367" s="141"/>
      <c r="W367" s="141"/>
      <c r="X367" s="141"/>
      <c r="Y367" s="139" t="s">
        <v>459</v>
      </c>
      <c r="Z367" s="230">
        <f>5946012.7-5946012.7</f>
        <v>0</v>
      </c>
      <c r="AA367" s="230">
        <f>5946012.7-5946012.7</f>
        <v>0</v>
      </c>
      <c r="AB367" s="230">
        <f>5946012.7-5946012.7</f>
        <v>0</v>
      </c>
      <c r="AC367" s="231" t="s">
        <v>459</v>
      </c>
      <c r="AD367" s="227"/>
    </row>
    <row r="368" spans="1:30" ht="123.75" customHeight="1" x14ac:dyDescent="0.3">
      <c r="A368" s="162" t="s">
        <v>603</v>
      </c>
      <c r="B368" s="263" t="s">
        <v>18</v>
      </c>
      <c r="C368" s="263" t="s">
        <v>138</v>
      </c>
      <c r="D368" s="263" t="s">
        <v>132</v>
      </c>
      <c r="E368" s="263" t="s">
        <v>604</v>
      </c>
      <c r="F368" s="263"/>
      <c r="G368" s="263"/>
      <c r="H368" s="263"/>
      <c r="I368" s="263"/>
      <c r="J368" s="263"/>
      <c r="K368" s="263"/>
      <c r="L368" s="263"/>
      <c r="M368" s="263"/>
      <c r="N368" s="263"/>
      <c r="O368" s="263"/>
      <c r="P368" s="263"/>
      <c r="Q368" s="263"/>
      <c r="R368" s="263"/>
      <c r="S368" s="263"/>
      <c r="T368" s="263"/>
      <c r="U368" s="172"/>
      <c r="V368" s="221"/>
      <c r="W368" s="221"/>
      <c r="X368" s="221"/>
      <c r="Y368" s="162" t="s">
        <v>383</v>
      </c>
      <c r="Z368" s="268">
        <f>Z369</f>
        <v>8000000</v>
      </c>
      <c r="AA368" s="268">
        <f>AA369</f>
        <v>16726200</v>
      </c>
      <c r="AB368" s="268">
        <f>AB369</f>
        <v>7094197.6600000001</v>
      </c>
      <c r="AC368" s="228" t="s">
        <v>383</v>
      </c>
      <c r="AD368" s="227"/>
    </row>
    <row r="369" spans="1:33" ht="111.75" customHeight="1" x14ac:dyDescent="0.3">
      <c r="A369" s="139" t="s">
        <v>460</v>
      </c>
      <c r="B369" s="144" t="s">
        <v>18</v>
      </c>
      <c r="C369" s="144" t="s">
        <v>138</v>
      </c>
      <c r="D369" s="144" t="s">
        <v>132</v>
      </c>
      <c r="E369" s="263" t="s">
        <v>604</v>
      </c>
      <c r="F369" s="144"/>
      <c r="G369" s="144"/>
      <c r="H369" s="144"/>
      <c r="I369" s="144"/>
      <c r="J369" s="144"/>
      <c r="K369" s="144"/>
      <c r="L369" s="144"/>
      <c r="M369" s="144"/>
      <c r="N369" s="144"/>
      <c r="O369" s="144"/>
      <c r="P369" s="144"/>
      <c r="Q369" s="144"/>
      <c r="R369" s="144"/>
      <c r="S369" s="144"/>
      <c r="T369" s="144" t="s">
        <v>309</v>
      </c>
      <c r="U369" s="140"/>
      <c r="V369" s="141"/>
      <c r="W369" s="141"/>
      <c r="X369" s="141"/>
      <c r="Y369" s="139" t="s">
        <v>460</v>
      </c>
      <c r="Z369" s="230">
        <v>8000000</v>
      </c>
      <c r="AA369" s="230">
        <v>16726200</v>
      </c>
      <c r="AB369" s="230">
        <f>7143197.66-49000</f>
        <v>7094197.6600000001</v>
      </c>
      <c r="AC369" s="231" t="s">
        <v>460</v>
      </c>
      <c r="AD369" s="227"/>
    </row>
    <row r="370" spans="1:33" ht="120.75" customHeight="1" x14ac:dyDescent="0.3">
      <c r="A370" s="162" t="s">
        <v>694</v>
      </c>
      <c r="B370" s="263" t="s">
        <v>18</v>
      </c>
      <c r="C370" s="263" t="s">
        <v>138</v>
      </c>
      <c r="D370" s="263" t="s">
        <v>132</v>
      </c>
      <c r="E370" s="263" t="s">
        <v>695</v>
      </c>
      <c r="F370" s="263"/>
      <c r="G370" s="263"/>
      <c r="H370" s="263"/>
      <c r="I370" s="263"/>
      <c r="J370" s="263"/>
      <c r="K370" s="263"/>
      <c r="L370" s="263"/>
      <c r="M370" s="263"/>
      <c r="N370" s="263"/>
      <c r="O370" s="263"/>
      <c r="P370" s="263"/>
      <c r="Q370" s="263"/>
      <c r="R370" s="263"/>
      <c r="S370" s="263"/>
      <c r="T370" s="263"/>
      <c r="U370" s="172"/>
      <c r="V370" s="221"/>
      <c r="W370" s="221"/>
      <c r="X370" s="221"/>
      <c r="Y370" s="162" t="s">
        <v>461</v>
      </c>
      <c r="Z370" s="268">
        <f>Z371</f>
        <v>400000</v>
      </c>
      <c r="AA370" s="268">
        <f>AA371</f>
        <v>400000</v>
      </c>
      <c r="AB370" s="268">
        <f>AB371</f>
        <v>400000</v>
      </c>
      <c r="AC370" s="228" t="s">
        <v>461</v>
      </c>
      <c r="AD370" s="227"/>
    </row>
    <row r="371" spans="1:33" ht="93" customHeight="1" x14ac:dyDescent="0.3">
      <c r="A371" s="139" t="s">
        <v>462</v>
      </c>
      <c r="B371" s="144" t="s">
        <v>18</v>
      </c>
      <c r="C371" s="144" t="s">
        <v>138</v>
      </c>
      <c r="D371" s="144" t="s">
        <v>132</v>
      </c>
      <c r="E371" s="263" t="s">
        <v>695</v>
      </c>
      <c r="F371" s="144"/>
      <c r="G371" s="144"/>
      <c r="H371" s="144"/>
      <c r="I371" s="144"/>
      <c r="J371" s="144"/>
      <c r="K371" s="144"/>
      <c r="L371" s="144"/>
      <c r="M371" s="144"/>
      <c r="N371" s="144"/>
      <c r="O371" s="144"/>
      <c r="P371" s="144"/>
      <c r="Q371" s="144"/>
      <c r="R371" s="144"/>
      <c r="S371" s="144"/>
      <c r="T371" s="144" t="s">
        <v>309</v>
      </c>
      <c r="U371" s="140"/>
      <c r="V371" s="141"/>
      <c r="W371" s="141"/>
      <c r="X371" s="141"/>
      <c r="Y371" s="139" t="s">
        <v>462</v>
      </c>
      <c r="Z371" s="230">
        <f>200000+200000</f>
        <v>400000</v>
      </c>
      <c r="AA371" s="230">
        <v>400000</v>
      </c>
      <c r="AB371" s="230">
        <v>400000</v>
      </c>
      <c r="AC371" s="231" t="s">
        <v>462</v>
      </c>
      <c r="AD371" s="227"/>
    </row>
    <row r="372" spans="1:33" ht="168.75" customHeight="1" x14ac:dyDescent="0.3">
      <c r="A372" s="162" t="s">
        <v>696</v>
      </c>
      <c r="B372" s="263" t="s">
        <v>18</v>
      </c>
      <c r="C372" s="263" t="s">
        <v>138</v>
      </c>
      <c r="D372" s="263" t="s">
        <v>132</v>
      </c>
      <c r="E372" s="263" t="s">
        <v>697</v>
      </c>
      <c r="F372" s="263"/>
      <c r="G372" s="263"/>
      <c r="H372" s="263"/>
      <c r="I372" s="263"/>
      <c r="J372" s="263"/>
      <c r="K372" s="263"/>
      <c r="L372" s="263"/>
      <c r="M372" s="263"/>
      <c r="N372" s="263"/>
      <c r="O372" s="263"/>
      <c r="P372" s="263"/>
      <c r="Q372" s="263"/>
      <c r="R372" s="263"/>
      <c r="S372" s="263"/>
      <c r="T372" s="263"/>
      <c r="U372" s="172"/>
      <c r="V372" s="221"/>
      <c r="W372" s="221"/>
      <c r="X372" s="221"/>
      <c r="Y372" s="162" t="s">
        <v>463</v>
      </c>
      <c r="Z372" s="268">
        <f>Z373</f>
        <v>50000</v>
      </c>
      <c r="AA372" s="268">
        <f>AA373</f>
        <v>50000</v>
      </c>
      <c r="AB372" s="268">
        <f>AB373</f>
        <v>50000</v>
      </c>
      <c r="AC372" s="228" t="s">
        <v>463</v>
      </c>
      <c r="AD372" s="227"/>
    </row>
    <row r="373" spans="1:33" ht="159.75" customHeight="1" x14ac:dyDescent="0.3">
      <c r="A373" s="139" t="s">
        <v>464</v>
      </c>
      <c r="B373" s="144" t="s">
        <v>18</v>
      </c>
      <c r="C373" s="144" t="s">
        <v>138</v>
      </c>
      <c r="D373" s="144" t="s">
        <v>132</v>
      </c>
      <c r="E373" s="263" t="s">
        <v>697</v>
      </c>
      <c r="F373" s="144"/>
      <c r="G373" s="144"/>
      <c r="H373" s="144"/>
      <c r="I373" s="144"/>
      <c r="J373" s="144"/>
      <c r="K373" s="144"/>
      <c r="L373" s="144"/>
      <c r="M373" s="144"/>
      <c r="N373" s="144"/>
      <c r="O373" s="144"/>
      <c r="P373" s="144"/>
      <c r="Q373" s="144"/>
      <c r="R373" s="144"/>
      <c r="S373" s="144"/>
      <c r="T373" s="144" t="s">
        <v>309</v>
      </c>
      <c r="U373" s="140"/>
      <c r="V373" s="141"/>
      <c r="W373" s="141"/>
      <c r="X373" s="141"/>
      <c r="Y373" s="139" t="s">
        <v>464</v>
      </c>
      <c r="Z373" s="230">
        <v>50000</v>
      </c>
      <c r="AA373" s="230">
        <v>50000</v>
      </c>
      <c r="AB373" s="230">
        <v>50000</v>
      </c>
      <c r="AC373" s="231" t="s">
        <v>464</v>
      </c>
      <c r="AD373" s="227"/>
    </row>
    <row r="374" spans="1:33" ht="165" customHeight="1" x14ac:dyDescent="0.3">
      <c r="A374" s="470" t="s">
        <v>1355</v>
      </c>
      <c r="B374" s="144" t="s">
        <v>18</v>
      </c>
      <c r="C374" s="144" t="s">
        <v>138</v>
      </c>
      <c r="D374" s="144" t="s">
        <v>132</v>
      </c>
      <c r="E374" s="263" t="s">
        <v>1351</v>
      </c>
      <c r="F374" s="144"/>
      <c r="G374" s="144"/>
      <c r="H374" s="144"/>
      <c r="I374" s="144"/>
      <c r="J374" s="144"/>
      <c r="K374" s="144"/>
      <c r="L374" s="144"/>
      <c r="M374" s="144"/>
      <c r="N374" s="144"/>
      <c r="O374" s="144"/>
      <c r="P374" s="144"/>
      <c r="Q374" s="144"/>
      <c r="R374" s="144"/>
      <c r="S374" s="144"/>
      <c r="T374" s="144"/>
      <c r="U374" s="140"/>
      <c r="V374" s="141"/>
      <c r="W374" s="141"/>
      <c r="X374" s="141"/>
      <c r="Y374" s="139"/>
      <c r="Z374" s="230">
        <f>Z375</f>
        <v>1321304.93</v>
      </c>
      <c r="AA374" s="230">
        <f>AA375</f>
        <v>0</v>
      </c>
      <c r="AB374" s="230">
        <f>AB375</f>
        <v>0</v>
      </c>
      <c r="AC374" s="231"/>
      <c r="AD374" s="227"/>
    </row>
    <row r="375" spans="1:33" ht="60" customHeight="1" x14ac:dyDescent="0.3">
      <c r="A375" s="164" t="s">
        <v>796</v>
      </c>
      <c r="B375" s="144" t="s">
        <v>18</v>
      </c>
      <c r="C375" s="144" t="s">
        <v>138</v>
      </c>
      <c r="D375" s="144" t="s">
        <v>132</v>
      </c>
      <c r="E375" s="263" t="s">
        <v>1351</v>
      </c>
      <c r="F375" s="144"/>
      <c r="G375" s="144"/>
      <c r="H375" s="144"/>
      <c r="I375" s="144"/>
      <c r="J375" s="144"/>
      <c r="K375" s="144"/>
      <c r="L375" s="144"/>
      <c r="M375" s="144"/>
      <c r="N375" s="144"/>
      <c r="O375" s="144"/>
      <c r="P375" s="144"/>
      <c r="Q375" s="144"/>
      <c r="R375" s="144"/>
      <c r="S375" s="144"/>
      <c r="T375" s="144" t="s">
        <v>309</v>
      </c>
      <c r="U375" s="140"/>
      <c r="V375" s="141"/>
      <c r="W375" s="141"/>
      <c r="X375" s="141"/>
      <c r="Y375" s="139"/>
      <c r="Z375" s="471">
        <f>992300+329004.93</f>
        <v>1321304.93</v>
      </c>
      <c r="AA375" s="230">
        <v>0</v>
      </c>
      <c r="AB375" s="230">
        <v>0</v>
      </c>
      <c r="AC375" s="231"/>
      <c r="AD375" s="227"/>
    </row>
    <row r="376" spans="1:33" ht="312" customHeight="1" x14ac:dyDescent="0.3">
      <c r="A376" s="358" t="s">
        <v>1176</v>
      </c>
      <c r="B376" s="263" t="s">
        <v>18</v>
      </c>
      <c r="C376" s="263" t="s">
        <v>138</v>
      </c>
      <c r="D376" s="263" t="s">
        <v>132</v>
      </c>
      <c r="E376" s="263" t="s">
        <v>1177</v>
      </c>
      <c r="F376" s="263"/>
      <c r="G376" s="263"/>
      <c r="H376" s="263"/>
      <c r="I376" s="263"/>
      <c r="J376" s="263"/>
      <c r="K376" s="263"/>
      <c r="L376" s="263"/>
      <c r="M376" s="263"/>
      <c r="N376" s="263"/>
      <c r="O376" s="263"/>
      <c r="P376" s="263"/>
      <c r="Q376" s="263"/>
      <c r="R376" s="263"/>
      <c r="S376" s="263"/>
      <c r="T376" s="263"/>
      <c r="U376" s="172"/>
      <c r="V376" s="221"/>
      <c r="W376" s="221"/>
      <c r="X376" s="221"/>
      <c r="Y376" s="165" t="s">
        <v>233</v>
      </c>
      <c r="Z376" s="268">
        <f>Z377</f>
        <v>161934400</v>
      </c>
      <c r="AA376" s="268">
        <f>AA377</f>
        <v>163923100</v>
      </c>
      <c r="AB376" s="268">
        <f>AB377</f>
        <v>169910200</v>
      </c>
      <c r="AC376" s="232" t="s">
        <v>233</v>
      </c>
      <c r="AD376" s="227"/>
    </row>
    <row r="377" spans="1:33" ht="64.5" customHeight="1" x14ac:dyDescent="0.3">
      <c r="A377" s="164" t="s">
        <v>796</v>
      </c>
      <c r="B377" s="144" t="s">
        <v>18</v>
      </c>
      <c r="C377" s="144" t="s">
        <v>138</v>
      </c>
      <c r="D377" s="144" t="s">
        <v>132</v>
      </c>
      <c r="E377" s="263" t="s">
        <v>1177</v>
      </c>
      <c r="F377" s="144"/>
      <c r="G377" s="144"/>
      <c r="H377" s="144"/>
      <c r="I377" s="144"/>
      <c r="J377" s="144"/>
      <c r="K377" s="144"/>
      <c r="L377" s="144"/>
      <c r="M377" s="144"/>
      <c r="N377" s="144"/>
      <c r="O377" s="144"/>
      <c r="P377" s="144"/>
      <c r="Q377" s="144"/>
      <c r="R377" s="144"/>
      <c r="S377" s="144"/>
      <c r="T377" s="144" t="s">
        <v>309</v>
      </c>
      <c r="U377" s="140"/>
      <c r="V377" s="141"/>
      <c r="W377" s="141"/>
      <c r="X377" s="141"/>
      <c r="Y377" s="164" t="s">
        <v>465</v>
      </c>
      <c r="Z377" s="230">
        <v>161934400</v>
      </c>
      <c r="AA377" s="230">
        <v>163923100</v>
      </c>
      <c r="AB377" s="230">
        <v>169910200</v>
      </c>
      <c r="AC377" s="229" t="s">
        <v>465</v>
      </c>
      <c r="AD377" s="227"/>
      <c r="AE377" s="130"/>
      <c r="AF377" s="130"/>
      <c r="AG377" s="130"/>
    </row>
    <row r="378" spans="1:33" ht="123" customHeight="1" x14ac:dyDescent="0.3">
      <c r="A378" s="162" t="s">
        <v>698</v>
      </c>
      <c r="B378" s="263" t="s">
        <v>18</v>
      </c>
      <c r="C378" s="263" t="s">
        <v>138</v>
      </c>
      <c r="D378" s="263" t="s">
        <v>132</v>
      </c>
      <c r="E378" s="263" t="s">
        <v>699</v>
      </c>
      <c r="F378" s="263"/>
      <c r="G378" s="263"/>
      <c r="H378" s="263"/>
      <c r="I378" s="263"/>
      <c r="J378" s="263"/>
      <c r="K378" s="263"/>
      <c r="L378" s="263"/>
      <c r="M378" s="263"/>
      <c r="N378" s="263"/>
      <c r="O378" s="263"/>
      <c r="P378" s="263"/>
      <c r="Q378" s="263"/>
      <c r="R378" s="263"/>
      <c r="S378" s="263"/>
      <c r="T378" s="263"/>
      <c r="U378" s="172"/>
      <c r="V378" s="221"/>
      <c r="W378" s="221"/>
      <c r="X378" s="221"/>
      <c r="Y378" s="162" t="s">
        <v>466</v>
      </c>
      <c r="Z378" s="268">
        <f>Z379</f>
        <v>80000</v>
      </c>
      <c r="AA378" s="268">
        <f>AA379</f>
        <v>80000</v>
      </c>
      <c r="AB378" s="268">
        <f>AB379</f>
        <v>80000</v>
      </c>
      <c r="AC378" s="228" t="s">
        <v>466</v>
      </c>
      <c r="AD378" s="227"/>
    </row>
    <row r="379" spans="1:33" ht="99.75" customHeight="1" x14ac:dyDescent="0.3">
      <c r="A379" s="139" t="s">
        <v>467</v>
      </c>
      <c r="B379" s="144" t="s">
        <v>18</v>
      </c>
      <c r="C379" s="144" t="s">
        <v>138</v>
      </c>
      <c r="D379" s="144" t="s">
        <v>132</v>
      </c>
      <c r="E379" s="263" t="s">
        <v>699</v>
      </c>
      <c r="F379" s="144"/>
      <c r="G379" s="144"/>
      <c r="H379" s="144"/>
      <c r="I379" s="144"/>
      <c r="J379" s="144"/>
      <c r="K379" s="144"/>
      <c r="L379" s="144"/>
      <c r="M379" s="144"/>
      <c r="N379" s="144"/>
      <c r="O379" s="144"/>
      <c r="P379" s="144"/>
      <c r="Q379" s="144"/>
      <c r="R379" s="144"/>
      <c r="S379" s="144"/>
      <c r="T379" s="144" t="s">
        <v>309</v>
      </c>
      <c r="U379" s="140"/>
      <c r="V379" s="141"/>
      <c r="W379" s="141"/>
      <c r="X379" s="141"/>
      <c r="Y379" s="139" t="s">
        <v>467</v>
      </c>
      <c r="Z379" s="230">
        <v>80000</v>
      </c>
      <c r="AA379" s="230">
        <v>80000</v>
      </c>
      <c r="AB379" s="230">
        <v>80000</v>
      </c>
      <c r="AC379" s="231" t="s">
        <v>467</v>
      </c>
      <c r="AD379" s="227"/>
    </row>
    <row r="380" spans="1:33" ht="129" customHeight="1" x14ac:dyDescent="0.3">
      <c r="A380" s="162" t="s">
        <v>700</v>
      </c>
      <c r="B380" s="263" t="s">
        <v>18</v>
      </c>
      <c r="C380" s="263" t="s">
        <v>138</v>
      </c>
      <c r="D380" s="263" t="s">
        <v>132</v>
      </c>
      <c r="E380" s="263" t="s">
        <v>701</v>
      </c>
      <c r="F380" s="263"/>
      <c r="G380" s="263"/>
      <c r="H380" s="263"/>
      <c r="I380" s="263"/>
      <c r="J380" s="263"/>
      <c r="K380" s="263"/>
      <c r="L380" s="263"/>
      <c r="M380" s="263"/>
      <c r="N380" s="263"/>
      <c r="O380" s="263"/>
      <c r="P380" s="263"/>
      <c r="Q380" s="263"/>
      <c r="R380" s="263"/>
      <c r="S380" s="263"/>
      <c r="T380" s="263"/>
      <c r="U380" s="172"/>
      <c r="V380" s="221"/>
      <c r="W380" s="221"/>
      <c r="X380" s="221"/>
      <c r="Y380" s="162" t="s">
        <v>468</v>
      </c>
      <c r="Z380" s="268">
        <f>Z381</f>
        <v>50000</v>
      </c>
      <c r="AA380" s="268">
        <f>AA381</f>
        <v>50000</v>
      </c>
      <c r="AB380" s="268">
        <f>AB381</f>
        <v>10000</v>
      </c>
      <c r="AC380" s="228" t="s">
        <v>468</v>
      </c>
      <c r="AD380" s="227"/>
    </row>
    <row r="381" spans="1:33" ht="111.75" customHeight="1" x14ac:dyDescent="0.3">
      <c r="A381" s="139" t="s">
        <v>469</v>
      </c>
      <c r="B381" s="144" t="s">
        <v>18</v>
      </c>
      <c r="C381" s="144" t="s">
        <v>138</v>
      </c>
      <c r="D381" s="144" t="s">
        <v>132</v>
      </c>
      <c r="E381" s="263" t="s">
        <v>701</v>
      </c>
      <c r="F381" s="144"/>
      <c r="G381" s="144"/>
      <c r="H381" s="144"/>
      <c r="I381" s="144"/>
      <c r="J381" s="144"/>
      <c r="K381" s="144"/>
      <c r="L381" s="144"/>
      <c r="M381" s="144"/>
      <c r="N381" s="144"/>
      <c r="O381" s="144"/>
      <c r="P381" s="144"/>
      <c r="Q381" s="144"/>
      <c r="R381" s="144"/>
      <c r="S381" s="144"/>
      <c r="T381" s="144" t="s">
        <v>309</v>
      </c>
      <c r="U381" s="140"/>
      <c r="V381" s="141"/>
      <c r="W381" s="141"/>
      <c r="X381" s="141"/>
      <c r="Y381" s="139" t="s">
        <v>469</v>
      </c>
      <c r="Z381" s="230">
        <v>50000</v>
      </c>
      <c r="AA381" s="230">
        <v>50000</v>
      </c>
      <c r="AB381" s="230">
        <v>10000</v>
      </c>
      <c r="AC381" s="231" t="s">
        <v>469</v>
      </c>
      <c r="AD381" s="227"/>
    </row>
    <row r="382" spans="1:33" ht="127.5" customHeight="1" x14ac:dyDescent="0.3">
      <c r="A382" s="162" t="s">
        <v>702</v>
      </c>
      <c r="B382" s="263" t="s">
        <v>18</v>
      </c>
      <c r="C382" s="263" t="s">
        <v>138</v>
      </c>
      <c r="D382" s="263" t="s">
        <v>132</v>
      </c>
      <c r="E382" s="263" t="s">
        <v>703</v>
      </c>
      <c r="F382" s="263"/>
      <c r="G382" s="263"/>
      <c r="H382" s="263"/>
      <c r="I382" s="263"/>
      <c r="J382" s="263"/>
      <c r="K382" s="263"/>
      <c r="L382" s="263"/>
      <c r="M382" s="263"/>
      <c r="N382" s="263"/>
      <c r="O382" s="263"/>
      <c r="P382" s="263"/>
      <c r="Q382" s="263"/>
      <c r="R382" s="263"/>
      <c r="S382" s="263"/>
      <c r="T382" s="263"/>
      <c r="U382" s="172"/>
      <c r="V382" s="221"/>
      <c r="W382" s="221"/>
      <c r="X382" s="221"/>
      <c r="Y382" s="162" t="s">
        <v>470</v>
      </c>
      <c r="Z382" s="268">
        <f>Z383</f>
        <v>20000</v>
      </c>
      <c r="AA382" s="268">
        <f>AA383</f>
        <v>20000</v>
      </c>
      <c r="AB382" s="268">
        <f>AB383</f>
        <v>20000</v>
      </c>
      <c r="AC382" s="228" t="s">
        <v>470</v>
      </c>
      <c r="AD382" s="227"/>
    </row>
    <row r="383" spans="1:33" ht="100.5" customHeight="1" thickBot="1" x14ac:dyDescent="0.35">
      <c r="A383" s="139" t="s">
        <v>471</v>
      </c>
      <c r="B383" s="144" t="s">
        <v>18</v>
      </c>
      <c r="C383" s="144" t="s">
        <v>138</v>
      </c>
      <c r="D383" s="144" t="s">
        <v>132</v>
      </c>
      <c r="E383" s="263" t="s">
        <v>703</v>
      </c>
      <c r="F383" s="144"/>
      <c r="G383" s="144"/>
      <c r="H383" s="144"/>
      <c r="I383" s="144"/>
      <c r="J383" s="144"/>
      <c r="K383" s="144"/>
      <c r="L383" s="144"/>
      <c r="M383" s="144"/>
      <c r="N383" s="144"/>
      <c r="O383" s="144"/>
      <c r="P383" s="144"/>
      <c r="Q383" s="144"/>
      <c r="R383" s="144"/>
      <c r="S383" s="144"/>
      <c r="T383" s="144" t="s">
        <v>309</v>
      </c>
      <c r="U383" s="140"/>
      <c r="V383" s="141"/>
      <c r="W383" s="141"/>
      <c r="X383" s="141"/>
      <c r="Y383" s="139" t="s">
        <v>471</v>
      </c>
      <c r="Z383" s="230">
        <v>20000</v>
      </c>
      <c r="AA383" s="230">
        <v>20000</v>
      </c>
      <c r="AB383" s="230">
        <v>20000</v>
      </c>
      <c r="AC383" s="231" t="s">
        <v>471</v>
      </c>
      <c r="AD383" s="227"/>
    </row>
    <row r="384" spans="1:33" ht="100.5" customHeight="1" thickBot="1" x14ac:dyDescent="0.35">
      <c r="A384" s="177" t="s">
        <v>663</v>
      </c>
      <c r="B384" s="144" t="s">
        <v>18</v>
      </c>
      <c r="C384" s="144" t="s">
        <v>138</v>
      </c>
      <c r="D384" s="144" t="s">
        <v>132</v>
      </c>
      <c r="E384" s="263" t="s">
        <v>664</v>
      </c>
      <c r="F384" s="144"/>
      <c r="G384" s="144"/>
      <c r="H384" s="144"/>
      <c r="I384" s="144"/>
      <c r="J384" s="144"/>
      <c r="K384" s="144"/>
      <c r="L384" s="144"/>
      <c r="M384" s="144"/>
      <c r="N384" s="144"/>
      <c r="O384" s="144"/>
      <c r="P384" s="144"/>
      <c r="Q384" s="144"/>
      <c r="R384" s="144"/>
      <c r="S384" s="144"/>
      <c r="T384" s="144"/>
      <c r="U384" s="140"/>
      <c r="V384" s="141"/>
      <c r="W384" s="141"/>
      <c r="X384" s="141"/>
      <c r="Y384" s="139"/>
      <c r="Z384" s="230">
        <f>Z385</f>
        <v>180000</v>
      </c>
      <c r="AA384" s="230">
        <f>AA385</f>
        <v>180000</v>
      </c>
      <c r="AB384" s="230">
        <f>AB385</f>
        <v>180000</v>
      </c>
      <c r="AC384" s="231"/>
      <c r="AD384" s="227"/>
    </row>
    <row r="385" spans="1:30" ht="154.5" customHeight="1" x14ac:dyDescent="0.3">
      <c r="A385" s="252" t="s">
        <v>835</v>
      </c>
      <c r="B385" s="144" t="s">
        <v>18</v>
      </c>
      <c r="C385" s="144" t="s">
        <v>138</v>
      </c>
      <c r="D385" s="144" t="s">
        <v>132</v>
      </c>
      <c r="E385" s="263" t="s">
        <v>664</v>
      </c>
      <c r="F385" s="144"/>
      <c r="G385" s="144"/>
      <c r="H385" s="144"/>
      <c r="I385" s="144"/>
      <c r="J385" s="144"/>
      <c r="K385" s="144"/>
      <c r="L385" s="144"/>
      <c r="M385" s="144"/>
      <c r="N385" s="144"/>
      <c r="O385" s="144"/>
      <c r="P385" s="144"/>
      <c r="Q385" s="144"/>
      <c r="R385" s="144"/>
      <c r="S385" s="144"/>
      <c r="T385" s="144" t="s">
        <v>309</v>
      </c>
      <c r="U385" s="140"/>
      <c r="V385" s="141"/>
      <c r="W385" s="141"/>
      <c r="X385" s="141"/>
      <c r="Y385" s="139"/>
      <c r="Z385" s="230">
        <v>180000</v>
      </c>
      <c r="AA385" s="230">
        <v>180000</v>
      </c>
      <c r="AB385" s="230">
        <v>180000</v>
      </c>
      <c r="AC385" s="231"/>
      <c r="AD385" s="227"/>
    </row>
    <row r="386" spans="1:30" ht="96.75" customHeight="1" x14ac:dyDescent="0.3">
      <c r="A386" s="162" t="s">
        <v>472</v>
      </c>
      <c r="B386" s="263" t="s">
        <v>18</v>
      </c>
      <c r="C386" s="263" t="s">
        <v>138</v>
      </c>
      <c r="D386" s="263" t="s">
        <v>132</v>
      </c>
      <c r="E386" s="263" t="s">
        <v>704</v>
      </c>
      <c r="F386" s="263"/>
      <c r="G386" s="263"/>
      <c r="H386" s="263"/>
      <c r="I386" s="263"/>
      <c r="J386" s="263"/>
      <c r="K386" s="263"/>
      <c r="L386" s="263"/>
      <c r="M386" s="263"/>
      <c r="N386" s="263"/>
      <c r="O386" s="263"/>
      <c r="P386" s="263"/>
      <c r="Q386" s="263"/>
      <c r="R386" s="263"/>
      <c r="S386" s="263"/>
      <c r="T386" s="263"/>
      <c r="U386" s="172"/>
      <c r="V386" s="221"/>
      <c r="W386" s="221"/>
      <c r="X386" s="221"/>
      <c r="Y386" s="162" t="s">
        <v>472</v>
      </c>
      <c r="Z386" s="268">
        <f>Z387</f>
        <v>193500</v>
      </c>
      <c r="AA386" s="268">
        <f>AA387</f>
        <v>193500</v>
      </c>
      <c r="AB386" s="268">
        <f>AB387</f>
        <v>193500</v>
      </c>
      <c r="AC386" s="228" t="s">
        <v>472</v>
      </c>
      <c r="AD386" s="227"/>
    </row>
    <row r="387" spans="1:30" ht="127.5" customHeight="1" x14ac:dyDescent="0.3">
      <c r="A387" s="139" t="s">
        <v>473</v>
      </c>
      <c r="B387" s="144" t="s">
        <v>18</v>
      </c>
      <c r="C387" s="144" t="s">
        <v>138</v>
      </c>
      <c r="D387" s="144" t="s">
        <v>132</v>
      </c>
      <c r="E387" s="263" t="s">
        <v>704</v>
      </c>
      <c r="F387" s="144"/>
      <c r="G387" s="144"/>
      <c r="H387" s="144"/>
      <c r="I387" s="144"/>
      <c r="J387" s="144"/>
      <c r="K387" s="144"/>
      <c r="L387" s="144"/>
      <c r="M387" s="144"/>
      <c r="N387" s="144"/>
      <c r="O387" s="144"/>
      <c r="P387" s="144"/>
      <c r="Q387" s="144"/>
      <c r="R387" s="144"/>
      <c r="S387" s="144"/>
      <c r="T387" s="144" t="s">
        <v>309</v>
      </c>
      <c r="U387" s="140"/>
      <c r="V387" s="141"/>
      <c r="W387" s="141"/>
      <c r="X387" s="141"/>
      <c r="Y387" s="139" t="s">
        <v>473</v>
      </c>
      <c r="Z387" s="230">
        <v>193500</v>
      </c>
      <c r="AA387" s="230">
        <v>193500</v>
      </c>
      <c r="AB387" s="230">
        <v>193500</v>
      </c>
      <c r="AC387" s="231" t="s">
        <v>473</v>
      </c>
      <c r="AD387" s="227"/>
    </row>
    <row r="388" spans="1:30" ht="37.15" customHeight="1" x14ac:dyDescent="0.3">
      <c r="A388" s="170" t="s">
        <v>794</v>
      </c>
      <c r="B388" s="171" t="s">
        <v>18</v>
      </c>
      <c r="C388" s="171" t="s">
        <v>138</v>
      </c>
      <c r="D388" s="171" t="s">
        <v>138</v>
      </c>
      <c r="E388" s="171"/>
      <c r="F388" s="171"/>
      <c r="G388" s="171"/>
      <c r="H388" s="171"/>
      <c r="I388" s="171"/>
      <c r="J388" s="171"/>
      <c r="K388" s="171"/>
      <c r="L388" s="171"/>
      <c r="M388" s="171"/>
      <c r="N388" s="171"/>
      <c r="O388" s="171"/>
      <c r="P388" s="171"/>
      <c r="Q388" s="171"/>
      <c r="R388" s="171"/>
      <c r="S388" s="171"/>
      <c r="T388" s="171"/>
      <c r="U388" s="171"/>
      <c r="V388" s="240"/>
      <c r="W388" s="240"/>
      <c r="X388" s="240"/>
      <c r="Y388" s="170" t="s">
        <v>157</v>
      </c>
      <c r="Z388" s="241">
        <f>Z389+Z397+Z392+Z394</f>
        <v>3359600</v>
      </c>
      <c r="AA388" s="241">
        <f>AA389+AA397+AA392+AA394</f>
        <v>3553100</v>
      </c>
      <c r="AB388" s="241">
        <f>AB389+AB397+AB392+AB394</f>
        <v>3367300</v>
      </c>
      <c r="AC388" s="226" t="s">
        <v>157</v>
      </c>
      <c r="AD388" s="227"/>
    </row>
    <row r="389" spans="1:30" ht="141.75" customHeight="1" x14ac:dyDescent="0.3">
      <c r="A389" s="162" t="s">
        <v>705</v>
      </c>
      <c r="B389" s="263" t="s">
        <v>18</v>
      </c>
      <c r="C389" s="263" t="s">
        <v>138</v>
      </c>
      <c r="D389" s="263" t="s">
        <v>138</v>
      </c>
      <c r="E389" s="263" t="s">
        <v>706</v>
      </c>
      <c r="F389" s="263"/>
      <c r="G389" s="263"/>
      <c r="H389" s="263"/>
      <c r="I389" s="263"/>
      <c r="J389" s="263"/>
      <c r="K389" s="263"/>
      <c r="L389" s="263"/>
      <c r="M389" s="263"/>
      <c r="N389" s="263"/>
      <c r="O389" s="263"/>
      <c r="P389" s="263"/>
      <c r="Q389" s="263"/>
      <c r="R389" s="263"/>
      <c r="S389" s="263"/>
      <c r="T389" s="263"/>
      <c r="U389" s="172"/>
      <c r="V389" s="221"/>
      <c r="W389" s="221"/>
      <c r="X389" s="221"/>
      <c r="Y389" s="162" t="s">
        <v>474</v>
      </c>
      <c r="Z389" s="268">
        <f>Z391+Z390</f>
        <v>2500000</v>
      </c>
      <c r="AA389" s="268">
        <f t="shared" ref="AA389:AB389" si="12">AA391</f>
        <v>2500000</v>
      </c>
      <c r="AB389" s="268">
        <f t="shared" si="12"/>
        <v>2500000</v>
      </c>
      <c r="AC389" s="228" t="s">
        <v>474</v>
      </c>
      <c r="AD389" s="227"/>
    </row>
    <row r="390" spans="1:30" ht="0.75" customHeight="1" x14ac:dyDescent="0.3">
      <c r="A390" s="162" t="s">
        <v>1016</v>
      </c>
      <c r="B390" s="144" t="s">
        <v>18</v>
      </c>
      <c r="C390" s="144" t="s">
        <v>138</v>
      </c>
      <c r="D390" s="144" t="s">
        <v>138</v>
      </c>
      <c r="E390" s="263" t="s">
        <v>706</v>
      </c>
      <c r="F390" s="263"/>
      <c r="G390" s="263"/>
      <c r="H390" s="263"/>
      <c r="I390" s="263"/>
      <c r="J390" s="263"/>
      <c r="K390" s="263"/>
      <c r="L390" s="263"/>
      <c r="M390" s="263"/>
      <c r="N390" s="263"/>
      <c r="O390" s="263"/>
      <c r="P390" s="263"/>
      <c r="Q390" s="263"/>
      <c r="R390" s="263"/>
      <c r="S390" s="263"/>
      <c r="T390" s="263" t="s">
        <v>290</v>
      </c>
      <c r="U390" s="172"/>
      <c r="V390" s="221"/>
      <c r="W390" s="221"/>
      <c r="X390" s="221"/>
      <c r="Y390" s="162"/>
      <c r="Z390" s="268">
        <v>0</v>
      </c>
      <c r="AA390" s="268">
        <v>0</v>
      </c>
      <c r="AB390" s="268">
        <v>0</v>
      </c>
      <c r="AC390" s="228"/>
      <c r="AD390" s="227"/>
    </row>
    <row r="391" spans="1:30" ht="146.25" customHeight="1" x14ac:dyDescent="0.3">
      <c r="A391" s="139" t="s">
        <v>475</v>
      </c>
      <c r="B391" s="144" t="s">
        <v>18</v>
      </c>
      <c r="C391" s="144" t="s">
        <v>138</v>
      </c>
      <c r="D391" s="144" t="s">
        <v>138</v>
      </c>
      <c r="E391" s="263" t="s">
        <v>706</v>
      </c>
      <c r="F391" s="144"/>
      <c r="G391" s="144"/>
      <c r="H391" s="144"/>
      <c r="I391" s="144"/>
      <c r="J391" s="144"/>
      <c r="K391" s="144"/>
      <c r="L391" s="144"/>
      <c r="M391" s="144"/>
      <c r="N391" s="144"/>
      <c r="O391" s="144"/>
      <c r="P391" s="144"/>
      <c r="Q391" s="144"/>
      <c r="R391" s="144"/>
      <c r="S391" s="144"/>
      <c r="T391" s="144" t="s">
        <v>309</v>
      </c>
      <c r="U391" s="140"/>
      <c r="V391" s="141"/>
      <c r="W391" s="141"/>
      <c r="X391" s="141"/>
      <c r="Y391" s="139" t="s">
        <v>475</v>
      </c>
      <c r="Z391" s="230">
        <v>2500000</v>
      </c>
      <c r="AA391" s="230">
        <v>2500000</v>
      </c>
      <c r="AB391" s="230">
        <v>2500000</v>
      </c>
      <c r="AC391" s="231" t="s">
        <v>475</v>
      </c>
      <c r="AD391" s="227"/>
    </row>
    <row r="392" spans="1:30" ht="0.75" customHeight="1" x14ac:dyDescent="0.3">
      <c r="A392" s="162" t="s">
        <v>705</v>
      </c>
      <c r="B392" s="263" t="s">
        <v>18</v>
      </c>
      <c r="C392" s="263" t="s">
        <v>138</v>
      </c>
      <c r="D392" s="263" t="s">
        <v>138</v>
      </c>
      <c r="E392" s="263" t="s">
        <v>893</v>
      </c>
      <c r="F392" s="263"/>
      <c r="G392" s="263"/>
      <c r="H392" s="263"/>
      <c r="I392" s="263"/>
      <c r="J392" s="263"/>
      <c r="K392" s="263"/>
      <c r="L392" s="263"/>
      <c r="M392" s="263"/>
      <c r="N392" s="263"/>
      <c r="O392" s="263"/>
      <c r="P392" s="263"/>
      <c r="Q392" s="263"/>
      <c r="R392" s="263"/>
      <c r="S392" s="263"/>
      <c r="T392" s="263"/>
      <c r="U392" s="140"/>
      <c r="V392" s="141"/>
      <c r="W392" s="141"/>
      <c r="X392" s="141"/>
      <c r="Y392" s="139"/>
      <c r="Z392" s="230">
        <f>Z393</f>
        <v>0</v>
      </c>
      <c r="AA392" s="230">
        <f>AA393</f>
        <v>0</v>
      </c>
      <c r="AB392" s="230">
        <f>AB393</f>
        <v>0</v>
      </c>
      <c r="AC392" s="231"/>
      <c r="AD392" s="227"/>
    </row>
    <row r="393" spans="1:30" ht="103.5" hidden="1" customHeight="1" x14ac:dyDescent="0.3">
      <c r="A393" s="139" t="s">
        <v>475</v>
      </c>
      <c r="B393" s="144" t="s">
        <v>18</v>
      </c>
      <c r="C393" s="144" t="s">
        <v>138</v>
      </c>
      <c r="D393" s="144" t="s">
        <v>138</v>
      </c>
      <c r="E393" s="263" t="s">
        <v>893</v>
      </c>
      <c r="F393" s="144"/>
      <c r="G393" s="144"/>
      <c r="H393" s="144"/>
      <c r="I393" s="144"/>
      <c r="J393" s="144"/>
      <c r="K393" s="144"/>
      <c r="L393" s="144"/>
      <c r="M393" s="144"/>
      <c r="N393" s="144"/>
      <c r="O393" s="144"/>
      <c r="P393" s="144"/>
      <c r="Q393" s="144"/>
      <c r="R393" s="144"/>
      <c r="S393" s="144"/>
      <c r="T393" s="144" t="s">
        <v>309</v>
      </c>
      <c r="U393" s="140"/>
      <c r="V393" s="141"/>
      <c r="W393" s="141"/>
      <c r="X393" s="141"/>
      <c r="Y393" s="139"/>
      <c r="Z393" s="230">
        <v>0</v>
      </c>
      <c r="AA393" s="230">
        <v>0</v>
      </c>
      <c r="AB393" s="230">
        <v>0</v>
      </c>
      <c r="AC393" s="231"/>
      <c r="AD393" s="227"/>
    </row>
    <row r="394" spans="1:30" ht="147.75" customHeight="1" x14ac:dyDescent="0.3">
      <c r="A394" s="162" t="s">
        <v>705</v>
      </c>
      <c r="B394" s="144" t="s">
        <v>18</v>
      </c>
      <c r="C394" s="144" t="s">
        <v>138</v>
      </c>
      <c r="D394" s="144" t="s">
        <v>138</v>
      </c>
      <c r="E394" s="263" t="s">
        <v>893</v>
      </c>
      <c r="F394" s="144"/>
      <c r="G394" s="144"/>
      <c r="H394" s="144"/>
      <c r="I394" s="144"/>
      <c r="J394" s="144"/>
      <c r="K394" s="144"/>
      <c r="L394" s="144"/>
      <c r="M394" s="144"/>
      <c r="N394" s="144"/>
      <c r="O394" s="144"/>
      <c r="P394" s="144"/>
      <c r="Q394" s="144"/>
      <c r="R394" s="144"/>
      <c r="S394" s="144"/>
      <c r="T394" s="144"/>
      <c r="U394" s="140"/>
      <c r="V394" s="141"/>
      <c r="W394" s="141"/>
      <c r="X394" s="141"/>
      <c r="Y394" s="139"/>
      <c r="Z394" s="230">
        <f>Z396+Z395</f>
        <v>859600</v>
      </c>
      <c r="AA394" s="230">
        <f>AA396</f>
        <v>1053100</v>
      </c>
      <c r="AB394" s="230">
        <f>AB396</f>
        <v>867300</v>
      </c>
      <c r="AC394" s="231"/>
      <c r="AD394" s="227"/>
    </row>
    <row r="395" spans="1:30" ht="0.75" customHeight="1" x14ac:dyDescent="0.3">
      <c r="A395" s="139" t="s">
        <v>587</v>
      </c>
      <c r="B395" s="144" t="s">
        <v>18</v>
      </c>
      <c r="C395" s="144" t="s">
        <v>138</v>
      </c>
      <c r="D395" s="144" t="s">
        <v>138</v>
      </c>
      <c r="E395" s="263" t="s">
        <v>893</v>
      </c>
      <c r="F395" s="144"/>
      <c r="G395" s="144"/>
      <c r="H395" s="144"/>
      <c r="I395" s="144"/>
      <c r="J395" s="144"/>
      <c r="K395" s="144"/>
      <c r="L395" s="144"/>
      <c r="M395" s="144"/>
      <c r="N395" s="144"/>
      <c r="O395" s="144"/>
      <c r="P395" s="144"/>
      <c r="Q395" s="144"/>
      <c r="R395" s="144"/>
      <c r="S395" s="144"/>
      <c r="T395" s="144" t="s">
        <v>290</v>
      </c>
      <c r="U395" s="140"/>
      <c r="V395" s="141"/>
      <c r="W395" s="141"/>
      <c r="X395" s="141"/>
      <c r="Y395" s="139"/>
      <c r="Z395" s="230">
        <v>0</v>
      </c>
      <c r="AA395" s="230">
        <v>0</v>
      </c>
      <c r="AB395" s="230">
        <v>0</v>
      </c>
      <c r="AC395" s="231"/>
      <c r="AD395" s="227"/>
    </row>
    <row r="396" spans="1:30" ht="66" customHeight="1" x14ac:dyDescent="0.3">
      <c r="A396" s="139" t="s">
        <v>796</v>
      </c>
      <c r="B396" s="144" t="s">
        <v>18</v>
      </c>
      <c r="C396" s="144" t="s">
        <v>138</v>
      </c>
      <c r="D396" s="144" t="s">
        <v>138</v>
      </c>
      <c r="E396" s="263" t="s">
        <v>893</v>
      </c>
      <c r="F396" s="144"/>
      <c r="G396" s="144"/>
      <c r="H396" s="144"/>
      <c r="I396" s="144"/>
      <c r="J396" s="144"/>
      <c r="K396" s="144"/>
      <c r="L396" s="144"/>
      <c r="M396" s="144"/>
      <c r="N396" s="144"/>
      <c r="O396" s="144"/>
      <c r="P396" s="144"/>
      <c r="Q396" s="144"/>
      <c r="R396" s="144"/>
      <c r="S396" s="144"/>
      <c r="T396" s="144" t="s">
        <v>309</v>
      </c>
      <c r="U396" s="140"/>
      <c r="V396" s="141"/>
      <c r="W396" s="141"/>
      <c r="X396" s="141"/>
      <c r="Y396" s="139"/>
      <c r="Z396" s="230">
        <v>859600</v>
      </c>
      <c r="AA396" s="230">
        <v>1053100</v>
      </c>
      <c r="AB396" s="230">
        <v>867300</v>
      </c>
      <c r="AC396" s="231"/>
      <c r="AD396" s="227"/>
    </row>
    <row r="397" spans="1:30" ht="147.75" hidden="1" customHeight="1" x14ac:dyDescent="0.3">
      <c r="A397" s="139" t="s">
        <v>819</v>
      </c>
      <c r="B397" s="144" t="s">
        <v>18</v>
      </c>
      <c r="C397" s="144" t="s">
        <v>138</v>
      </c>
      <c r="D397" s="144" t="s">
        <v>138</v>
      </c>
      <c r="E397" s="263" t="s">
        <v>797</v>
      </c>
      <c r="F397" s="144"/>
      <c r="G397" s="144"/>
      <c r="H397" s="144"/>
      <c r="I397" s="144"/>
      <c r="J397" s="144"/>
      <c r="K397" s="144"/>
      <c r="L397" s="144"/>
      <c r="M397" s="144"/>
      <c r="N397" s="144"/>
      <c r="O397" s="144"/>
      <c r="P397" s="144"/>
      <c r="Q397" s="144"/>
      <c r="R397" s="144"/>
      <c r="S397" s="144"/>
      <c r="T397" s="144"/>
      <c r="U397" s="140"/>
      <c r="V397" s="141"/>
      <c r="W397" s="141"/>
      <c r="X397" s="141"/>
      <c r="Y397" s="139"/>
      <c r="Z397" s="230">
        <f>Z398</f>
        <v>0</v>
      </c>
      <c r="AA397" s="230">
        <f>AA398</f>
        <v>0</v>
      </c>
      <c r="AB397" s="230">
        <f>AB398</f>
        <v>0</v>
      </c>
      <c r="AC397" s="231"/>
      <c r="AD397" s="227"/>
    </row>
    <row r="398" spans="1:30" ht="63" hidden="1" customHeight="1" x14ac:dyDescent="0.3">
      <c r="A398" s="139" t="s">
        <v>796</v>
      </c>
      <c r="B398" s="144" t="s">
        <v>18</v>
      </c>
      <c r="C398" s="144" t="s">
        <v>138</v>
      </c>
      <c r="D398" s="144" t="s">
        <v>138</v>
      </c>
      <c r="E398" s="263" t="s">
        <v>797</v>
      </c>
      <c r="F398" s="144"/>
      <c r="G398" s="144"/>
      <c r="H398" s="144"/>
      <c r="I398" s="144"/>
      <c r="J398" s="144"/>
      <c r="K398" s="144"/>
      <c r="L398" s="144"/>
      <c r="M398" s="144"/>
      <c r="N398" s="144"/>
      <c r="O398" s="144"/>
      <c r="P398" s="144"/>
      <c r="Q398" s="144"/>
      <c r="R398" s="144"/>
      <c r="S398" s="144"/>
      <c r="T398" s="144" t="s">
        <v>309</v>
      </c>
      <c r="U398" s="140"/>
      <c r="V398" s="141"/>
      <c r="W398" s="141"/>
      <c r="X398" s="141"/>
      <c r="Y398" s="139"/>
      <c r="Z398" s="230">
        <f>889800+547200-1437000</f>
        <v>0</v>
      </c>
      <c r="AA398" s="230">
        <f>1035200-1035200</f>
        <v>0</v>
      </c>
      <c r="AB398" s="230">
        <f>1278800-1278800</f>
        <v>0</v>
      </c>
      <c r="AC398" s="231"/>
      <c r="AD398" s="227"/>
    </row>
    <row r="399" spans="1:30" ht="37.15" customHeight="1" x14ac:dyDescent="0.3">
      <c r="A399" s="170" t="s">
        <v>158</v>
      </c>
      <c r="B399" s="171" t="s">
        <v>18</v>
      </c>
      <c r="C399" s="171" t="s">
        <v>138</v>
      </c>
      <c r="D399" s="171" t="s">
        <v>127</v>
      </c>
      <c r="E399" s="171"/>
      <c r="F399" s="171"/>
      <c r="G399" s="171"/>
      <c r="H399" s="171"/>
      <c r="I399" s="171"/>
      <c r="J399" s="171"/>
      <c r="K399" s="171"/>
      <c r="L399" s="171"/>
      <c r="M399" s="171"/>
      <c r="N399" s="171"/>
      <c r="O399" s="171"/>
      <c r="P399" s="171"/>
      <c r="Q399" s="171"/>
      <c r="R399" s="171"/>
      <c r="S399" s="171"/>
      <c r="T399" s="171"/>
      <c r="U399" s="171"/>
      <c r="V399" s="240"/>
      <c r="W399" s="240"/>
      <c r="X399" s="240"/>
      <c r="Y399" s="170" t="s">
        <v>158</v>
      </c>
      <c r="Z399" s="241">
        <f>Z400+Z404+Z408</f>
        <v>24509701.960000001</v>
      </c>
      <c r="AA399" s="241">
        <f>AA400+AA404+AA408</f>
        <v>24394219.469999999</v>
      </c>
      <c r="AB399" s="241">
        <f>AB400+AB404+AB408</f>
        <v>24394219.469999999</v>
      </c>
      <c r="AC399" s="226" t="s">
        <v>158</v>
      </c>
      <c r="AD399" s="227"/>
    </row>
    <row r="400" spans="1:30" ht="165.75" customHeight="1" x14ac:dyDescent="0.3">
      <c r="A400" s="162" t="s">
        <v>707</v>
      </c>
      <c r="B400" s="172" t="s">
        <v>18</v>
      </c>
      <c r="C400" s="172" t="s">
        <v>138</v>
      </c>
      <c r="D400" s="172" t="s">
        <v>127</v>
      </c>
      <c r="E400" s="172" t="s">
        <v>708</v>
      </c>
      <c r="F400" s="172"/>
      <c r="G400" s="172"/>
      <c r="H400" s="172"/>
      <c r="I400" s="172"/>
      <c r="J400" s="172"/>
      <c r="K400" s="172"/>
      <c r="L400" s="172"/>
      <c r="M400" s="172"/>
      <c r="N400" s="172"/>
      <c r="O400" s="172"/>
      <c r="P400" s="172"/>
      <c r="Q400" s="172"/>
      <c r="R400" s="172"/>
      <c r="S400" s="172"/>
      <c r="T400" s="172"/>
      <c r="U400" s="172"/>
      <c r="V400" s="221"/>
      <c r="W400" s="221"/>
      <c r="X400" s="221"/>
      <c r="Y400" s="162" t="s">
        <v>476</v>
      </c>
      <c r="Z400" s="268">
        <f>Z401+Z402+Z403</f>
        <v>6148533.7400000012</v>
      </c>
      <c r="AA400" s="268">
        <f>AA401+AA402</f>
        <v>6134313.7400000002</v>
      </c>
      <c r="AB400" s="268">
        <f>AB401+AB402</f>
        <v>6134313.7400000002</v>
      </c>
      <c r="AC400" s="228" t="s">
        <v>476</v>
      </c>
      <c r="AD400" s="227"/>
    </row>
    <row r="401" spans="1:30" ht="168.75" customHeight="1" x14ac:dyDescent="0.3">
      <c r="A401" s="164" t="s">
        <v>477</v>
      </c>
      <c r="B401" s="140" t="s">
        <v>18</v>
      </c>
      <c r="C401" s="140" t="s">
        <v>138</v>
      </c>
      <c r="D401" s="140" t="s">
        <v>127</v>
      </c>
      <c r="E401" s="172" t="s">
        <v>708</v>
      </c>
      <c r="F401" s="140"/>
      <c r="G401" s="140"/>
      <c r="H401" s="140"/>
      <c r="I401" s="140"/>
      <c r="J401" s="140"/>
      <c r="K401" s="140"/>
      <c r="L401" s="140"/>
      <c r="M401" s="140"/>
      <c r="N401" s="140"/>
      <c r="O401" s="140"/>
      <c r="P401" s="140"/>
      <c r="Q401" s="140"/>
      <c r="R401" s="140"/>
      <c r="S401" s="140"/>
      <c r="T401" s="140" t="s">
        <v>38</v>
      </c>
      <c r="U401" s="140"/>
      <c r="V401" s="141"/>
      <c r="W401" s="141"/>
      <c r="X401" s="141"/>
      <c r="Y401" s="164" t="s">
        <v>477</v>
      </c>
      <c r="Z401" s="230">
        <f>5429984.11+306891.77+174529.86+52708</f>
        <v>5964113.7400000012</v>
      </c>
      <c r="AA401" s="230">
        <v>5964113.7400000002</v>
      </c>
      <c r="AB401" s="230">
        <v>5964113.7400000002</v>
      </c>
      <c r="AC401" s="229" t="s">
        <v>477</v>
      </c>
      <c r="AD401" s="227"/>
    </row>
    <row r="402" spans="1:30" ht="111" customHeight="1" x14ac:dyDescent="0.3">
      <c r="A402" s="139" t="s">
        <v>478</v>
      </c>
      <c r="B402" s="140" t="s">
        <v>18</v>
      </c>
      <c r="C402" s="140" t="s">
        <v>138</v>
      </c>
      <c r="D402" s="140" t="s">
        <v>127</v>
      </c>
      <c r="E402" s="172" t="s">
        <v>708</v>
      </c>
      <c r="F402" s="140"/>
      <c r="G402" s="140"/>
      <c r="H402" s="140"/>
      <c r="I402" s="140"/>
      <c r="J402" s="140"/>
      <c r="K402" s="140"/>
      <c r="L402" s="140"/>
      <c r="M402" s="140"/>
      <c r="N402" s="140"/>
      <c r="O402" s="140"/>
      <c r="P402" s="140"/>
      <c r="Q402" s="140"/>
      <c r="R402" s="140"/>
      <c r="S402" s="140"/>
      <c r="T402" s="140" t="s">
        <v>290</v>
      </c>
      <c r="U402" s="140"/>
      <c r="V402" s="141"/>
      <c r="W402" s="141"/>
      <c r="X402" s="141"/>
      <c r="Y402" s="139" t="s">
        <v>478</v>
      </c>
      <c r="Z402" s="230">
        <v>184420</v>
      </c>
      <c r="AA402" s="230">
        <v>170200</v>
      </c>
      <c r="AB402" s="230">
        <v>170200</v>
      </c>
      <c r="AC402" s="231" t="s">
        <v>478</v>
      </c>
      <c r="AD402" s="227"/>
    </row>
    <row r="403" spans="1:30" ht="119.25" hidden="1" customHeight="1" x14ac:dyDescent="0.3">
      <c r="A403" s="139" t="s">
        <v>907</v>
      </c>
      <c r="B403" s="140" t="s">
        <v>18</v>
      </c>
      <c r="C403" s="140" t="s">
        <v>138</v>
      </c>
      <c r="D403" s="140" t="s">
        <v>127</v>
      </c>
      <c r="E403" s="172" t="s">
        <v>708</v>
      </c>
      <c r="F403" s="140"/>
      <c r="G403" s="140"/>
      <c r="H403" s="140"/>
      <c r="I403" s="140"/>
      <c r="J403" s="140"/>
      <c r="K403" s="140"/>
      <c r="L403" s="140"/>
      <c r="M403" s="140"/>
      <c r="N403" s="140"/>
      <c r="O403" s="140"/>
      <c r="P403" s="140"/>
      <c r="Q403" s="140"/>
      <c r="R403" s="140"/>
      <c r="S403" s="140"/>
      <c r="T403" s="140" t="s">
        <v>243</v>
      </c>
      <c r="U403" s="140"/>
      <c r="V403" s="141"/>
      <c r="W403" s="141"/>
      <c r="X403" s="141"/>
      <c r="Y403" s="139"/>
      <c r="Z403" s="230">
        <v>0</v>
      </c>
      <c r="AA403" s="230">
        <v>0</v>
      </c>
      <c r="AB403" s="230">
        <v>0</v>
      </c>
      <c r="AC403" s="231"/>
      <c r="AD403" s="227"/>
    </row>
    <row r="404" spans="1:30" ht="186.75" customHeight="1" x14ac:dyDescent="0.3">
      <c r="A404" s="162" t="s">
        <v>709</v>
      </c>
      <c r="B404" s="172" t="s">
        <v>18</v>
      </c>
      <c r="C404" s="172" t="s">
        <v>138</v>
      </c>
      <c r="D404" s="172" t="s">
        <v>127</v>
      </c>
      <c r="E404" s="172" t="s">
        <v>710</v>
      </c>
      <c r="F404" s="172"/>
      <c r="G404" s="172"/>
      <c r="H404" s="172"/>
      <c r="I404" s="172"/>
      <c r="J404" s="172"/>
      <c r="K404" s="172"/>
      <c r="L404" s="172"/>
      <c r="M404" s="172"/>
      <c r="N404" s="172"/>
      <c r="O404" s="172"/>
      <c r="P404" s="172"/>
      <c r="Q404" s="172"/>
      <c r="R404" s="172"/>
      <c r="S404" s="172"/>
      <c r="T404" s="172"/>
      <c r="U404" s="172"/>
      <c r="V404" s="221"/>
      <c r="W404" s="221"/>
      <c r="X404" s="221"/>
      <c r="Y404" s="162" t="s">
        <v>479</v>
      </c>
      <c r="Z404" s="268">
        <f>Z405+Z406+Z407</f>
        <v>15522488.060000001</v>
      </c>
      <c r="AA404" s="268">
        <f>AA405+AA406+AA407</f>
        <v>15522587.060000001</v>
      </c>
      <c r="AB404" s="268">
        <f>AB405+AB406+AB407</f>
        <v>15522587.060000001</v>
      </c>
      <c r="AC404" s="228" t="s">
        <v>479</v>
      </c>
      <c r="AD404" s="227"/>
    </row>
    <row r="405" spans="1:30" ht="180" customHeight="1" x14ac:dyDescent="0.3">
      <c r="A405" s="164" t="s">
        <v>480</v>
      </c>
      <c r="B405" s="140" t="s">
        <v>18</v>
      </c>
      <c r="C405" s="140" t="s">
        <v>138</v>
      </c>
      <c r="D405" s="140" t="s">
        <v>127</v>
      </c>
      <c r="E405" s="172" t="s">
        <v>710</v>
      </c>
      <c r="F405" s="140"/>
      <c r="G405" s="140"/>
      <c r="H405" s="140"/>
      <c r="I405" s="140"/>
      <c r="J405" s="140"/>
      <c r="K405" s="140"/>
      <c r="L405" s="140"/>
      <c r="M405" s="140"/>
      <c r="N405" s="140"/>
      <c r="O405" s="140"/>
      <c r="P405" s="140"/>
      <c r="Q405" s="140"/>
      <c r="R405" s="140"/>
      <c r="S405" s="140"/>
      <c r="T405" s="140" t="s">
        <v>38</v>
      </c>
      <c r="U405" s="140"/>
      <c r="V405" s="141"/>
      <c r="W405" s="141"/>
      <c r="X405" s="141"/>
      <c r="Y405" s="164" t="s">
        <v>480</v>
      </c>
      <c r="Z405" s="230">
        <f>12283642.65+375116+113285</f>
        <v>12772043.65</v>
      </c>
      <c r="AA405" s="230">
        <v>12772043.65</v>
      </c>
      <c r="AB405" s="230">
        <v>12772043.65</v>
      </c>
      <c r="AC405" s="229" t="s">
        <v>480</v>
      </c>
      <c r="AD405" s="227"/>
    </row>
    <row r="406" spans="1:30" ht="123" customHeight="1" x14ac:dyDescent="0.3">
      <c r="A406" s="139" t="s">
        <v>481</v>
      </c>
      <c r="B406" s="140" t="s">
        <v>18</v>
      </c>
      <c r="C406" s="140" t="s">
        <v>138</v>
      </c>
      <c r="D406" s="140" t="s">
        <v>127</v>
      </c>
      <c r="E406" s="172" t="s">
        <v>710</v>
      </c>
      <c r="F406" s="140"/>
      <c r="G406" s="140"/>
      <c r="H406" s="140"/>
      <c r="I406" s="140"/>
      <c r="J406" s="140"/>
      <c r="K406" s="140"/>
      <c r="L406" s="140"/>
      <c r="M406" s="140"/>
      <c r="N406" s="140"/>
      <c r="O406" s="140"/>
      <c r="P406" s="140"/>
      <c r="Q406" s="140"/>
      <c r="R406" s="140"/>
      <c r="S406" s="140"/>
      <c r="T406" s="140" t="s">
        <v>290</v>
      </c>
      <c r="U406" s="140"/>
      <c r="V406" s="141"/>
      <c r="W406" s="141"/>
      <c r="X406" s="141"/>
      <c r="Y406" s="139" t="s">
        <v>481</v>
      </c>
      <c r="Z406" s="230">
        <v>2748292.41</v>
      </c>
      <c r="AA406" s="230">
        <v>2748292.41</v>
      </c>
      <c r="AB406" s="230">
        <v>2748292.41</v>
      </c>
      <c r="AC406" s="231" t="s">
        <v>481</v>
      </c>
      <c r="AD406" s="227"/>
    </row>
    <row r="407" spans="1:30" ht="102" customHeight="1" x14ac:dyDescent="0.3">
      <c r="A407" s="139" t="s">
        <v>482</v>
      </c>
      <c r="B407" s="140" t="s">
        <v>18</v>
      </c>
      <c r="C407" s="140" t="s">
        <v>138</v>
      </c>
      <c r="D407" s="140" t="s">
        <v>127</v>
      </c>
      <c r="E407" s="172" t="s">
        <v>710</v>
      </c>
      <c r="F407" s="140"/>
      <c r="G407" s="140"/>
      <c r="H407" s="140"/>
      <c r="I407" s="140"/>
      <c r="J407" s="140"/>
      <c r="K407" s="140"/>
      <c r="L407" s="140"/>
      <c r="M407" s="140"/>
      <c r="N407" s="140"/>
      <c r="O407" s="140"/>
      <c r="P407" s="140"/>
      <c r="Q407" s="140"/>
      <c r="R407" s="140"/>
      <c r="S407" s="140"/>
      <c r="T407" s="140" t="s">
        <v>243</v>
      </c>
      <c r="U407" s="140"/>
      <c r="V407" s="141"/>
      <c r="W407" s="141"/>
      <c r="X407" s="141"/>
      <c r="Y407" s="139" t="s">
        <v>482</v>
      </c>
      <c r="Z407" s="230">
        <v>2152</v>
      </c>
      <c r="AA407" s="230">
        <v>2251</v>
      </c>
      <c r="AB407" s="230">
        <v>2251</v>
      </c>
      <c r="AC407" s="231" t="s">
        <v>482</v>
      </c>
      <c r="AD407" s="227"/>
    </row>
    <row r="408" spans="1:30" ht="181.5" customHeight="1" x14ac:dyDescent="0.3">
      <c r="A408" s="162" t="s">
        <v>711</v>
      </c>
      <c r="B408" s="172" t="s">
        <v>18</v>
      </c>
      <c r="C408" s="172" t="s">
        <v>138</v>
      </c>
      <c r="D408" s="172" t="s">
        <v>127</v>
      </c>
      <c r="E408" s="172" t="s">
        <v>712</v>
      </c>
      <c r="F408" s="172"/>
      <c r="G408" s="172"/>
      <c r="H408" s="172"/>
      <c r="I408" s="172"/>
      <c r="J408" s="172"/>
      <c r="K408" s="172"/>
      <c r="L408" s="172"/>
      <c r="M408" s="172"/>
      <c r="N408" s="172"/>
      <c r="O408" s="172"/>
      <c r="P408" s="172"/>
      <c r="Q408" s="172"/>
      <c r="R408" s="172"/>
      <c r="S408" s="172"/>
      <c r="T408" s="172"/>
      <c r="U408" s="172"/>
      <c r="V408" s="221"/>
      <c r="W408" s="221"/>
      <c r="X408" s="221"/>
      <c r="Y408" s="162" t="s">
        <v>483</v>
      </c>
      <c r="Z408" s="268">
        <f>Z409</f>
        <v>2838680.16</v>
      </c>
      <c r="AA408" s="268">
        <f>AA409</f>
        <v>2737318.67</v>
      </c>
      <c r="AB408" s="268">
        <f>AB409</f>
        <v>2737318.67</v>
      </c>
      <c r="AC408" s="228" t="s">
        <v>483</v>
      </c>
      <c r="AD408" s="227"/>
    </row>
    <row r="409" spans="1:30" ht="129.75" customHeight="1" x14ac:dyDescent="0.3">
      <c r="A409" s="139" t="s">
        <v>484</v>
      </c>
      <c r="B409" s="140" t="s">
        <v>18</v>
      </c>
      <c r="C409" s="140" t="s">
        <v>138</v>
      </c>
      <c r="D409" s="140" t="s">
        <v>127</v>
      </c>
      <c r="E409" s="172" t="s">
        <v>712</v>
      </c>
      <c r="F409" s="140"/>
      <c r="G409" s="140"/>
      <c r="H409" s="140"/>
      <c r="I409" s="140"/>
      <c r="J409" s="140"/>
      <c r="K409" s="140"/>
      <c r="L409" s="140"/>
      <c r="M409" s="140"/>
      <c r="N409" s="140"/>
      <c r="O409" s="140"/>
      <c r="P409" s="140"/>
      <c r="Q409" s="140"/>
      <c r="R409" s="140"/>
      <c r="S409" s="140"/>
      <c r="T409" s="140" t="s">
        <v>309</v>
      </c>
      <c r="U409" s="140"/>
      <c r="V409" s="141"/>
      <c r="W409" s="141"/>
      <c r="X409" s="141"/>
      <c r="Y409" s="139" t="s">
        <v>484</v>
      </c>
      <c r="Z409" s="230">
        <f>2606970.16+231710</f>
        <v>2838680.16</v>
      </c>
      <c r="AA409" s="230">
        <v>2737318.67</v>
      </c>
      <c r="AB409" s="230">
        <v>2737318.67</v>
      </c>
      <c r="AC409" s="231" t="s">
        <v>484</v>
      </c>
      <c r="AD409" s="238"/>
    </row>
    <row r="410" spans="1:30" ht="18.600000000000001" customHeight="1" x14ac:dyDescent="0.3">
      <c r="A410" s="170" t="s">
        <v>406</v>
      </c>
      <c r="B410" s="171" t="s">
        <v>18</v>
      </c>
      <c r="C410" s="171" t="s">
        <v>143</v>
      </c>
      <c r="D410" s="171" t="s">
        <v>133</v>
      </c>
      <c r="E410" s="171"/>
      <c r="F410" s="171"/>
      <c r="G410" s="171"/>
      <c r="H410" s="171"/>
      <c r="I410" s="171"/>
      <c r="J410" s="171"/>
      <c r="K410" s="171"/>
      <c r="L410" s="171"/>
      <c r="M410" s="171"/>
      <c r="N410" s="171"/>
      <c r="O410" s="171"/>
      <c r="P410" s="171"/>
      <c r="Q410" s="171"/>
      <c r="R410" s="171"/>
      <c r="S410" s="171"/>
      <c r="T410" s="171"/>
      <c r="U410" s="171"/>
      <c r="V410" s="240"/>
      <c r="W410" s="240"/>
      <c r="X410" s="240"/>
      <c r="Y410" s="170" t="s">
        <v>406</v>
      </c>
      <c r="Z410" s="241">
        <f>Z411+Z415+Z431</f>
        <v>28544663</v>
      </c>
      <c r="AA410" s="241">
        <f>AA411+AA415+AA431</f>
        <v>28728208</v>
      </c>
      <c r="AB410" s="241">
        <f>AB411+AB415+AB431</f>
        <v>28728208</v>
      </c>
      <c r="AC410" s="226" t="s">
        <v>406</v>
      </c>
      <c r="AD410" s="227"/>
    </row>
    <row r="411" spans="1:30" ht="18.600000000000001" customHeight="1" x14ac:dyDescent="0.3">
      <c r="A411" s="170" t="s">
        <v>162</v>
      </c>
      <c r="B411" s="171" t="s">
        <v>18</v>
      </c>
      <c r="C411" s="171" t="s">
        <v>143</v>
      </c>
      <c r="D411" s="171" t="s">
        <v>122</v>
      </c>
      <c r="E411" s="171"/>
      <c r="F411" s="171"/>
      <c r="G411" s="171"/>
      <c r="H411" s="171"/>
      <c r="I411" s="171"/>
      <c r="J411" s="171"/>
      <c r="K411" s="171"/>
      <c r="L411" s="171"/>
      <c r="M411" s="171"/>
      <c r="N411" s="171"/>
      <c r="O411" s="171"/>
      <c r="P411" s="171"/>
      <c r="Q411" s="171"/>
      <c r="R411" s="171"/>
      <c r="S411" s="171"/>
      <c r="T411" s="171"/>
      <c r="U411" s="171"/>
      <c r="V411" s="240"/>
      <c r="W411" s="240"/>
      <c r="X411" s="240"/>
      <c r="Y411" s="170" t="s">
        <v>162</v>
      </c>
      <c r="Z411" s="241">
        <f>Z412</f>
        <v>340563</v>
      </c>
      <c r="AA411" s="241">
        <f>AA412</f>
        <v>404808</v>
      </c>
      <c r="AB411" s="241">
        <f>AB412</f>
        <v>404808</v>
      </c>
      <c r="AC411" s="226" t="s">
        <v>162</v>
      </c>
      <c r="AD411" s="227"/>
    </row>
    <row r="412" spans="1:30" ht="195.75" customHeight="1" x14ac:dyDescent="0.3">
      <c r="A412" s="165" t="s">
        <v>485</v>
      </c>
      <c r="B412" s="172" t="s">
        <v>18</v>
      </c>
      <c r="C412" s="172" t="s">
        <v>143</v>
      </c>
      <c r="D412" s="172" t="s">
        <v>122</v>
      </c>
      <c r="E412" s="172" t="s">
        <v>656</v>
      </c>
      <c r="F412" s="172"/>
      <c r="G412" s="172"/>
      <c r="H412" s="172"/>
      <c r="I412" s="172"/>
      <c r="J412" s="172"/>
      <c r="K412" s="172"/>
      <c r="L412" s="172"/>
      <c r="M412" s="172"/>
      <c r="N412" s="172"/>
      <c r="O412" s="172"/>
      <c r="P412" s="172"/>
      <c r="Q412" s="172"/>
      <c r="R412" s="172"/>
      <c r="S412" s="172"/>
      <c r="T412" s="172"/>
      <c r="U412" s="172"/>
      <c r="V412" s="221"/>
      <c r="W412" s="221"/>
      <c r="X412" s="221"/>
      <c r="Y412" s="165" t="s">
        <v>485</v>
      </c>
      <c r="Z412" s="268">
        <f>Z414+Z413</f>
        <v>340563</v>
      </c>
      <c r="AA412" s="268">
        <f>AA413+AA414</f>
        <v>404808</v>
      </c>
      <c r="AB412" s="268">
        <f>AB413+AB414</f>
        <v>404808</v>
      </c>
      <c r="AC412" s="232" t="s">
        <v>485</v>
      </c>
      <c r="AD412" s="227"/>
    </row>
    <row r="413" spans="1:30" ht="246.75" customHeight="1" x14ac:dyDescent="0.3">
      <c r="A413" s="164" t="s">
        <v>888</v>
      </c>
      <c r="B413" s="172" t="s">
        <v>18</v>
      </c>
      <c r="C413" s="172" t="s">
        <v>143</v>
      </c>
      <c r="D413" s="172" t="s">
        <v>122</v>
      </c>
      <c r="E413" s="172" t="s">
        <v>656</v>
      </c>
      <c r="F413" s="172"/>
      <c r="G413" s="172"/>
      <c r="H413" s="172"/>
      <c r="I413" s="172"/>
      <c r="J413" s="172"/>
      <c r="K413" s="172"/>
      <c r="L413" s="172"/>
      <c r="M413" s="172"/>
      <c r="N413" s="172"/>
      <c r="O413" s="172"/>
      <c r="P413" s="172"/>
      <c r="Q413" s="172"/>
      <c r="R413" s="172"/>
      <c r="S413" s="172"/>
      <c r="T413" s="172" t="s">
        <v>290</v>
      </c>
      <c r="U413" s="172"/>
      <c r="V413" s="221"/>
      <c r="W413" s="221"/>
      <c r="X413" s="221"/>
      <c r="Y413" s="165"/>
      <c r="Z413" s="268">
        <v>30963</v>
      </c>
      <c r="AA413" s="268">
        <v>40480</v>
      </c>
      <c r="AB413" s="268">
        <v>40480</v>
      </c>
      <c r="AC413" s="232"/>
      <c r="AD413" s="227"/>
    </row>
    <row r="414" spans="1:30" ht="223.5" customHeight="1" x14ac:dyDescent="0.3">
      <c r="A414" s="164" t="s">
        <v>486</v>
      </c>
      <c r="B414" s="140" t="s">
        <v>18</v>
      </c>
      <c r="C414" s="140" t="s">
        <v>143</v>
      </c>
      <c r="D414" s="140" t="s">
        <v>122</v>
      </c>
      <c r="E414" s="172" t="s">
        <v>656</v>
      </c>
      <c r="F414" s="140"/>
      <c r="G414" s="140"/>
      <c r="H414" s="140"/>
      <c r="I414" s="140"/>
      <c r="J414" s="140"/>
      <c r="K414" s="140"/>
      <c r="L414" s="140"/>
      <c r="M414" s="140"/>
      <c r="N414" s="140"/>
      <c r="O414" s="140"/>
      <c r="P414" s="140"/>
      <c r="Q414" s="140"/>
      <c r="R414" s="140"/>
      <c r="S414" s="140"/>
      <c r="T414" s="140" t="s">
        <v>409</v>
      </c>
      <c r="U414" s="140"/>
      <c r="V414" s="141"/>
      <c r="W414" s="141"/>
      <c r="X414" s="141"/>
      <c r="Y414" s="164" t="s">
        <v>486</v>
      </c>
      <c r="Z414" s="230">
        <v>309600</v>
      </c>
      <c r="AA414" s="230">
        <v>364328</v>
      </c>
      <c r="AB414" s="230">
        <v>364328</v>
      </c>
      <c r="AC414" s="229" t="s">
        <v>486</v>
      </c>
      <c r="AD414" s="227"/>
    </row>
    <row r="415" spans="1:30" ht="18.600000000000001" customHeight="1" x14ac:dyDescent="0.3">
      <c r="A415" s="170" t="s">
        <v>164</v>
      </c>
      <c r="B415" s="171" t="s">
        <v>18</v>
      </c>
      <c r="C415" s="171" t="s">
        <v>143</v>
      </c>
      <c r="D415" s="171" t="s">
        <v>136</v>
      </c>
      <c r="E415" s="171"/>
      <c r="F415" s="171"/>
      <c r="G415" s="171"/>
      <c r="H415" s="171"/>
      <c r="I415" s="171"/>
      <c r="J415" s="171"/>
      <c r="K415" s="171"/>
      <c r="L415" s="171"/>
      <c r="M415" s="171"/>
      <c r="N415" s="171"/>
      <c r="O415" s="171"/>
      <c r="P415" s="171"/>
      <c r="Q415" s="171"/>
      <c r="R415" s="171"/>
      <c r="S415" s="171"/>
      <c r="T415" s="171"/>
      <c r="U415" s="171"/>
      <c r="V415" s="240"/>
      <c r="W415" s="240"/>
      <c r="X415" s="240"/>
      <c r="Y415" s="170" t="s">
        <v>164</v>
      </c>
      <c r="Z415" s="241">
        <f>Z416+Z419+Z421+Z424+Z428</f>
        <v>26453900</v>
      </c>
      <c r="AA415" s="241">
        <f>AA416+AA419+AA421+AA424+AA428</f>
        <v>26573200</v>
      </c>
      <c r="AB415" s="241">
        <f>AB416+AB419+AB421+AB424+AB428</f>
        <v>26573200</v>
      </c>
      <c r="AC415" s="226" t="s">
        <v>164</v>
      </c>
      <c r="AD415" s="227"/>
    </row>
    <row r="416" spans="1:30" ht="137.25" customHeight="1" x14ac:dyDescent="0.3">
      <c r="A416" s="357" t="s">
        <v>1153</v>
      </c>
      <c r="B416" s="172" t="s">
        <v>18</v>
      </c>
      <c r="C416" s="172" t="s">
        <v>143</v>
      </c>
      <c r="D416" s="172" t="s">
        <v>136</v>
      </c>
      <c r="E416" s="172" t="s">
        <v>1178</v>
      </c>
      <c r="F416" s="172"/>
      <c r="G416" s="172"/>
      <c r="H416" s="172"/>
      <c r="I416" s="172"/>
      <c r="J416" s="172"/>
      <c r="K416" s="172"/>
      <c r="L416" s="172"/>
      <c r="M416" s="172"/>
      <c r="N416" s="172"/>
      <c r="O416" s="172"/>
      <c r="P416" s="172"/>
      <c r="Q416" s="172"/>
      <c r="R416" s="172"/>
      <c r="S416" s="172"/>
      <c r="T416" s="172"/>
      <c r="U416" s="172"/>
      <c r="V416" s="221"/>
      <c r="W416" s="221"/>
      <c r="X416" s="221"/>
      <c r="Y416" s="162" t="s">
        <v>487</v>
      </c>
      <c r="Z416" s="268">
        <f>Z418+Z417</f>
        <v>992500</v>
      </c>
      <c r="AA416" s="268">
        <f>AA418</f>
        <v>1032100</v>
      </c>
      <c r="AB416" s="268">
        <f>AB418</f>
        <v>1032100</v>
      </c>
      <c r="AC416" s="228" t="s">
        <v>487</v>
      </c>
      <c r="AD416" s="227"/>
    </row>
    <row r="417" spans="1:30" ht="66" hidden="1" customHeight="1" x14ac:dyDescent="0.3">
      <c r="A417" s="139" t="s">
        <v>889</v>
      </c>
      <c r="B417" s="140" t="s">
        <v>18</v>
      </c>
      <c r="C417" s="140" t="s">
        <v>143</v>
      </c>
      <c r="D417" s="140" t="s">
        <v>136</v>
      </c>
      <c r="E417" s="172" t="s">
        <v>1178</v>
      </c>
      <c r="F417" s="140"/>
      <c r="G417" s="140"/>
      <c r="H417" s="140"/>
      <c r="I417" s="140"/>
      <c r="J417" s="140"/>
      <c r="K417" s="140"/>
      <c r="L417" s="140"/>
      <c r="M417" s="140"/>
      <c r="N417" s="140"/>
      <c r="O417" s="140"/>
      <c r="P417" s="140"/>
      <c r="Q417" s="140"/>
      <c r="R417" s="140"/>
      <c r="S417" s="140"/>
      <c r="T417" s="140" t="s">
        <v>290</v>
      </c>
      <c r="U417" s="172"/>
      <c r="V417" s="221"/>
      <c r="W417" s="221"/>
      <c r="X417" s="221"/>
      <c r="Y417" s="162"/>
      <c r="Z417" s="268">
        <v>0</v>
      </c>
      <c r="AA417" s="268">
        <v>0</v>
      </c>
      <c r="AB417" s="268">
        <v>0</v>
      </c>
      <c r="AC417" s="228"/>
      <c r="AD417" s="227"/>
    </row>
    <row r="418" spans="1:30" ht="44.25" customHeight="1" x14ac:dyDescent="0.3">
      <c r="A418" s="139" t="s">
        <v>820</v>
      </c>
      <c r="B418" s="140" t="s">
        <v>18</v>
      </c>
      <c r="C418" s="140" t="s">
        <v>143</v>
      </c>
      <c r="D418" s="140" t="s">
        <v>136</v>
      </c>
      <c r="E418" s="172" t="s">
        <v>1178</v>
      </c>
      <c r="F418" s="140"/>
      <c r="G418" s="140"/>
      <c r="H418" s="140"/>
      <c r="I418" s="140"/>
      <c r="J418" s="140"/>
      <c r="K418" s="140"/>
      <c r="L418" s="140"/>
      <c r="M418" s="140"/>
      <c r="N418" s="140"/>
      <c r="O418" s="140"/>
      <c r="P418" s="140"/>
      <c r="Q418" s="140"/>
      <c r="R418" s="140"/>
      <c r="S418" s="140"/>
      <c r="T418" s="140" t="s">
        <v>409</v>
      </c>
      <c r="U418" s="140"/>
      <c r="V418" s="141"/>
      <c r="W418" s="141"/>
      <c r="X418" s="141"/>
      <c r="Y418" s="139" t="s">
        <v>488</v>
      </c>
      <c r="Z418" s="230">
        <v>992500</v>
      </c>
      <c r="AA418" s="230">
        <v>1032100</v>
      </c>
      <c r="AB418" s="230">
        <v>1032100</v>
      </c>
      <c r="AC418" s="231" t="s">
        <v>488</v>
      </c>
      <c r="AD418" s="227"/>
    </row>
    <row r="419" spans="1:30" ht="149.25" customHeight="1" x14ac:dyDescent="0.3">
      <c r="A419" s="414" t="s">
        <v>1327</v>
      </c>
      <c r="B419" s="172" t="s">
        <v>18</v>
      </c>
      <c r="C419" s="172" t="s">
        <v>143</v>
      </c>
      <c r="D419" s="172" t="s">
        <v>136</v>
      </c>
      <c r="E419" s="172" t="s">
        <v>1179</v>
      </c>
      <c r="F419" s="172"/>
      <c r="G419" s="172"/>
      <c r="H419" s="172"/>
      <c r="I419" s="172"/>
      <c r="J419" s="172"/>
      <c r="K419" s="172"/>
      <c r="L419" s="172"/>
      <c r="M419" s="172"/>
      <c r="N419" s="172"/>
      <c r="O419" s="172"/>
      <c r="P419" s="172"/>
      <c r="Q419" s="172"/>
      <c r="R419" s="172"/>
      <c r="S419" s="172"/>
      <c r="T419" s="172"/>
      <c r="U419" s="172"/>
      <c r="V419" s="221"/>
      <c r="W419" s="221"/>
      <c r="X419" s="221"/>
      <c r="Y419" s="162" t="s">
        <v>489</v>
      </c>
      <c r="Z419" s="268">
        <f>Z420</f>
        <v>116800</v>
      </c>
      <c r="AA419" s="268">
        <f>AA420</f>
        <v>120900</v>
      </c>
      <c r="AB419" s="268">
        <f>AB420</f>
        <v>120900</v>
      </c>
      <c r="AC419" s="228" t="s">
        <v>489</v>
      </c>
      <c r="AD419" s="227"/>
    </row>
    <row r="420" spans="1:30" ht="43.5" customHeight="1" x14ac:dyDescent="0.3">
      <c r="A420" s="139" t="s">
        <v>820</v>
      </c>
      <c r="B420" s="140" t="s">
        <v>18</v>
      </c>
      <c r="C420" s="140" t="s">
        <v>143</v>
      </c>
      <c r="D420" s="140" t="s">
        <v>136</v>
      </c>
      <c r="E420" s="172" t="s">
        <v>1179</v>
      </c>
      <c r="F420" s="140"/>
      <c r="G420" s="140"/>
      <c r="H420" s="140"/>
      <c r="I420" s="140"/>
      <c r="J420" s="140"/>
      <c r="K420" s="140"/>
      <c r="L420" s="140"/>
      <c r="M420" s="140"/>
      <c r="N420" s="140"/>
      <c r="O420" s="140"/>
      <c r="P420" s="140"/>
      <c r="Q420" s="140"/>
      <c r="R420" s="140"/>
      <c r="S420" s="140"/>
      <c r="T420" s="140" t="s">
        <v>409</v>
      </c>
      <c r="U420" s="140"/>
      <c r="V420" s="141"/>
      <c r="W420" s="141"/>
      <c r="X420" s="141"/>
      <c r="Y420" s="139" t="s">
        <v>490</v>
      </c>
      <c r="Z420" s="230">
        <v>116800</v>
      </c>
      <c r="AA420" s="230">
        <v>120900</v>
      </c>
      <c r="AB420" s="230">
        <v>120900</v>
      </c>
      <c r="AC420" s="231" t="s">
        <v>490</v>
      </c>
      <c r="AD420" s="227"/>
    </row>
    <row r="421" spans="1:30" ht="172.5" customHeight="1" x14ac:dyDescent="0.3">
      <c r="A421" s="357" t="s">
        <v>1154</v>
      </c>
      <c r="B421" s="172" t="s">
        <v>18</v>
      </c>
      <c r="C421" s="172" t="s">
        <v>143</v>
      </c>
      <c r="D421" s="172" t="s">
        <v>136</v>
      </c>
      <c r="E421" s="172" t="s">
        <v>1180</v>
      </c>
      <c r="F421" s="172"/>
      <c r="G421" s="172"/>
      <c r="H421" s="172"/>
      <c r="I421" s="172"/>
      <c r="J421" s="172"/>
      <c r="K421" s="172"/>
      <c r="L421" s="172"/>
      <c r="M421" s="172"/>
      <c r="N421" s="172"/>
      <c r="O421" s="172"/>
      <c r="P421" s="172"/>
      <c r="Q421" s="172"/>
      <c r="R421" s="172"/>
      <c r="S421" s="172"/>
      <c r="T421" s="172"/>
      <c r="U421" s="172"/>
      <c r="V421" s="221"/>
      <c r="W421" s="221"/>
      <c r="X421" s="221"/>
      <c r="Y421" s="162" t="s">
        <v>491</v>
      </c>
      <c r="Z421" s="268">
        <f>Z423+Z422</f>
        <v>13315800</v>
      </c>
      <c r="AA421" s="268">
        <f>AA423</f>
        <v>13391400</v>
      </c>
      <c r="AB421" s="268">
        <f>AB423</f>
        <v>13391400</v>
      </c>
      <c r="AC421" s="228" t="s">
        <v>491</v>
      </c>
      <c r="AD421" s="227"/>
    </row>
    <row r="422" spans="1:30" ht="0.75" customHeight="1" x14ac:dyDescent="0.3">
      <c r="A422" s="139" t="s">
        <v>889</v>
      </c>
      <c r="B422" s="140" t="s">
        <v>18</v>
      </c>
      <c r="C422" s="140" t="s">
        <v>143</v>
      </c>
      <c r="D422" s="140" t="s">
        <v>136</v>
      </c>
      <c r="E422" s="172" t="s">
        <v>1180</v>
      </c>
      <c r="F422" s="172"/>
      <c r="G422" s="172"/>
      <c r="H422" s="172"/>
      <c r="I422" s="172"/>
      <c r="J422" s="172"/>
      <c r="K422" s="172"/>
      <c r="L422" s="172"/>
      <c r="M422" s="172"/>
      <c r="N422" s="172"/>
      <c r="O422" s="172"/>
      <c r="P422" s="172"/>
      <c r="Q422" s="172"/>
      <c r="R422" s="172"/>
      <c r="S422" s="172"/>
      <c r="T422" s="172" t="s">
        <v>290</v>
      </c>
      <c r="U422" s="172"/>
      <c r="V422" s="221"/>
      <c r="W422" s="221"/>
      <c r="X422" s="221"/>
      <c r="Y422" s="162"/>
      <c r="Z422" s="268">
        <v>0</v>
      </c>
      <c r="AA422" s="268">
        <v>0</v>
      </c>
      <c r="AB422" s="268">
        <v>0</v>
      </c>
      <c r="AC422" s="228"/>
      <c r="AD422" s="227"/>
    </row>
    <row r="423" spans="1:30" ht="53.25" customHeight="1" x14ac:dyDescent="0.3">
      <c r="A423" s="139" t="s">
        <v>820</v>
      </c>
      <c r="B423" s="140" t="s">
        <v>18</v>
      </c>
      <c r="C423" s="140" t="s">
        <v>143</v>
      </c>
      <c r="D423" s="140" t="s">
        <v>136</v>
      </c>
      <c r="E423" s="172" t="s">
        <v>1180</v>
      </c>
      <c r="F423" s="140"/>
      <c r="G423" s="140"/>
      <c r="H423" s="140"/>
      <c r="I423" s="140"/>
      <c r="J423" s="140"/>
      <c r="K423" s="140"/>
      <c r="L423" s="140"/>
      <c r="M423" s="140"/>
      <c r="N423" s="140"/>
      <c r="O423" s="140"/>
      <c r="P423" s="140"/>
      <c r="Q423" s="140"/>
      <c r="R423" s="140"/>
      <c r="S423" s="140"/>
      <c r="T423" s="140" t="s">
        <v>409</v>
      </c>
      <c r="U423" s="140"/>
      <c r="V423" s="141"/>
      <c r="W423" s="141"/>
      <c r="X423" s="141"/>
      <c r="Y423" s="139" t="s">
        <v>492</v>
      </c>
      <c r="Z423" s="230">
        <v>13315800</v>
      </c>
      <c r="AA423" s="230">
        <v>13391400</v>
      </c>
      <c r="AB423" s="230">
        <v>13391400</v>
      </c>
      <c r="AC423" s="231" t="s">
        <v>492</v>
      </c>
      <c r="AD423" s="227"/>
    </row>
    <row r="424" spans="1:30" ht="163.5" customHeight="1" x14ac:dyDescent="0.3">
      <c r="A424" s="356" t="s">
        <v>1155</v>
      </c>
      <c r="B424" s="172" t="s">
        <v>18</v>
      </c>
      <c r="C424" s="172" t="s">
        <v>143</v>
      </c>
      <c r="D424" s="172" t="s">
        <v>136</v>
      </c>
      <c r="E424" s="172" t="s">
        <v>1181</v>
      </c>
      <c r="F424" s="172"/>
      <c r="G424" s="172"/>
      <c r="H424" s="172"/>
      <c r="I424" s="172"/>
      <c r="J424" s="172"/>
      <c r="K424" s="172"/>
      <c r="L424" s="172"/>
      <c r="M424" s="172"/>
      <c r="N424" s="172"/>
      <c r="O424" s="172"/>
      <c r="P424" s="172"/>
      <c r="Q424" s="172"/>
      <c r="R424" s="172"/>
      <c r="S424" s="172"/>
      <c r="T424" s="172"/>
      <c r="U424" s="172"/>
      <c r="V424" s="221"/>
      <c r="W424" s="221"/>
      <c r="X424" s="221"/>
      <c r="Y424" s="165" t="s">
        <v>232</v>
      </c>
      <c r="Z424" s="268">
        <f>Z427+Z426+Z425</f>
        <v>12028800</v>
      </c>
      <c r="AA424" s="268">
        <f>AA426+AA427</f>
        <v>12028800</v>
      </c>
      <c r="AB424" s="268">
        <f>AB426+AB427</f>
        <v>12028800</v>
      </c>
      <c r="AC424" s="232" t="s">
        <v>232</v>
      </c>
      <c r="AD424" s="227"/>
    </row>
    <row r="425" spans="1:30" ht="55.5" hidden="1" customHeight="1" x14ac:dyDescent="0.3">
      <c r="A425" s="139" t="s">
        <v>889</v>
      </c>
      <c r="B425" s="140" t="s">
        <v>18</v>
      </c>
      <c r="C425" s="140" t="s">
        <v>143</v>
      </c>
      <c r="D425" s="140" t="s">
        <v>136</v>
      </c>
      <c r="E425" s="172" t="s">
        <v>1181</v>
      </c>
      <c r="F425" s="172"/>
      <c r="G425" s="172"/>
      <c r="H425" s="172"/>
      <c r="I425" s="172"/>
      <c r="J425" s="172"/>
      <c r="K425" s="172"/>
      <c r="L425" s="172"/>
      <c r="M425" s="172"/>
      <c r="N425" s="172"/>
      <c r="O425" s="172"/>
      <c r="P425" s="172"/>
      <c r="Q425" s="172"/>
      <c r="R425" s="172"/>
      <c r="S425" s="172"/>
      <c r="T425" s="172" t="s">
        <v>290</v>
      </c>
      <c r="U425" s="172"/>
      <c r="V425" s="221"/>
      <c r="W425" s="221"/>
      <c r="X425" s="221"/>
      <c r="Y425" s="165"/>
      <c r="Z425" s="268">
        <v>0</v>
      </c>
      <c r="AA425" s="268">
        <v>0</v>
      </c>
      <c r="AB425" s="268">
        <v>0</v>
      </c>
      <c r="AC425" s="232"/>
      <c r="AD425" s="227"/>
    </row>
    <row r="426" spans="1:30" ht="48.75" customHeight="1" x14ac:dyDescent="0.3">
      <c r="A426" s="164" t="s">
        <v>820</v>
      </c>
      <c r="B426" s="140" t="s">
        <v>18</v>
      </c>
      <c r="C426" s="140" t="s">
        <v>143</v>
      </c>
      <c r="D426" s="140" t="s">
        <v>136</v>
      </c>
      <c r="E426" s="172" t="s">
        <v>1181</v>
      </c>
      <c r="F426" s="140"/>
      <c r="G426" s="140"/>
      <c r="H426" s="140"/>
      <c r="I426" s="140"/>
      <c r="J426" s="140"/>
      <c r="K426" s="140"/>
      <c r="L426" s="140"/>
      <c r="M426" s="140"/>
      <c r="N426" s="140"/>
      <c r="O426" s="140"/>
      <c r="P426" s="140"/>
      <c r="Q426" s="140"/>
      <c r="R426" s="140"/>
      <c r="S426" s="140"/>
      <c r="T426" s="140" t="s">
        <v>409</v>
      </c>
      <c r="U426" s="140"/>
      <c r="V426" s="141"/>
      <c r="W426" s="141"/>
      <c r="X426" s="141"/>
      <c r="Y426" s="164" t="s">
        <v>493</v>
      </c>
      <c r="Z426" s="230">
        <v>3249985</v>
      </c>
      <c r="AA426" s="230">
        <v>3249985</v>
      </c>
      <c r="AB426" s="230">
        <v>3249985</v>
      </c>
      <c r="AC426" s="229" t="s">
        <v>493</v>
      </c>
      <c r="AD426" s="227"/>
    </row>
    <row r="427" spans="1:30" ht="67.5" customHeight="1" x14ac:dyDescent="0.3">
      <c r="A427" s="139" t="s">
        <v>796</v>
      </c>
      <c r="B427" s="140" t="s">
        <v>18</v>
      </c>
      <c r="C427" s="140" t="s">
        <v>143</v>
      </c>
      <c r="D427" s="140" t="s">
        <v>136</v>
      </c>
      <c r="E427" s="172" t="s">
        <v>1181</v>
      </c>
      <c r="F427" s="140"/>
      <c r="G427" s="140"/>
      <c r="H427" s="140"/>
      <c r="I427" s="140"/>
      <c r="J427" s="140"/>
      <c r="K427" s="140"/>
      <c r="L427" s="140"/>
      <c r="M427" s="140"/>
      <c r="N427" s="140"/>
      <c r="O427" s="140"/>
      <c r="P427" s="140"/>
      <c r="Q427" s="140"/>
      <c r="R427" s="140"/>
      <c r="S427" s="140"/>
      <c r="T427" s="140" t="s">
        <v>309</v>
      </c>
      <c r="U427" s="140"/>
      <c r="V427" s="141"/>
      <c r="W427" s="141"/>
      <c r="X427" s="141"/>
      <c r="Y427" s="164"/>
      <c r="Z427" s="230">
        <v>8778815</v>
      </c>
      <c r="AA427" s="230">
        <v>8778815</v>
      </c>
      <c r="AB427" s="230">
        <v>8778815</v>
      </c>
      <c r="AC427" s="229"/>
      <c r="AD427" s="227"/>
    </row>
    <row r="428" spans="1:30" ht="159.75" hidden="1" customHeight="1" x14ac:dyDescent="0.3">
      <c r="A428" s="162"/>
      <c r="B428" s="172"/>
      <c r="C428" s="172"/>
      <c r="D428" s="172"/>
      <c r="E428" s="172"/>
      <c r="F428" s="172"/>
      <c r="G428" s="172"/>
      <c r="H428" s="172"/>
      <c r="I428" s="172"/>
      <c r="J428" s="172"/>
      <c r="K428" s="172"/>
      <c r="L428" s="172"/>
      <c r="M428" s="172"/>
      <c r="N428" s="172"/>
      <c r="O428" s="172"/>
      <c r="P428" s="172"/>
      <c r="Q428" s="172"/>
      <c r="R428" s="172"/>
      <c r="S428" s="172"/>
      <c r="T428" s="172"/>
      <c r="U428" s="140"/>
      <c r="V428" s="141"/>
      <c r="W428" s="141"/>
      <c r="X428" s="141"/>
      <c r="Y428" s="164"/>
      <c r="Z428" s="230"/>
      <c r="AA428" s="230"/>
      <c r="AB428" s="230"/>
      <c r="AC428" s="229"/>
      <c r="AD428" s="227"/>
    </row>
    <row r="429" spans="1:30" ht="112.5" hidden="1" customHeight="1" x14ac:dyDescent="0.3">
      <c r="A429" s="164"/>
      <c r="B429" s="140"/>
      <c r="C429" s="140"/>
      <c r="D429" s="140"/>
      <c r="E429" s="172"/>
      <c r="F429" s="140"/>
      <c r="G429" s="140"/>
      <c r="H429" s="140"/>
      <c r="I429" s="140"/>
      <c r="J429" s="140"/>
      <c r="K429" s="140"/>
      <c r="L429" s="140"/>
      <c r="M429" s="140"/>
      <c r="N429" s="140"/>
      <c r="O429" s="140"/>
      <c r="P429" s="140"/>
      <c r="Q429" s="140"/>
      <c r="R429" s="140"/>
      <c r="S429" s="140"/>
      <c r="T429" s="140"/>
      <c r="U429" s="140"/>
      <c r="V429" s="141"/>
      <c r="W429" s="141"/>
      <c r="X429" s="141"/>
      <c r="Y429" s="164"/>
      <c r="Z429" s="230"/>
      <c r="AA429" s="230"/>
      <c r="AB429" s="230"/>
      <c r="AC429" s="229"/>
      <c r="AD429" s="227"/>
    </row>
    <row r="430" spans="1:30" ht="69.75" hidden="1" customHeight="1" x14ac:dyDescent="0.3">
      <c r="A430" s="139"/>
      <c r="B430" s="140"/>
      <c r="C430" s="140"/>
      <c r="D430" s="140"/>
      <c r="E430" s="172"/>
      <c r="F430" s="140"/>
      <c r="G430" s="140"/>
      <c r="H430" s="140"/>
      <c r="I430" s="140"/>
      <c r="J430" s="140"/>
      <c r="K430" s="140"/>
      <c r="L430" s="140"/>
      <c r="M430" s="140"/>
      <c r="N430" s="140"/>
      <c r="O430" s="140"/>
      <c r="P430" s="140"/>
      <c r="Q430" s="140"/>
      <c r="R430" s="140"/>
      <c r="S430" s="140"/>
      <c r="T430" s="140"/>
      <c r="U430" s="140"/>
      <c r="V430" s="141"/>
      <c r="W430" s="141"/>
      <c r="X430" s="141"/>
      <c r="Y430" s="164"/>
      <c r="Z430" s="230"/>
      <c r="AA430" s="230"/>
      <c r="AB430" s="230"/>
      <c r="AC430" s="229"/>
      <c r="AD430" s="227"/>
    </row>
    <row r="431" spans="1:30" ht="45" customHeight="1" x14ac:dyDescent="0.3">
      <c r="A431" s="170" t="s">
        <v>857</v>
      </c>
      <c r="B431" s="171" t="s">
        <v>18</v>
      </c>
      <c r="C431" s="171" t="s">
        <v>143</v>
      </c>
      <c r="D431" s="171" t="s">
        <v>125</v>
      </c>
      <c r="E431" s="172"/>
      <c r="F431" s="140"/>
      <c r="G431" s="140"/>
      <c r="H431" s="140"/>
      <c r="I431" s="140"/>
      <c r="J431" s="140"/>
      <c r="K431" s="140"/>
      <c r="L431" s="140"/>
      <c r="M431" s="140"/>
      <c r="N431" s="140"/>
      <c r="O431" s="140"/>
      <c r="P431" s="140"/>
      <c r="Q431" s="140"/>
      <c r="R431" s="140"/>
      <c r="S431" s="140"/>
      <c r="T431" s="140"/>
      <c r="U431" s="140"/>
      <c r="V431" s="141"/>
      <c r="W431" s="141"/>
      <c r="X431" s="141"/>
      <c r="Y431" s="164"/>
      <c r="Z431" s="230">
        <f>Z432</f>
        <v>1750200</v>
      </c>
      <c r="AA431" s="230">
        <f>AA432</f>
        <v>1750200</v>
      </c>
      <c r="AB431" s="230">
        <f>AB432</f>
        <v>1750200</v>
      </c>
      <c r="AC431" s="229"/>
      <c r="AD431" s="227"/>
    </row>
    <row r="432" spans="1:30" ht="170.25" customHeight="1" x14ac:dyDescent="0.3">
      <c r="A432" s="357" t="s">
        <v>1156</v>
      </c>
      <c r="B432" s="172" t="s">
        <v>18</v>
      </c>
      <c r="C432" s="172" t="s">
        <v>143</v>
      </c>
      <c r="D432" s="172" t="s">
        <v>125</v>
      </c>
      <c r="E432" s="172" t="s">
        <v>1182</v>
      </c>
      <c r="F432" s="172"/>
      <c r="G432" s="172"/>
      <c r="H432" s="172"/>
      <c r="I432" s="172"/>
      <c r="J432" s="172"/>
      <c r="K432" s="172"/>
      <c r="L432" s="172"/>
      <c r="M432" s="172"/>
      <c r="N432" s="172"/>
      <c r="O432" s="172"/>
      <c r="P432" s="172"/>
      <c r="Q432" s="172"/>
      <c r="R432" s="172"/>
      <c r="S432" s="172"/>
      <c r="T432" s="172"/>
      <c r="U432" s="140"/>
      <c r="V432" s="141"/>
      <c r="W432" s="141"/>
      <c r="X432" s="141"/>
      <c r="Y432" s="164"/>
      <c r="Z432" s="230">
        <f>Z433+Z434</f>
        <v>1750200</v>
      </c>
      <c r="AA432" s="230">
        <f>AA433+AA434</f>
        <v>1750200</v>
      </c>
      <c r="AB432" s="230">
        <f>AB433+AB434</f>
        <v>1750200</v>
      </c>
      <c r="AC432" s="229"/>
      <c r="AD432" s="227"/>
    </row>
    <row r="433" spans="1:30" ht="110.25" customHeight="1" x14ac:dyDescent="0.3">
      <c r="A433" s="164" t="s">
        <v>815</v>
      </c>
      <c r="B433" s="140" t="s">
        <v>18</v>
      </c>
      <c r="C433" s="140" t="s">
        <v>143</v>
      </c>
      <c r="D433" s="140" t="s">
        <v>125</v>
      </c>
      <c r="E433" s="172" t="s">
        <v>1182</v>
      </c>
      <c r="F433" s="140"/>
      <c r="G433" s="140"/>
      <c r="H433" s="140"/>
      <c r="I433" s="140"/>
      <c r="J433" s="140"/>
      <c r="K433" s="140"/>
      <c r="L433" s="140"/>
      <c r="M433" s="140"/>
      <c r="N433" s="140"/>
      <c r="O433" s="140"/>
      <c r="P433" s="140"/>
      <c r="Q433" s="140"/>
      <c r="R433" s="140"/>
      <c r="S433" s="140"/>
      <c r="T433" s="140" t="s">
        <v>38</v>
      </c>
      <c r="U433" s="140"/>
      <c r="V433" s="141"/>
      <c r="W433" s="141"/>
      <c r="X433" s="141"/>
      <c r="Y433" s="164"/>
      <c r="Z433" s="230">
        <v>1455064</v>
      </c>
      <c r="AA433" s="230">
        <v>1455064</v>
      </c>
      <c r="AB433" s="230">
        <f>1455064</f>
        <v>1455064</v>
      </c>
      <c r="AC433" s="229"/>
      <c r="AD433" s="227"/>
    </row>
    <row r="434" spans="1:30" ht="63.75" customHeight="1" x14ac:dyDescent="0.3">
      <c r="A434" s="139" t="s">
        <v>587</v>
      </c>
      <c r="B434" s="140" t="s">
        <v>18</v>
      </c>
      <c r="C434" s="140" t="s">
        <v>143</v>
      </c>
      <c r="D434" s="140" t="s">
        <v>125</v>
      </c>
      <c r="E434" s="172" t="s">
        <v>1182</v>
      </c>
      <c r="F434" s="140"/>
      <c r="G434" s="140"/>
      <c r="H434" s="140"/>
      <c r="I434" s="140"/>
      <c r="J434" s="140"/>
      <c r="K434" s="140"/>
      <c r="L434" s="140"/>
      <c r="M434" s="140"/>
      <c r="N434" s="140"/>
      <c r="O434" s="140"/>
      <c r="P434" s="140"/>
      <c r="Q434" s="140"/>
      <c r="R434" s="140"/>
      <c r="S434" s="140"/>
      <c r="T434" s="140" t="s">
        <v>290</v>
      </c>
      <c r="U434" s="140"/>
      <c r="V434" s="141"/>
      <c r="W434" s="141"/>
      <c r="X434" s="141"/>
      <c r="Y434" s="164"/>
      <c r="Z434" s="230">
        <v>295136</v>
      </c>
      <c r="AA434" s="230">
        <v>295136</v>
      </c>
      <c r="AB434" s="230">
        <v>295136</v>
      </c>
      <c r="AC434" s="229"/>
      <c r="AD434" s="227"/>
    </row>
    <row r="435" spans="1:30" ht="37.15" customHeight="1" x14ac:dyDescent="0.3">
      <c r="A435" s="170" t="s">
        <v>494</v>
      </c>
      <c r="B435" s="171" t="s">
        <v>19</v>
      </c>
      <c r="C435" s="171"/>
      <c r="D435" s="171"/>
      <c r="E435" s="171"/>
      <c r="F435" s="171"/>
      <c r="G435" s="171"/>
      <c r="H435" s="171"/>
      <c r="I435" s="171"/>
      <c r="J435" s="171"/>
      <c r="K435" s="171"/>
      <c r="L435" s="171"/>
      <c r="M435" s="171"/>
      <c r="N435" s="171"/>
      <c r="O435" s="171"/>
      <c r="P435" s="171"/>
      <c r="Q435" s="171"/>
      <c r="R435" s="171"/>
      <c r="S435" s="171"/>
      <c r="T435" s="171"/>
      <c r="U435" s="171"/>
      <c r="V435" s="240"/>
      <c r="W435" s="240"/>
      <c r="X435" s="240"/>
      <c r="Y435" s="170" t="s">
        <v>494</v>
      </c>
      <c r="Z435" s="241">
        <f>Z436+Z447+Z451+Z458</f>
        <v>39702133.420000002</v>
      </c>
      <c r="AA435" s="241">
        <f>AA436+AA447+AA451+AA458</f>
        <v>39736726.890000001</v>
      </c>
      <c r="AB435" s="241">
        <f>AB436+AB447+AB451+AB458</f>
        <v>39736726.890000001</v>
      </c>
      <c r="AC435" s="226" t="s">
        <v>494</v>
      </c>
      <c r="AD435" s="227"/>
    </row>
    <row r="436" spans="1:30" ht="37.15" customHeight="1" x14ac:dyDescent="0.3">
      <c r="A436" s="170" t="s">
        <v>285</v>
      </c>
      <c r="B436" s="171" t="s">
        <v>19</v>
      </c>
      <c r="C436" s="171" t="s">
        <v>122</v>
      </c>
      <c r="D436" s="171" t="s">
        <v>133</v>
      </c>
      <c r="E436" s="171"/>
      <c r="F436" s="171"/>
      <c r="G436" s="171"/>
      <c r="H436" s="171"/>
      <c r="I436" s="171"/>
      <c r="J436" s="171"/>
      <c r="K436" s="171"/>
      <c r="L436" s="171"/>
      <c r="M436" s="171"/>
      <c r="N436" s="171"/>
      <c r="O436" s="171"/>
      <c r="P436" s="171"/>
      <c r="Q436" s="171"/>
      <c r="R436" s="171"/>
      <c r="S436" s="171"/>
      <c r="T436" s="171"/>
      <c r="U436" s="171"/>
      <c r="V436" s="240"/>
      <c r="W436" s="240"/>
      <c r="X436" s="240"/>
      <c r="Y436" s="170" t="s">
        <v>285</v>
      </c>
      <c r="Z436" s="241">
        <f>Z437</f>
        <v>9351117.3499999996</v>
      </c>
      <c r="AA436" s="241">
        <f>AA437</f>
        <v>9366781.8100000005</v>
      </c>
      <c r="AB436" s="241">
        <f>AB437</f>
        <v>9366781.8100000005</v>
      </c>
      <c r="AC436" s="226" t="s">
        <v>285</v>
      </c>
      <c r="AD436" s="227"/>
    </row>
    <row r="437" spans="1:30" ht="37.15" customHeight="1" x14ac:dyDescent="0.3">
      <c r="A437" s="170" t="s">
        <v>141</v>
      </c>
      <c r="B437" s="171" t="s">
        <v>19</v>
      </c>
      <c r="C437" s="171" t="s">
        <v>122</v>
      </c>
      <c r="D437" s="171" t="s">
        <v>130</v>
      </c>
      <c r="E437" s="171"/>
      <c r="F437" s="171"/>
      <c r="G437" s="171"/>
      <c r="H437" s="171"/>
      <c r="I437" s="171"/>
      <c r="J437" s="171"/>
      <c r="K437" s="171"/>
      <c r="L437" s="171"/>
      <c r="M437" s="171"/>
      <c r="N437" s="171"/>
      <c r="O437" s="171"/>
      <c r="P437" s="171"/>
      <c r="Q437" s="171"/>
      <c r="R437" s="171"/>
      <c r="S437" s="171"/>
      <c r="T437" s="171"/>
      <c r="U437" s="171"/>
      <c r="V437" s="240"/>
      <c r="W437" s="240"/>
      <c r="X437" s="240"/>
      <c r="Y437" s="170" t="s">
        <v>141</v>
      </c>
      <c r="Z437" s="241">
        <f>Z438+Z442+Z445</f>
        <v>9351117.3499999996</v>
      </c>
      <c r="AA437" s="241">
        <f>AA438+AA442+AA445</f>
        <v>9366781.8100000005</v>
      </c>
      <c r="AB437" s="241">
        <f>AB438+AB442+AB445</f>
        <v>9366781.8100000005</v>
      </c>
      <c r="AC437" s="226" t="s">
        <v>141</v>
      </c>
      <c r="AD437" s="227"/>
    </row>
    <row r="438" spans="1:30" ht="194.25" customHeight="1" x14ac:dyDescent="0.3">
      <c r="A438" s="162" t="s">
        <v>713</v>
      </c>
      <c r="B438" s="172" t="s">
        <v>19</v>
      </c>
      <c r="C438" s="172" t="s">
        <v>122</v>
      </c>
      <c r="D438" s="172" t="s">
        <v>130</v>
      </c>
      <c r="E438" s="172" t="s">
        <v>714</v>
      </c>
      <c r="F438" s="172"/>
      <c r="G438" s="172"/>
      <c r="H438" s="172"/>
      <c r="I438" s="172"/>
      <c r="J438" s="172"/>
      <c r="K438" s="172"/>
      <c r="L438" s="172"/>
      <c r="M438" s="172"/>
      <c r="N438" s="172"/>
      <c r="O438" s="172"/>
      <c r="P438" s="172"/>
      <c r="Q438" s="172"/>
      <c r="R438" s="172"/>
      <c r="S438" s="172"/>
      <c r="T438" s="172"/>
      <c r="U438" s="172"/>
      <c r="V438" s="221"/>
      <c r="W438" s="221"/>
      <c r="X438" s="221"/>
      <c r="Y438" s="162" t="s">
        <v>495</v>
      </c>
      <c r="Z438" s="268">
        <f>Z439+Z440+Z441</f>
        <v>5824792.2800000003</v>
      </c>
      <c r="AA438" s="268">
        <f>AA439+AA440+AA441</f>
        <v>5824792.2800000003</v>
      </c>
      <c r="AB438" s="268">
        <f>AB439+AB440+AB441</f>
        <v>5824792.2800000003</v>
      </c>
      <c r="AC438" s="228" t="s">
        <v>495</v>
      </c>
      <c r="AD438" s="227"/>
    </row>
    <row r="439" spans="1:30" ht="180.75" customHeight="1" x14ac:dyDescent="0.3">
      <c r="A439" s="164" t="s">
        <v>496</v>
      </c>
      <c r="B439" s="140" t="s">
        <v>19</v>
      </c>
      <c r="C439" s="140" t="s">
        <v>122</v>
      </c>
      <c r="D439" s="140" t="s">
        <v>130</v>
      </c>
      <c r="E439" s="172" t="s">
        <v>714</v>
      </c>
      <c r="F439" s="140"/>
      <c r="G439" s="140"/>
      <c r="H439" s="140"/>
      <c r="I439" s="140"/>
      <c r="J439" s="140"/>
      <c r="K439" s="140"/>
      <c r="L439" s="140"/>
      <c r="M439" s="140"/>
      <c r="N439" s="140"/>
      <c r="O439" s="140"/>
      <c r="P439" s="140"/>
      <c r="Q439" s="140"/>
      <c r="R439" s="140"/>
      <c r="S439" s="140"/>
      <c r="T439" s="140" t="s">
        <v>38</v>
      </c>
      <c r="U439" s="140"/>
      <c r="V439" s="141"/>
      <c r="W439" s="141"/>
      <c r="X439" s="141"/>
      <c r="Y439" s="164" t="s">
        <v>496</v>
      </c>
      <c r="Z439" s="230">
        <f>3819316.4+121599+1153433.56+272771.32+168523+50894</f>
        <v>5586537.2800000003</v>
      </c>
      <c r="AA439" s="230">
        <v>5586537.2800000003</v>
      </c>
      <c r="AB439" s="230">
        <v>5586537.2800000003</v>
      </c>
      <c r="AC439" s="229" t="s">
        <v>496</v>
      </c>
      <c r="AD439" s="227"/>
    </row>
    <row r="440" spans="1:30" ht="130.35" customHeight="1" x14ac:dyDescent="0.3">
      <c r="A440" s="139" t="s">
        <v>497</v>
      </c>
      <c r="B440" s="140" t="s">
        <v>19</v>
      </c>
      <c r="C440" s="140" t="s">
        <v>122</v>
      </c>
      <c r="D440" s="140" t="s">
        <v>130</v>
      </c>
      <c r="E440" s="172" t="s">
        <v>714</v>
      </c>
      <c r="F440" s="140"/>
      <c r="G440" s="140"/>
      <c r="H440" s="140"/>
      <c r="I440" s="140"/>
      <c r="J440" s="140"/>
      <c r="K440" s="140"/>
      <c r="L440" s="140"/>
      <c r="M440" s="140"/>
      <c r="N440" s="140"/>
      <c r="O440" s="140"/>
      <c r="P440" s="140"/>
      <c r="Q440" s="140"/>
      <c r="R440" s="140"/>
      <c r="S440" s="140"/>
      <c r="T440" s="140" t="s">
        <v>290</v>
      </c>
      <c r="U440" s="140"/>
      <c r="V440" s="141"/>
      <c r="W440" s="141"/>
      <c r="X440" s="141"/>
      <c r="Y440" s="139" t="s">
        <v>497</v>
      </c>
      <c r="Z440" s="230">
        <f>60000+18000+36256+5000+77244+38374</f>
        <v>234874</v>
      </c>
      <c r="AA440" s="230">
        <f>60000+18000+36256+5000+77244+38374</f>
        <v>234874</v>
      </c>
      <c r="AB440" s="230">
        <f>60000+18000+36256+5000+77244+38374</f>
        <v>234874</v>
      </c>
      <c r="AC440" s="231" t="s">
        <v>497</v>
      </c>
      <c r="AD440" s="227"/>
    </row>
    <row r="441" spans="1:30" ht="111.75" customHeight="1" x14ac:dyDescent="0.3">
      <c r="A441" s="139" t="s">
        <v>498</v>
      </c>
      <c r="B441" s="140" t="s">
        <v>19</v>
      </c>
      <c r="C441" s="140" t="s">
        <v>122</v>
      </c>
      <c r="D441" s="140" t="s">
        <v>130</v>
      </c>
      <c r="E441" s="172" t="s">
        <v>714</v>
      </c>
      <c r="F441" s="140"/>
      <c r="G441" s="140"/>
      <c r="H441" s="140"/>
      <c r="I441" s="140"/>
      <c r="J441" s="140"/>
      <c r="K441" s="140"/>
      <c r="L441" s="140"/>
      <c r="M441" s="140"/>
      <c r="N441" s="140"/>
      <c r="O441" s="140"/>
      <c r="P441" s="140"/>
      <c r="Q441" s="140"/>
      <c r="R441" s="140"/>
      <c r="S441" s="140"/>
      <c r="T441" s="140" t="s">
        <v>243</v>
      </c>
      <c r="U441" s="140"/>
      <c r="V441" s="141"/>
      <c r="W441" s="141"/>
      <c r="X441" s="141"/>
      <c r="Y441" s="139" t="s">
        <v>498</v>
      </c>
      <c r="Z441" s="230">
        <f>381+3000</f>
        <v>3381</v>
      </c>
      <c r="AA441" s="230">
        <f>381+3000</f>
        <v>3381</v>
      </c>
      <c r="AB441" s="230">
        <f>381+3000</f>
        <v>3381</v>
      </c>
      <c r="AC441" s="231" t="s">
        <v>498</v>
      </c>
      <c r="AD441" s="227"/>
    </row>
    <row r="442" spans="1:30" ht="223.5" customHeight="1" x14ac:dyDescent="0.3">
      <c r="A442" s="162" t="s">
        <v>715</v>
      </c>
      <c r="B442" s="172" t="s">
        <v>19</v>
      </c>
      <c r="C442" s="172" t="s">
        <v>122</v>
      </c>
      <c r="D442" s="172" t="s">
        <v>130</v>
      </c>
      <c r="E442" s="172" t="s">
        <v>716</v>
      </c>
      <c r="F442" s="172"/>
      <c r="G442" s="172"/>
      <c r="H442" s="172"/>
      <c r="I442" s="172"/>
      <c r="J442" s="172"/>
      <c r="K442" s="172"/>
      <c r="L442" s="172"/>
      <c r="M442" s="172"/>
      <c r="N442" s="172"/>
      <c r="O442" s="172"/>
      <c r="P442" s="172"/>
      <c r="Q442" s="172"/>
      <c r="R442" s="172"/>
      <c r="S442" s="172"/>
      <c r="T442" s="172"/>
      <c r="U442" s="172"/>
      <c r="V442" s="221"/>
      <c r="W442" s="221"/>
      <c r="X442" s="221"/>
      <c r="Y442" s="162" t="s">
        <v>499</v>
      </c>
      <c r="Z442" s="268">
        <f>Z443+Z444</f>
        <v>3526325.07</v>
      </c>
      <c r="AA442" s="268">
        <f>AA443+AA444</f>
        <v>3541989.53</v>
      </c>
      <c r="AB442" s="268">
        <f>AB443+AB444</f>
        <v>3541989.53</v>
      </c>
      <c r="AC442" s="228" t="s">
        <v>499</v>
      </c>
      <c r="AD442" s="227"/>
    </row>
    <row r="443" spans="1:30" ht="154.5" customHeight="1" x14ac:dyDescent="0.3">
      <c r="A443" s="139" t="s">
        <v>717</v>
      </c>
      <c r="B443" s="140" t="s">
        <v>19</v>
      </c>
      <c r="C443" s="140" t="s">
        <v>122</v>
      </c>
      <c r="D443" s="140" t="s">
        <v>130</v>
      </c>
      <c r="E443" s="172" t="s">
        <v>716</v>
      </c>
      <c r="F443" s="140"/>
      <c r="G443" s="140"/>
      <c r="H443" s="140"/>
      <c r="I443" s="140"/>
      <c r="J443" s="140"/>
      <c r="K443" s="140"/>
      <c r="L443" s="140"/>
      <c r="M443" s="140"/>
      <c r="N443" s="140"/>
      <c r="O443" s="140"/>
      <c r="P443" s="140"/>
      <c r="Q443" s="140"/>
      <c r="R443" s="140"/>
      <c r="S443" s="140"/>
      <c r="T443" s="140" t="s">
        <v>290</v>
      </c>
      <c r="U443" s="140"/>
      <c r="V443" s="141"/>
      <c r="W443" s="141"/>
      <c r="X443" s="141"/>
      <c r="Y443" s="139" t="s">
        <v>500</v>
      </c>
      <c r="Z443" s="230">
        <f>1578460.71+680691.76+1207321.16+77389.9-50000+250000-265664.46</f>
        <v>3478199.07</v>
      </c>
      <c r="AA443" s="230">
        <f>1578460.71+680691.76+1207321.16+77389.9-50000</f>
        <v>3493863.53</v>
      </c>
      <c r="AB443" s="230">
        <f>1578460.71+680691.76+1207321.16+77389.9-50000</f>
        <v>3493863.53</v>
      </c>
      <c r="AC443" s="231" t="s">
        <v>500</v>
      </c>
      <c r="AD443" s="227"/>
    </row>
    <row r="444" spans="1:30" ht="94.5" customHeight="1" x14ac:dyDescent="0.3">
      <c r="A444" s="139" t="s">
        <v>498</v>
      </c>
      <c r="B444" s="140" t="s">
        <v>19</v>
      </c>
      <c r="C444" s="140" t="s">
        <v>122</v>
      </c>
      <c r="D444" s="140" t="s">
        <v>130</v>
      </c>
      <c r="E444" s="172" t="s">
        <v>716</v>
      </c>
      <c r="F444" s="140"/>
      <c r="G444" s="140"/>
      <c r="H444" s="140"/>
      <c r="I444" s="140"/>
      <c r="J444" s="140"/>
      <c r="K444" s="140"/>
      <c r="L444" s="140"/>
      <c r="M444" s="140"/>
      <c r="N444" s="140"/>
      <c r="O444" s="140"/>
      <c r="P444" s="140"/>
      <c r="Q444" s="140"/>
      <c r="R444" s="140"/>
      <c r="S444" s="140"/>
      <c r="T444" s="140" t="s">
        <v>243</v>
      </c>
      <c r="U444" s="140"/>
      <c r="V444" s="141"/>
      <c r="W444" s="141"/>
      <c r="X444" s="141"/>
      <c r="Y444" s="139"/>
      <c r="Z444" s="230">
        <f>18126+30000</f>
        <v>48126</v>
      </c>
      <c r="AA444" s="230">
        <f>18126+30000</f>
        <v>48126</v>
      </c>
      <c r="AB444" s="230">
        <f>18126+30000</f>
        <v>48126</v>
      </c>
      <c r="AC444" s="231"/>
      <c r="AD444" s="227"/>
    </row>
    <row r="445" spans="1:30" ht="177.75" hidden="1" customHeight="1" x14ac:dyDescent="0.3">
      <c r="A445" s="290" t="s">
        <v>872</v>
      </c>
      <c r="B445" s="140" t="s">
        <v>19</v>
      </c>
      <c r="C445" s="140" t="s">
        <v>122</v>
      </c>
      <c r="D445" s="140" t="s">
        <v>130</v>
      </c>
      <c r="E445" s="172" t="s">
        <v>873</v>
      </c>
      <c r="F445" s="140"/>
      <c r="G445" s="140"/>
      <c r="H445" s="140"/>
      <c r="I445" s="140"/>
      <c r="J445" s="140"/>
      <c r="K445" s="140"/>
      <c r="L445" s="140"/>
      <c r="M445" s="140"/>
      <c r="N445" s="140"/>
      <c r="O445" s="140"/>
      <c r="P445" s="140"/>
      <c r="Q445" s="140"/>
      <c r="R445" s="140"/>
      <c r="S445" s="140"/>
      <c r="T445" s="140"/>
      <c r="U445" s="140"/>
      <c r="V445" s="141"/>
      <c r="W445" s="141"/>
      <c r="X445" s="141"/>
      <c r="Y445" s="139"/>
      <c r="Z445" s="230">
        <f>Z446</f>
        <v>0</v>
      </c>
      <c r="AA445" s="230">
        <f>AA446</f>
        <v>0</v>
      </c>
      <c r="AB445" s="230">
        <f>AB446</f>
        <v>0</v>
      </c>
      <c r="AC445" s="231"/>
      <c r="AD445" s="227"/>
    </row>
    <row r="446" spans="1:30" ht="95.25" hidden="1" customHeight="1" x14ac:dyDescent="0.3">
      <c r="A446" s="139" t="s">
        <v>874</v>
      </c>
      <c r="B446" s="140" t="s">
        <v>19</v>
      </c>
      <c r="C446" s="140" t="s">
        <v>122</v>
      </c>
      <c r="D446" s="140" t="s">
        <v>130</v>
      </c>
      <c r="E446" s="172" t="s">
        <v>873</v>
      </c>
      <c r="F446" s="140"/>
      <c r="G446" s="140"/>
      <c r="H446" s="140"/>
      <c r="I446" s="140"/>
      <c r="J446" s="140"/>
      <c r="K446" s="140"/>
      <c r="L446" s="140"/>
      <c r="M446" s="140"/>
      <c r="N446" s="140"/>
      <c r="O446" s="140"/>
      <c r="P446" s="140"/>
      <c r="Q446" s="140"/>
      <c r="R446" s="140"/>
      <c r="S446" s="140"/>
      <c r="T446" s="140" t="s">
        <v>243</v>
      </c>
      <c r="U446" s="140"/>
      <c r="V446" s="141"/>
      <c r="W446" s="141"/>
      <c r="X446" s="141"/>
      <c r="Y446" s="139"/>
      <c r="Z446" s="230">
        <v>0</v>
      </c>
      <c r="AA446" s="230">
        <v>0</v>
      </c>
      <c r="AB446" s="230">
        <v>0</v>
      </c>
      <c r="AC446" s="231"/>
      <c r="AD446" s="227"/>
    </row>
    <row r="447" spans="1:30" ht="55.9" customHeight="1" x14ac:dyDescent="0.3">
      <c r="A447" s="170" t="s">
        <v>312</v>
      </c>
      <c r="B447" s="171" t="s">
        <v>19</v>
      </c>
      <c r="C447" s="171" t="s">
        <v>123</v>
      </c>
      <c r="D447" s="171" t="s">
        <v>133</v>
      </c>
      <c r="E447" s="171"/>
      <c r="F447" s="171"/>
      <c r="G447" s="171"/>
      <c r="H447" s="171"/>
      <c r="I447" s="171"/>
      <c r="J447" s="171"/>
      <c r="K447" s="171"/>
      <c r="L447" s="171"/>
      <c r="M447" s="171"/>
      <c r="N447" s="171"/>
      <c r="O447" s="171"/>
      <c r="P447" s="171"/>
      <c r="Q447" s="171"/>
      <c r="R447" s="171"/>
      <c r="S447" s="171"/>
      <c r="T447" s="171"/>
      <c r="U447" s="171"/>
      <c r="V447" s="240"/>
      <c r="W447" s="240"/>
      <c r="X447" s="240"/>
      <c r="Y447" s="170" t="s">
        <v>312</v>
      </c>
      <c r="Z447" s="241">
        <f t="shared" ref="Z447:AB449" si="13">Z448</f>
        <v>2893253.6</v>
      </c>
      <c r="AA447" s="241">
        <f t="shared" si="13"/>
        <v>2914339.99</v>
      </c>
      <c r="AB447" s="241">
        <f t="shared" si="13"/>
        <v>2914339.99</v>
      </c>
      <c r="AC447" s="226" t="s">
        <v>312</v>
      </c>
      <c r="AD447" s="227"/>
    </row>
    <row r="448" spans="1:30" ht="74.45" customHeight="1" x14ac:dyDescent="0.3">
      <c r="A448" s="170" t="s">
        <v>251</v>
      </c>
      <c r="B448" s="171" t="s">
        <v>19</v>
      </c>
      <c r="C448" s="171" t="s">
        <v>123</v>
      </c>
      <c r="D448" s="171" t="s">
        <v>127</v>
      </c>
      <c r="E448" s="171"/>
      <c r="F448" s="171"/>
      <c r="G448" s="171"/>
      <c r="H448" s="171"/>
      <c r="I448" s="171"/>
      <c r="J448" s="171"/>
      <c r="K448" s="171"/>
      <c r="L448" s="171"/>
      <c r="M448" s="171"/>
      <c r="N448" s="171"/>
      <c r="O448" s="171"/>
      <c r="P448" s="171"/>
      <c r="Q448" s="171"/>
      <c r="R448" s="171"/>
      <c r="S448" s="171"/>
      <c r="T448" s="171"/>
      <c r="U448" s="171"/>
      <c r="V448" s="240"/>
      <c r="W448" s="240"/>
      <c r="X448" s="240"/>
      <c r="Y448" s="170" t="s">
        <v>251</v>
      </c>
      <c r="Z448" s="241">
        <f t="shared" si="13"/>
        <v>2893253.6</v>
      </c>
      <c r="AA448" s="241">
        <f t="shared" si="13"/>
        <v>2914339.99</v>
      </c>
      <c r="AB448" s="241">
        <f t="shared" si="13"/>
        <v>2914339.99</v>
      </c>
      <c r="AC448" s="226" t="s">
        <v>251</v>
      </c>
      <c r="AD448" s="227"/>
    </row>
    <row r="449" spans="1:30" ht="201" customHeight="1" x14ac:dyDescent="0.3">
      <c r="A449" s="162" t="s">
        <v>718</v>
      </c>
      <c r="B449" s="172" t="s">
        <v>19</v>
      </c>
      <c r="C449" s="172" t="s">
        <v>123</v>
      </c>
      <c r="D449" s="172" t="s">
        <v>127</v>
      </c>
      <c r="E449" s="172" t="s">
        <v>719</v>
      </c>
      <c r="F449" s="172"/>
      <c r="G449" s="172"/>
      <c r="H449" s="172"/>
      <c r="I449" s="172"/>
      <c r="J449" s="172"/>
      <c r="K449" s="172"/>
      <c r="L449" s="172"/>
      <c r="M449" s="172"/>
      <c r="N449" s="172"/>
      <c r="O449" s="172"/>
      <c r="P449" s="172"/>
      <c r="Q449" s="172"/>
      <c r="R449" s="172"/>
      <c r="S449" s="172"/>
      <c r="T449" s="172"/>
      <c r="U449" s="172"/>
      <c r="V449" s="221"/>
      <c r="W449" s="221"/>
      <c r="X449" s="221"/>
      <c r="Y449" s="162" t="s">
        <v>501</v>
      </c>
      <c r="Z449" s="268">
        <f t="shared" si="13"/>
        <v>2893253.6</v>
      </c>
      <c r="AA449" s="268">
        <f t="shared" si="13"/>
        <v>2914339.99</v>
      </c>
      <c r="AB449" s="268">
        <f t="shared" si="13"/>
        <v>2914339.99</v>
      </c>
      <c r="AC449" s="228" t="s">
        <v>501</v>
      </c>
      <c r="AD449" s="227"/>
    </row>
    <row r="450" spans="1:30" ht="111" customHeight="1" x14ac:dyDescent="0.3">
      <c r="A450" s="139" t="s">
        <v>502</v>
      </c>
      <c r="B450" s="140" t="s">
        <v>19</v>
      </c>
      <c r="C450" s="140" t="s">
        <v>123</v>
      </c>
      <c r="D450" s="140" t="s">
        <v>127</v>
      </c>
      <c r="E450" s="172" t="s">
        <v>719</v>
      </c>
      <c r="F450" s="140"/>
      <c r="G450" s="140"/>
      <c r="H450" s="140"/>
      <c r="I450" s="140"/>
      <c r="J450" s="140"/>
      <c r="K450" s="140"/>
      <c r="L450" s="140"/>
      <c r="M450" s="140"/>
      <c r="N450" s="140"/>
      <c r="O450" s="140"/>
      <c r="P450" s="140"/>
      <c r="Q450" s="140"/>
      <c r="R450" s="140"/>
      <c r="S450" s="140"/>
      <c r="T450" s="140" t="s">
        <v>309</v>
      </c>
      <c r="U450" s="140"/>
      <c r="V450" s="141"/>
      <c r="W450" s="141"/>
      <c r="X450" s="141"/>
      <c r="Y450" s="139" t="s">
        <v>502</v>
      </c>
      <c r="Z450" s="230">
        <f>2801630+91623.6</f>
        <v>2893253.6</v>
      </c>
      <c r="AA450" s="230">
        <v>2914339.99</v>
      </c>
      <c r="AB450" s="230">
        <v>2914339.99</v>
      </c>
      <c r="AC450" s="231" t="s">
        <v>502</v>
      </c>
      <c r="AD450" s="238"/>
    </row>
    <row r="451" spans="1:30" ht="15.75" customHeight="1" x14ac:dyDescent="0.3">
      <c r="A451" s="170" t="s">
        <v>382</v>
      </c>
      <c r="B451" s="171" t="s">
        <v>19</v>
      </c>
      <c r="C451" s="171" t="s">
        <v>138</v>
      </c>
      <c r="D451" s="171" t="s">
        <v>133</v>
      </c>
      <c r="E451" s="171"/>
      <c r="F451" s="171"/>
      <c r="G451" s="171"/>
      <c r="H451" s="171"/>
      <c r="I451" s="171"/>
      <c r="J451" s="171"/>
      <c r="K451" s="171"/>
      <c r="L451" s="171"/>
      <c r="M451" s="171"/>
      <c r="N451" s="171"/>
      <c r="O451" s="171"/>
      <c r="P451" s="171"/>
      <c r="Q451" s="171"/>
      <c r="R451" s="171"/>
      <c r="S451" s="171"/>
      <c r="T451" s="171"/>
      <c r="U451" s="171"/>
      <c r="V451" s="240"/>
      <c r="W451" s="240"/>
      <c r="X451" s="240"/>
      <c r="Y451" s="170" t="s">
        <v>382</v>
      </c>
      <c r="Z451" s="241">
        <f>Z452+Z455</f>
        <v>8030117</v>
      </c>
      <c r="AA451" s="241">
        <f>AA452+AA455</f>
        <v>8027959.6200000001</v>
      </c>
      <c r="AB451" s="241">
        <f>AB452+AB455</f>
        <v>8027959.6200000001</v>
      </c>
      <c r="AC451" s="226" t="s">
        <v>382</v>
      </c>
      <c r="AD451" s="227"/>
    </row>
    <row r="452" spans="1:30" ht="1.5" hidden="1" customHeight="1" x14ac:dyDescent="0.3">
      <c r="A452" s="170" t="s">
        <v>156</v>
      </c>
      <c r="B452" s="171" t="s">
        <v>19</v>
      </c>
      <c r="C452" s="171" t="s">
        <v>138</v>
      </c>
      <c r="D452" s="171" t="s">
        <v>132</v>
      </c>
      <c r="E452" s="171"/>
      <c r="F452" s="171"/>
      <c r="G452" s="171"/>
      <c r="H452" s="171"/>
      <c r="I452" s="171"/>
      <c r="J452" s="171"/>
      <c r="K452" s="171"/>
      <c r="L452" s="171"/>
      <c r="M452" s="171"/>
      <c r="N452" s="171"/>
      <c r="O452" s="171"/>
      <c r="P452" s="171"/>
      <c r="Q452" s="171"/>
      <c r="R452" s="171"/>
      <c r="S452" s="171"/>
      <c r="T452" s="171"/>
      <c r="U452" s="171"/>
      <c r="V452" s="240"/>
      <c r="W452" s="240"/>
      <c r="X452" s="240"/>
      <c r="Y452" s="170" t="s">
        <v>156</v>
      </c>
      <c r="Z452" s="241">
        <f t="shared" ref="Z452:AB453" si="14">Z453</f>
        <v>0</v>
      </c>
      <c r="AA452" s="241">
        <f t="shared" si="14"/>
        <v>0</v>
      </c>
      <c r="AB452" s="241">
        <f t="shared" si="14"/>
        <v>0</v>
      </c>
      <c r="AC452" s="226" t="s">
        <v>156</v>
      </c>
      <c r="AD452" s="227"/>
    </row>
    <row r="453" spans="1:30" ht="66.75" hidden="1" customHeight="1" x14ac:dyDescent="0.3">
      <c r="A453" s="162" t="s">
        <v>720</v>
      </c>
      <c r="B453" s="172" t="s">
        <v>19</v>
      </c>
      <c r="C453" s="172" t="s">
        <v>138</v>
      </c>
      <c r="D453" s="172" t="s">
        <v>132</v>
      </c>
      <c r="E453" s="172" t="s">
        <v>721</v>
      </c>
      <c r="F453" s="172"/>
      <c r="G453" s="172"/>
      <c r="H453" s="172"/>
      <c r="I453" s="172"/>
      <c r="J453" s="172"/>
      <c r="K453" s="172"/>
      <c r="L453" s="172"/>
      <c r="M453" s="172"/>
      <c r="N453" s="172"/>
      <c r="O453" s="172"/>
      <c r="P453" s="172"/>
      <c r="Q453" s="172"/>
      <c r="R453" s="172"/>
      <c r="S453" s="172"/>
      <c r="T453" s="172"/>
      <c r="U453" s="172"/>
      <c r="V453" s="221"/>
      <c r="W453" s="221"/>
      <c r="X453" s="221"/>
      <c r="Y453" s="162" t="s">
        <v>503</v>
      </c>
      <c r="Z453" s="268">
        <f t="shared" si="14"/>
        <v>0</v>
      </c>
      <c r="AA453" s="268">
        <f t="shared" si="14"/>
        <v>0</v>
      </c>
      <c r="AB453" s="268">
        <f t="shared" si="14"/>
        <v>0</v>
      </c>
      <c r="AC453" s="228" t="s">
        <v>503</v>
      </c>
      <c r="AD453" s="227"/>
    </row>
    <row r="454" spans="1:30" ht="73.5" hidden="1" customHeight="1" x14ac:dyDescent="0.3">
      <c r="A454" s="139" t="s">
        <v>504</v>
      </c>
      <c r="B454" s="140" t="s">
        <v>19</v>
      </c>
      <c r="C454" s="140" t="s">
        <v>138</v>
      </c>
      <c r="D454" s="140" t="s">
        <v>132</v>
      </c>
      <c r="E454" s="172" t="s">
        <v>721</v>
      </c>
      <c r="F454" s="140"/>
      <c r="G454" s="140"/>
      <c r="H454" s="140"/>
      <c r="I454" s="140"/>
      <c r="J454" s="140"/>
      <c r="K454" s="140"/>
      <c r="L454" s="140"/>
      <c r="M454" s="140"/>
      <c r="N454" s="140"/>
      <c r="O454" s="140"/>
      <c r="P454" s="140"/>
      <c r="Q454" s="140"/>
      <c r="R454" s="140"/>
      <c r="S454" s="140"/>
      <c r="T454" s="140" t="s">
        <v>309</v>
      </c>
      <c r="U454" s="140"/>
      <c r="V454" s="141"/>
      <c r="W454" s="141"/>
      <c r="X454" s="141"/>
      <c r="Y454" s="139" t="s">
        <v>504</v>
      </c>
      <c r="Z454" s="230">
        <f>7636834.56-2600000-5036834.56</f>
        <v>0</v>
      </c>
      <c r="AA454" s="230">
        <f>7636834.56-7636834.56</f>
        <v>0</v>
      </c>
      <c r="AB454" s="230">
        <f>7636834.56-7636834.56</f>
        <v>0</v>
      </c>
      <c r="AC454" s="231" t="s">
        <v>504</v>
      </c>
      <c r="AD454" s="227"/>
    </row>
    <row r="455" spans="1:30" ht="24" customHeight="1" x14ac:dyDescent="0.3">
      <c r="A455" s="170" t="s">
        <v>849</v>
      </c>
      <c r="B455" s="171" t="s">
        <v>19</v>
      </c>
      <c r="C455" s="171" t="s">
        <v>138</v>
      </c>
      <c r="D455" s="171" t="s">
        <v>123</v>
      </c>
      <c r="E455" s="172"/>
      <c r="F455" s="140"/>
      <c r="G455" s="140"/>
      <c r="H455" s="140"/>
      <c r="I455" s="140"/>
      <c r="J455" s="140"/>
      <c r="K455" s="140"/>
      <c r="L455" s="140"/>
      <c r="M455" s="140"/>
      <c r="N455" s="140"/>
      <c r="O455" s="140"/>
      <c r="P455" s="140"/>
      <c r="Q455" s="140"/>
      <c r="R455" s="140"/>
      <c r="S455" s="140"/>
      <c r="T455" s="140"/>
      <c r="U455" s="140"/>
      <c r="V455" s="141"/>
      <c r="W455" s="141"/>
      <c r="X455" s="141"/>
      <c r="Y455" s="139"/>
      <c r="Z455" s="230">
        <f t="shared" ref="Z455:AB456" si="15">Z456</f>
        <v>8030117</v>
      </c>
      <c r="AA455" s="230">
        <f t="shared" si="15"/>
        <v>8027959.6200000001</v>
      </c>
      <c r="AB455" s="230">
        <f t="shared" si="15"/>
        <v>8027959.6200000001</v>
      </c>
      <c r="AC455" s="231"/>
      <c r="AD455" s="227"/>
    </row>
    <row r="456" spans="1:30" ht="165" customHeight="1" x14ac:dyDescent="0.3">
      <c r="A456" s="162" t="s">
        <v>720</v>
      </c>
      <c r="B456" s="172" t="s">
        <v>19</v>
      </c>
      <c r="C456" s="172" t="s">
        <v>138</v>
      </c>
      <c r="D456" s="172" t="s">
        <v>123</v>
      </c>
      <c r="E456" s="172" t="s">
        <v>721</v>
      </c>
      <c r="F456" s="172"/>
      <c r="G456" s="172"/>
      <c r="H456" s="172"/>
      <c r="I456" s="172"/>
      <c r="J456" s="172"/>
      <c r="K456" s="172"/>
      <c r="L456" s="172"/>
      <c r="M456" s="172"/>
      <c r="N456" s="172"/>
      <c r="O456" s="172"/>
      <c r="P456" s="172"/>
      <c r="Q456" s="172"/>
      <c r="R456" s="172"/>
      <c r="S456" s="172"/>
      <c r="T456" s="172"/>
      <c r="U456" s="140"/>
      <c r="V456" s="141"/>
      <c r="W456" s="141"/>
      <c r="X456" s="141"/>
      <c r="Y456" s="139"/>
      <c r="Z456" s="230">
        <f t="shared" si="15"/>
        <v>8030117</v>
      </c>
      <c r="AA456" s="230">
        <f t="shared" si="15"/>
        <v>8027959.6200000001</v>
      </c>
      <c r="AB456" s="230">
        <f t="shared" si="15"/>
        <v>8027959.6200000001</v>
      </c>
      <c r="AC456" s="231"/>
      <c r="AD456" s="227"/>
    </row>
    <row r="457" spans="1:30" ht="125.25" customHeight="1" x14ac:dyDescent="0.3">
      <c r="A457" s="139" t="s">
        <v>504</v>
      </c>
      <c r="B457" s="140" t="s">
        <v>19</v>
      </c>
      <c r="C457" s="140" t="s">
        <v>138</v>
      </c>
      <c r="D457" s="140" t="s">
        <v>123</v>
      </c>
      <c r="E457" s="172" t="s">
        <v>721</v>
      </c>
      <c r="F457" s="140"/>
      <c r="G457" s="140"/>
      <c r="H457" s="140"/>
      <c r="I457" s="140"/>
      <c r="J457" s="140"/>
      <c r="K457" s="140"/>
      <c r="L457" s="140"/>
      <c r="M457" s="140"/>
      <c r="N457" s="140"/>
      <c r="O457" s="140"/>
      <c r="P457" s="140"/>
      <c r="Q457" s="140"/>
      <c r="R457" s="140"/>
      <c r="S457" s="140"/>
      <c r="T457" s="140" t="s">
        <v>309</v>
      </c>
      <c r="U457" s="140"/>
      <c r="V457" s="141"/>
      <c r="W457" s="141"/>
      <c r="X457" s="141"/>
      <c r="Y457" s="139"/>
      <c r="Z457" s="230">
        <f>7917365.14+2157.38+110594.48</f>
        <v>8030117</v>
      </c>
      <c r="AA457" s="230">
        <f>7917365.14+110594.48</f>
        <v>8027959.6200000001</v>
      </c>
      <c r="AB457" s="230">
        <f>7917365.14+110594.48</f>
        <v>8027959.6200000001</v>
      </c>
      <c r="AC457" s="231"/>
      <c r="AD457" s="238"/>
    </row>
    <row r="458" spans="1:30" ht="18.600000000000001" customHeight="1" x14ac:dyDescent="0.3">
      <c r="A458" s="170" t="s">
        <v>395</v>
      </c>
      <c r="B458" s="171" t="s">
        <v>19</v>
      </c>
      <c r="C458" s="171" t="s">
        <v>126</v>
      </c>
      <c r="D458" s="171" t="s">
        <v>133</v>
      </c>
      <c r="E458" s="171"/>
      <c r="F458" s="171"/>
      <c r="G458" s="171"/>
      <c r="H458" s="171"/>
      <c r="I458" s="171"/>
      <c r="J458" s="171"/>
      <c r="K458" s="171"/>
      <c r="L458" s="171"/>
      <c r="M458" s="171"/>
      <c r="N458" s="171"/>
      <c r="O458" s="171"/>
      <c r="P458" s="171"/>
      <c r="Q458" s="171"/>
      <c r="R458" s="171"/>
      <c r="S458" s="171"/>
      <c r="T458" s="171"/>
      <c r="U458" s="171"/>
      <c r="V458" s="240"/>
      <c r="W458" s="240"/>
      <c r="X458" s="240"/>
      <c r="Y458" s="170" t="s">
        <v>395</v>
      </c>
      <c r="Z458" s="241">
        <f>Z459</f>
        <v>19427645.470000003</v>
      </c>
      <c r="AA458" s="241">
        <f>AA459</f>
        <v>19427645.470000003</v>
      </c>
      <c r="AB458" s="241">
        <f>AB459</f>
        <v>19427645.470000003</v>
      </c>
      <c r="AC458" s="226" t="s">
        <v>395</v>
      </c>
      <c r="AD458" s="227"/>
    </row>
    <row r="459" spans="1:30" ht="18.600000000000001" customHeight="1" x14ac:dyDescent="0.3">
      <c r="A459" s="170" t="s">
        <v>159</v>
      </c>
      <c r="B459" s="171" t="s">
        <v>19</v>
      </c>
      <c r="C459" s="171" t="s">
        <v>126</v>
      </c>
      <c r="D459" s="171" t="s">
        <v>122</v>
      </c>
      <c r="E459" s="171"/>
      <c r="F459" s="171"/>
      <c r="G459" s="171"/>
      <c r="H459" s="171"/>
      <c r="I459" s="171"/>
      <c r="J459" s="171"/>
      <c r="K459" s="171"/>
      <c r="L459" s="171"/>
      <c r="M459" s="171"/>
      <c r="N459" s="171"/>
      <c r="O459" s="171"/>
      <c r="P459" s="171"/>
      <c r="Q459" s="171"/>
      <c r="R459" s="171"/>
      <c r="S459" s="171"/>
      <c r="T459" s="171"/>
      <c r="U459" s="171"/>
      <c r="V459" s="240"/>
      <c r="W459" s="240"/>
      <c r="X459" s="240"/>
      <c r="Y459" s="170" t="s">
        <v>159</v>
      </c>
      <c r="Z459" s="241">
        <f>Z460+Z462+Z464</f>
        <v>19427645.470000003</v>
      </c>
      <c r="AA459" s="241">
        <f>AA460+AA462+AA464</f>
        <v>19427645.470000003</v>
      </c>
      <c r="AB459" s="241">
        <f>AB460+AB462+AB464</f>
        <v>19427645.470000003</v>
      </c>
      <c r="AC459" s="226" t="s">
        <v>159</v>
      </c>
      <c r="AD459" s="227"/>
    </row>
    <row r="460" spans="1:30" ht="138" customHeight="1" x14ac:dyDescent="0.3">
      <c r="A460" s="162" t="s">
        <v>722</v>
      </c>
      <c r="B460" s="172" t="s">
        <v>19</v>
      </c>
      <c r="C460" s="172" t="s">
        <v>126</v>
      </c>
      <c r="D460" s="172" t="s">
        <v>122</v>
      </c>
      <c r="E460" s="172" t="s">
        <v>723</v>
      </c>
      <c r="F460" s="172"/>
      <c r="G460" s="172"/>
      <c r="H460" s="172"/>
      <c r="I460" s="172"/>
      <c r="J460" s="172"/>
      <c r="K460" s="172"/>
      <c r="L460" s="172"/>
      <c r="M460" s="172"/>
      <c r="N460" s="172"/>
      <c r="O460" s="172"/>
      <c r="P460" s="172"/>
      <c r="Q460" s="172"/>
      <c r="R460" s="172"/>
      <c r="S460" s="172"/>
      <c r="T460" s="172"/>
      <c r="U460" s="172"/>
      <c r="V460" s="221"/>
      <c r="W460" s="221"/>
      <c r="X460" s="221"/>
      <c r="Y460" s="162" t="s">
        <v>505</v>
      </c>
      <c r="Z460" s="268">
        <f>Z461</f>
        <v>6500553.7700000005</v>
      </c>
      <c r="AA460" s="268">
        <f>AA461</f>
        <v>6500553.7700000005</v>
      </c>
      <c r="AB460" s="268">
        <f>AB461</f>
        <v>6500553.7700000005</v>
      </c>
      <c r="AC460" s="228" t="s">
        <v>505</v>
      </c>
      <c r="AD460" s="227"/>
    </row>
    <row r="461" spans="1:30" ht="102.75" customHeight="1" x14ac:dyDescent="0.3">
      <c r="A461" s="139" t="s">
        <v>506</v>
      </c>
      <c r="B461" s="140" t="s">
        <v>19</v>
      </c>
      <c r="C461" s="140" t="s">
        <v>126</v>
      </c>
      <c r="D461" s="140" t="s">
        <v>122</v>
      </c>
      <c r="E461" s="172" t="s">
        <v>723</v>
      </c>
      <c r="F461" s="140"/>
      <c r="G461" s="140"/>
      <c r="H461" s="140"/>
      <c r="I461" s="140"/>
      <c r="J461" s="140"/>
      <c r="K461" s="140"/>
      <c r="L461" s="140"/>
      <c r="M461" s="140"/>
      <c r="N461" s="140"/>
      <c r="O461" s="140"/>
      <c r="P461" s="140"/>
      <c r="Q461" s="140"/>
      <c r="R461" s="140"/>
      <c r="S461" s="140"/>
      <c r="T461" s="140" t="s">
        <v>309</v>
      </c>
      <c r="U461" s="140"/>
      <c r="V461" s="141"/>
      <c r="W461" s="141"/>
      <c r="X461" s="141"/>
      <c r="Y461" s="139" t="s">
        <v>506</v>
      </c>
      <c r="Z461" s="230">
        <f>5863289.87+637263.9</f>
        <v>6500553.7700000005</v>
      </c>
      <c r="AA461" s="230">
        <f>5863289.87+637263.9</f>
        <v>6500553.7700000005</v>
      </c>
      <c r="AB461" s="230">
        <f>5863289.87+637263.9</f>
        <v>6500553.7700000005</v>
      </c>
      <c r="AC461" s="231" t="s">
        <v>506</v>
      </c>
      <c r="AD461" s="227"/>
    </row>
    <row r="462" spans="1:30" ht="114.75" customHeight="1" x14ac:dyDescent="0.3">
      <c r="A462" s="162" t="s">
        <v>724</v>
      </c>
      <c r="B462" s="172" t="s">
        <v>19</v>
      </c>
      <c r="C462" s="172" t="s">
        <v>126</v>
      </c>
      <c r="D462" s="172" t="s">
        <v>122</v>
      </c>
      <c r="E462" s="172" t="s">
        <v>725</v>
      </c>
      <c r="F462" s="172"/>
      <c r="G462" s="172"/>
      <c r="H462" s="172"/>
      <c r="I462" s="172"/>
      <c r="J462" s="172"/>
      <c r="K462" s="172"/>
      <c r="L462" s="172"/>
      <c r="M462" s="172"/>
      <c r="N462" s="172"/>
      <c r="O462" s="172"/>
      <c r="P462" s="172"/>
      <c r="Q462" s="172"/>
      <c r="R462" s="172"/>
      <c r="S462" s="172"/>
      <c r="T462" s="172"/>
      <c r="U462" s="172"/>
      <c r="V462" s="221"/>
      <c r="W462" s="221"/>
      <c r="X462" s="221"/>
      <c r="Y462" s="162" t="s">
        <v>507</v>
      </c>
      <c r="Z462" s="268">
        <f>Z463</f>
        <v>4576700.9000000004</v>
      </c>
      <c r="AA462" s="268">
        <f>AA463</f>
        <v>4576700.9000000004</v>
      </c>
      <c r="AB462" s="268">
        <f>AB463</f>
        <v>4576700.9000000004</v>
      </c>
      <c r="AC462" s="228" t="s">
        <v>507</v>
      </c>
      <c r="AD462" s="227"/>
    </row>
    <row r="463" spans="1:30" ht="89.25" customHeight="1" x14ac:dyDescent="0.3">
      <c r="A463" s="139" t="s">
        <v>508</v>
      </c>
      <c r="B463" s="140" t="s">
        <v>19</v>
      </c>
      <c r="C463" s="140" t="s">
        <v>126</v>
      </c>
      <c r="D463" s="140" t="s">
        <v>122</v>
      </c>
      <c r="E463" s="172" t="s">
        <v>725</v>
      </c>
      <c r="F463" s="140"/>
      <c r="G463" s="140"/>
      <c r="H463" s="140"/>
      <c r="I463" s="140"/>
      <c r="J463" s="140"/>
      <c r="K463" s="140"/>
      <c r="L463" s="140"/>
      <c r="M463" s="140"/>
      <c r="N463" s="140"/>
      <c r="O463" s="140"/>
      <c r="P463" s="140"/>
      <c r="Q463" s="140"/>
      <c r="R463" s="140"/>
      <c r="S463" s="140"/>
      <c r="T463" s="140" t="s">
        <v>309</v>
      </c>
      <c r="U463" s="140"/>
      <c r="V463" s="141"/>
      <c r="W463" s="141"/>
      <c r="X463" s="141"/>
      <c r="Y463" s="139" t="s">
        <v>508</v>
      </c>
      <c r="Z463" s="230">
        <f>3939437+637263.9</f>
        <v>4576700.9000000004</v>
      </c>
      <c r="AA463" s="230">
        <f>3939437+637263.9</f>
        <v>4576700.9000000004</v>
      </c>
      <c r="AB463" s="230">
        <f>3939437+637263.9</f>
        <v>4576700.9000000004</v>
      </c>
      <c r="AC463" s="231" t="s">
        <v>508</v>
      </c>
      <c r="AD463" s="227"/>
    </row>
    <row r="464" spans="1:30" ht="114.75" customHeight="1" x14ac:dyDescent="0.3">
      <c r="A464" s="162" t="s">
        <v>726</v>
      </c>
      <c r="B464" s="172" t="s">
        <v>19</v>
      </c>
      <c r="C464" s="172" t="s">
        <v>126</v>
      </c>
      <c r="D464" s="172" t="s">
        <v>122</v>
      </c>
      <c r="E464" s="172" t="s">
        <v>727</v>
      </c>
      <c r="F464" s="172"/>
      <c r="G464" s="172"/>
      <c r="H464" s="172"/>
      <c r="I464" s="172"/>
      <c r="J464" s="172"/>
      <c r="K464" s="172"/>
      <c r="L464" s="172"/>
      <c r="M464" s="172"/>
      <c r="N464" s="172"/>
      <c r="O464" s="172"/>
      <c r="P464" s="172"/>
      <c r="Q464" s="172"/>
      <c r="R464" s="172"/>
      <c r="S464" s="172"/>
      <c r="T464" s="172"/>
      <c r="U464" s="172"/>
      <c r="V464" s="221"/>
      <c r="W464" s="221"/>
      <c r="X464" s="221"/>
      <c r="Y464" s="162" t="s">
        <v>509</v>
      </c>
      <c r="Z464" s="268">
        <f>Z465</f>
        <v>8350390.7999999998</v>
      </c>
      <c r="AA464" s="268">
        <f>AA465</f>
        <v>8350390.7999999998</v>
      </c>
      <c r="AB464" s="268">
        <f>AB465</f>
        <v>8350390.7999999998</v>
      </c>
      <c r="AC464" s="228" t="s">
        <v>509</v>
      </c>
      <c r="AD464" s="227"/>
    </row>
    <row r="465" spans="1:30" ht="111.75" customHeight="1" x14ac:dyDescent="0.3">
      <c r="A465" s="139" t="s">
        <v>510</v>
      </c>
      <c r="B465" s="140" t="s">
        <v>19</v>
      </c>
      <c r="C465" s="140" t="s">
        <v>126</v>
      </c>
      <c r="D465" s="178" t="s">
        <v>122</v>
      </c>
      <c r="E465" s="172" t="s">
        <v>727</v>
      </c>
      <c r="F465" s="140"/>
      <c r="G465" s="140"/>
      <c r="H465" s="140"/>
      <c r="I465" s="140"/>
      <c r="J465" s="140"/>
      <c r="K465" s="140"/>
      <c r="L465" s="140"/>
      <c r="M465" s="140"/>
      <c r="N465" s="140"/>
      <c r="O465" s="140"/>
      <c r="P465" s="140"/>
      <c r="Q465" s="140"/>
      <c r="R465" s="140"/>
      <c r="S465" s="140"/>
      <c r="T465" s="140" t="s">
        <v>309</v>
      </c>
      <c r="U465" s="140"/>
      <c r="V465" s="141"/>
      <c r="W465" s="141"/>
      <c r="X465" s="141"/>
      <c r="Y465" s="139" t="s">
        <v>510</v>
      </c>
      <c r="Z465" s="230">
        <f>7075863+1274527.8</f>
        <v>8350390.7999999998</v>
      </c>
      <c r="AA465" s="230">
        <f>7075863+1274527.8</f>
        <v>8350390.7999999998</v>
      </c>
      <c r="AB465" s="230">
        <f>7075863+1274527.8</f>
        <v>8350390.7999999998</v>
      </c>
      <c r="AC465" s="231" t="s">
        <v>510</v>
      </c>
      <c r="AD465" s="227"/>
    </row>
    <row r="466" spans="1:30" ht="24.75" customHeight="1" x14ac:dyDescent="0.3">
      <c r="A466" s="127" t="s">
        <v>511</v>
      </c>
      <c r="B466" s="171"/>
      <c r="C466" s="171"/>
      <c r="D466" s="171"/>
      <c r="E466" s="171"/>
      <c r="F466" s="171"/>
      <c r="G466" s="171"/>
      <c r="H466" s="171"/>
      <c r="I466" s="171"/>
      <c r="J466" s="171"/>
      <c r="K466" s="171"/>
      <c r="L466" s="171"/>
      <c r="M466" s="171"/>
      <c r="N466" s="171"/>
      <c r="O466" s="171"/>
      <c r="P466" s="171"/>
      <c r="Q466" s="171"/>
      <c r="R466" s="171"/>
      <c r="S466" s="171"/>
      <c r="T466" s="171"/>
      <c r="U466" s="171"/>
      <c r="V466" s="240"/>
      <c r="W466" s="240"/>
      <c r="X466" s="240"/>
      <c r="Y466" s="224" t="s">
        <v>511</v>
      </c>
      <c r="Z466" s="241">
        <f>Z11+Z264+Z342+Z435</f>
        <v>724426057.33999991</v>
      </c>
      <c r="AA466" s="241">
        <f>AA11+AA264+AA342+AA435</f>
        <v>704368209.96000004</v>
      </c>
      <c r="AB466" s="241">
        <f>AB11+AB264+AB342+AB435</f>
        <v>726242950.96000004</v>
      </c>
      <c r="AC466" s="237" t="s">
        <v>511</v>
      </c>
      <c r="AD466" s="227"/>
    </row>
    <row r="467" spans="1:30" ht="21.75" customHeight="1" x14ac:dyDescent="0.3">
      <c r="Z467" s="227"/>
      <c r="AA467" s="227"/>
      <c r="AB467" s="227"/>
      <c r="AC467" s="227"/>
      <c r="AD467" s="227"/>
    </row>
    <row r="468" spans="1:30" ht="0.75" customHeight="1" x14ac:dyDescent="0.3">
      <c r="Z468" s="238">
        <f>П3ИВФ!C21+П4ДОХОДЫ!E124</f>
        <v>724426057.34000003</v>
      </c>
      <c r="AA468" s="238">
        <f>П3ИВФ!D21+П4ДОХОДЫ!F124</f>
        <v>704368209.96000004</v>
      </c>
      <c r="AB468" s="238">
        <f>П3ИВФ!E21+П4ДОХОДЫ!G124</f>
        <v>726242950.96000004</v>
      </c>
      <c r="AC468" s="227"/>
      <c r="AD468" s="227"/>
    </row>
    <row r="469" spans="1:30" ht="27.75" hidden="1" customHeight="1" x14ac:dyDescent="0.3">
      <c r="Z469" s="227"/>
      <c r="AA469" s="227"/>
      <c r="AB469" s="227"/>
      <c r="AC469" s="227"/>
      <c r="AD469" s="227"/>
    </row>
    <row r="470" spans="1:30" ht="40.5" hidden="1" customHeight="1" x14ac:dyDescent="0.3">
      <c r="B470" t="s">
        <v>522</v>
      </c>
      <c r="Z470" s="238">
        <f>Z13+Z16+Z32+Z38+Z67+Z77+Z217+Z226+Z228+Z241+Z244+Z384+Z355+Z386+Z412+Z65+Z30</f>
        <v>8886178.629999999</v>
      </c>
      <c r="AA470" s="238">
        <f>AA13+AA16+AA32+AA38+AA67+AA77+AA217+AA226+AA228+AA241+AA244+AA384+AA355+AA386+AA412+AA65+AA30</f>
        <v>9307424.25</v>
      </c>
      <c r="AB470" s="238">
        <f>AB13+AB16+AB32+AB38+AB67+AB77+AB217+AB226+AB228+AB241+AB244+AB384+AB355+AB386+AB412+AB65+AB30</f>
        <v>8707744.1500000004</v>
      </c>
      <c r="AC470" s="227"/>
      <c r="AD470" s="227"/>
    </row>
    <row r="471" spans="1:30" ht="18.75" hidden="1" x14ac:dyDescent="0.3">
      <c r="B471" t="s">
        <v>523</v>
      </c>
      <c r="Z471" s="238">
        <f>Z62+Z167+Z203+Z219+Z246+Z353+Z376+Z416+Z419+Z421+Z424+Z428+Z100+Z397+Z431+Z160+Z394+Z235+Z117+Z56+Z59+Z374-329004.93+Z37</f>
        <v>330202100</v>
      </c>
      <c r="AA471" s="238">
        <f>AA62+AA167+AA203+AA219+AA246+AA353+AA376+AA416+AA419+AA421+AA424+AA428+AA100+AA397+AA431+AA160+AA394+AA235+AA117+AA56+AA59+AA36</f>
        <v>331754400</v>
      </c>
      <c r="AB471" s="238">
        <f>AB62+AB167+AB203+AB219+AB246+AB353+AB376+AB416+AB419+AB421+AB424+AB428+AB100+AB397+AB431+AB160+AB394+AB235+AB117+AB56+AB59+AB36</f>
        <v>339222400</v>
      </c>
      <c r="AC471" s="227"/>
      <c r="AD471" s="227"/>
    </row>
    <row r="472" spans="1:30" ht="18.75" hidden="1" x14ac:dyDescent="0.3">
      <c r="B472" t="s">
        <v>524</v>
      </c>
      <c r="Z472" s="238">
        <f>П7МП!I54</f>
        <v>385337778.70999998</v>
      </c>
      <c r="AA472" s="238">
        <f>П7МП!J54</f>
        <v>363306385.70999998</v>
      </c>
      <c r="AB472" s="238">
        <f>П7МП!K54</f>
        <v>378312806.81</v>
      </c>
      <c r="AC472" s="227"/>
      <c r="AD472" s="227"/>
    </row>
    <row r="473" spans="1:30" ht="18.75" hidden="1" x14ac:dyDescent="0.3">
      <c r="B473" t="s">
        <v>734</v>
      </c>
      <c r="Z473" s="227"/>
      <c r="AA473" s="238">
        <f>AA265</f>
        <v>0</v>
      </c>
      <c r="AB473" s="238">
        <f>AB265</f>
        <v>0</v>
      </c>
      <c r="AC473" s="227"/>
      <c r="AD473" s="227"/>
    </row>
    <row r="474" spans="1:30" ht="18" hidden="1" customHeight="1" x14ac:dyDescent="0.3">
      <c r="Z474" s="239">
        <f>Z468-Z466</f>
        <v>0</v>
      </c>
      <c r="AA474" s="239">
        <f>AA468-AA466</f>
        <v>0</v>
      </c>
      <c r="AB474" s="239">
        <f>AB468-AB466</f>
        <v>0</v>
      </c>
      <c r="AC474" s="227"/>
      <c r="AD474" s="227"/>
    </row>
    <row r="475" spans="1:30" ht="18.75" hidden="1" customHeight="1" x14ac:dyDescent="0.3">
      <c r="Z475" s="227"/>
      <c r="AA475" s="238"/>
      <c r="AB475" s="238"/>
      <c r="AC475" s="227"/>
      <c r="AD475" s="227"/>
    </row>
    <row r="476" spans="1:30" ht="18.75" hidden="1" x14ac:dyDescent="0.3">
      <c r="Z476" s="238">
        <f>Z472+Z474</f>
        <v>385337778.70999998</v>
      </c>
      <c r="AA476" s="227"/>
      <c r="AB476" s="227"/>
      <c r="AC476" s="227"/>
      <c r="AD476" s="227"/>
    </row>
    <row r="477" spans="1:30" ht="18.75" hidden="1" x14ac:dyDescent="0.3">
      <c r="Z477" s="227"/>
      <c r="AA477" s="227"/>
      <c r="AB477" s="227"/>
      <c r="AC477" s="227"/>
      <c r="AD477" s="227"/>
    </row>
    <row r="478" spans="1:30" ht="18.75" hidden="1" x14ac:dyDescent="0.3">
      <c r="T478" t="s">
        <v>1305</v>
      </c>
      <c r="Z478" s="238">
        <f>Z25+Z26+Z45+Z50+Z71+Z73+Z75+Z80+Z88+Z90+Z92+Z135+Z137+Z142+Z144+Z146+Z152+Z158+Z165+Z170+Z172+Z178+Z180+Z191+Z193+Z195+Z197+Z201+Z211+Z213+Z231+Z253+Z255+Z258+Z260+Z199+329004.93</f>
        <v>131852044.47</v>
      </c>
      <c r="AA478" s="238">
        <f>AA25+AA26+AA45+AA50+AA71+AA73+AA75+AA80+AA88+AA90+AA92+AA135+AA137+AA142+AA144+AA146+AA152+AA158+AA165+AA170+AA172+AA178+AA180+AA191+AA193+AA195+AA197+AA201+AA211+AA213+AA231+AA253+AA255+AA258+AA260</f>
        <v>103928301.92999999</v>
      </c>
      <c r="AB478" s="238">
        <f>AB25+AB26+AB45+AB50+AB71+AB73+AB75+AB80+AB88+AB90+AB92+AB135+AB137+AB142+AB144+AB146+AB152+AB158+AB165+AB170+AB172+AB178+AB180+AB191+AB193+AB195+AB197+AB201+AB211+AB213+AB231+AB253+AB255+AB258+AB260</f>
        <v>125548560.69</v>
      </c>
      <c r="AC478" s="227"/>
      <c r="AD478" s="227"/>
    </row>
    <row r="479" spans="1:30" hidden="1" x14ac:dyDescent="0.25">
      <c r="T479" t="s">
        <v>1308</v>
      </c>
      <c r="Z479" s="130">
        <f>Z269+Z338</f>
        <v>31792270.77</v>
      </c>
      <c r="AA479" s="130">
        <f>AA269+AA338</f>
        <v>31792270.77</v>
      </c>
      <c r="AB479" s="130">
        <f>AB269+AB338</f>
        <v>31792270.77</v>
      </c>
    </row>
    <row r="480" spans="1:30" hidden="1" x14ac:dyDescent="0.25">
      <c r="T480" t="s">
        <v>1306</v>
      </c>
      <c r="Z480" s="130">
        <f>Z347+Z349+Z351+Z360+Z362+Z364+Z368+Z370+Z372+Z378+Z380+Z382+Z389+Z400+Z404+Z408</f>
        <v>181991330.05000001</v>
      </c>
      <c r="AA480" s="130">
        <f>AA347+AA349+AA351+AA360+AA362+AA364+AA368+AA370+AA372+AA378+AA380+AA382+AA389+AA400+AA404+AA408</f>
        <v>187849086.11999997</v>
      </c>
      <c r="AB480" s="130">
        <f>AB347+AB349+AB351+AB360+AB362+AB364+AB368+AB370+AB372+AB378+AB380+AB382+AB389+AB400+AB404+AB408</f>
        <v>181235248.46000001</v>
      </c>
    </row>
    <row r="481" spans="20:28" hidden="1" x14ac:dyDescent="0.25">
      <c r="T481" t="s">
        <v>1307</v>
      </c>
      <c r="Z481" s="130">
        <f>Z437+Z447+Z451+Z458</f>
        <v>39702133.420000002</v>
      </c>
      <c r="AA481" s="130">
        <f>AA437+AA447+AA451+AA458</f>
        <v>39736726.890000001</v>
      </c>
      <c r="AB481" s="130">
        <f>AB437+AB447+AB451+AB458</f>
        <v>39736726.890000001</v>
      </c>
    </row>
    <row r="482" spans="20:28" hidden="1" x14ac:dyDescent="0.25"/>
    <row r="483" spans="20:28" hidden="1" x14ac:dyDescent="0.25"/>
    <row r="484" spans="20:28" hidden="1" x14ac:dyDescent="0.25"/>
    <row r="485" spans="20:28" hidden="1" x14ac:dyDescent="0.25"/>
    <row r="486" spans="20:28" hidden="1" x14ac:dyDescent="0.25"/>
    <row r="487" spans="20:28" hidden="1" x14ac:dyDescent="0.25">
      <c r="AA487" s="130"/>
      <c r="AB487" s="130"/>
    </row>
    <row r="488" spans="20:28" hidden="1" x14ac:dyDescent="0.25">
      <c r="AA488" s="130"/>
      <c r="AB488" s="130"/>
    </row>
    <row r="489" spans="20:28" hidden="1" x14ac:dyDescent="0.25"/>
    <row r="490" spans="20:28" hidden="1" x14ac:dyDescent="0.25">
      <c r="Z490" s="130">
        <f>Z13+Z17+Z19+Z26+Z38+Z270+Z400+Z438</f>
        <v>58372516.710000001</v>
      </c>
      <c r="AA490" s="130">
        <f>AA13+AA17+AA19+AA26+AA38+AA270+AA400+AA438</f>
        <v>58358296.70000001</v>
      </c>
      <c r="AB490" s="130">
        <f>AB13+AB17+AB19+AB26+AB38+AB270+AB400+AB438</f>
        <v>58358296.600000001</v>
      </c>
    </row>
    <row r="491" spans="20:28" hidden="1" x14ac:dyDescent="0.25"/>
  </sheetData>
  <mergeCells count="13">
    <mergeCell ref="E8:E9"/>
    <mergeCell ref="AC8:AC9"/>
    <mergeCell ref="A5:AC5"/>
    <mergeCell ref="A8:A9"/>
    <mergeCell ref="B8:B9"/>
    <mergeCell ref="C8:C9"/>
    <mergeCell ref="D8:D9"/>
    <mergeCell ref="T8:T9"/>
    <mergeCell ref="X8:X9"/>
    <mergeCell ref="Y8:Y9"/>
    <mergeCell ref="Z8:Z9"/>
    <mergeCell ref="AA8:AA9"/>
    <mergeCell ref="AB8:AB9"/>
  </mergeCells>
  <pageMargins left="0.51181102362204722" right="0.19685039370078741" top="0.15748031496062992" bottom="0.35433070866141736" header="0.31496062992125984" footer="0.31496062992125984"/>
  <pageSetup paperSize="9" scale="5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selection sqref="A1:G7"/>
    </sheetView>
  </sheetViews>
  <sheetFormatPr defaultColWidth="9.140625" defaultRowHeight="15.75" x14ac:dyDescent="0.25"/>
  <cols>
    <col min="1" max="1" width="10.28515625" style="7" customWidth="1"/>
    <col min="2" max="2" width="15.5703125" style="7" customWidth="1"/>
    <col min="3" max="3" width="9.140625" style="7"/>
    <col min="4" max="4" width="39.85546875" style="7" customWidth="1"/>
    <col min="5" max="5" width="14" style="7" customWidth="1"/>
    <col min="6" max="6" width="14.5703125" style="7" customWidth="1"/>
    <col min="7" max="7" width="14.7109375" style="7" customWidth="1"/>
    <col min="8" max="16384" width="9.140625" style="7"/>
  </cols>
  <sheetData>
    <row r="1" spans="1:7" x14ac:dyDescent="0.25">
      <c r="A1" s="478" t="s">
        <v>104</v>
      </c>
      <c r="B1" s="478"/>
      <c r="C1" s="478"/>
      <c r="D1" s="478"/>
      <c r="E1" s="478"/>
      <c r="F1" s="478"/>
      <c r="G1" s="478"/>
    </row>
    <row r="2" spans="1:7" x14ac:dyDescent="0.25">
      <c r="A2" s="478" t="s">
        <v>30</v>
      </c>
      <c r="B2" s="478"/>
      <c r="C2" s="478"/>
      <c r="D2" s="478"/>
      <c r="E2" s="478"/>
      <c r="F2" s="478"/>
      <c r="G2" s="478"/>
    </row>
    <row r="3" spans="1:7" x14ac:dyDescent="0.25">
      <c r="A3" s="478" t="s">
        <v>32</v>
      </c>
      <c r="B3" s="478"/>
      <c r="C3" s="478"/>
      <c r="D3" s="478"/>
      <c r="E3" s="478"/>
      <c r="F3" s="478"/>
      <c r="G3" s="478"/>
    </row>
    <row r="4" spans="1:7" x14ac:dyDescent="0.25">
      <c r="A4" s="478" t="s">
        <v>29</v>
      </c>
      <c r="B4" s="478"/>
      <c r="C4" s="478"/>
      <c r="D4" s="478"/>
      <c r="E4" s="478"/>
      <c r="F4" s="478"/>
      <c r="G4" s="478"/>
    </row>
    <row r="5" spans="1:7" x14ac:dyDescent="0.25">
      <c r="A5" s="4" t="s">
        <v>33</v>
      </c>
      <c r="B5" s="1"/>
      <c r="C5" s="5"/>
    </row>
    <row r="6" spans="1:7" x14ac:dyDescent="0.25">
      <c r="A6" s="488" t="s">
        <v>50</v>
      </c>
      <c r="B6" s="488"/>
      <c r="C6" s="488"/>
      <c r="D6" s="488"/>
      <c r="E6" s="488"/>
      <c r="F6" s="488"/>
      <c r="G6" s="488"/>
    </row>
    <row r="7" spans="1:7" x14ac:dyDescent="0.25">
      <c r="G7" s="16" t="s">
        <v>108</v>
      </c>
    </row>
    <row r="8" spans="1:7" ht="47.25" x14ac:dyDescent="0.25">
      <c r="A8" s="6" t="s">
        <v>53</v>
      </c>
      <c r="B8" s="6" t="s">
        <v>51</v>
      </c>
      <c r="C8" s="6" t="s">
        <v>52</v>
      </c>
      <c r="D8" s="6" t="s">
        <v>54</v>
      </c>
      <c r="E8" s="6" t="s">
        <v>105</v>
      </c>
      <c r="F8" s="6" t="s">
        <v>106</v>
      </c>
      <c r="G8" s="6" t="s">
        <v>107</v>
      </c>
    </row>
    <row r="9" spans="1:7" ht="126" x14ac:dyDescent="0.25">
      <c r="A9" s="8" t="s">
        <v>34</v>
      </c>
      <c r="B9" s="9" t="s">
        <v>55</v>
      </c>
      <c r="C9" s="8" t="s">
        <v>35</v>
      </c>
      <c r="D9" s="10" t="s">
        <v>36</v>
      </c>
      <c r="E9" s="11">
        <v>102850917.41</v>
      </c>
      <c r="F9" s="11">
        <v>112099947.89</v>
      </c>
      <c r="G9" s="12">
        <v>117929145.18000001</v>
      </c>
    </row>
    <row r="10" spans="1:7" ht="173.25" x14ac:dyDescent="0.25">
      <c r="A10" s="8" t="s">
        <v>34</v>
      </c>
      <c r="B10" s="9" t="s">
        <v>56</v>
      </c>
      <c r="C10" s="8" t="s">
        <v>35</v>
      </c>
      <c r="D10" s="10" t="s">
        <v>37</v>
      </c>
      <c r="E10" s="11">
        <v>312296.90000000002</v>
      </c>
      <c r="F10" s="11">
        <v>340380.69</v>
      </c>
      <c r="G10" s="12">
        <v>358080.48</v>
      </c>
    </row>
    <row r="11" spans="1:7" ht="78.75" x14ac:dyDescent="0.25">
      <c r="A11" s="8" t="s">
        <v>34</v>
      </c>
      <c r="B11" s="9" t="s">
        <v>57</v>
      </c>
      <c r="C11" s="8" t="s">
        <v>35</v>
      </c>
      <c r="D11" s="13" t="s">
        <v>58</v>
      </c>
      <c r="E11" s="11">
        <v>32357.9</v>
      </c>
      <c r="F11" s="11">
        <v>35267.730000000003</v>
      </c>
      <c r="G11" s="12">
        <v>37101.660000000003</v>
      </c>
    </row>
    <row r="12" spans="1:7" ht="110.25" x14ac:dyDescent="0.25">
      <c r="A12" s="8" t="s">
        <v>38</v>
      </c>
      <c r="B12" s="9" t="s">
        <v>59</v>
      </c>
      <c r="C12" s="8" t="s">
        <v>35</v>
      </c>
      <c r="D12" s="13" t="s">
        <v>60</v>
      </c>
      <c r="E12" s="11">
        <v>1013145.46</v>
      </c>
      <c r="F12" s="11">
        <v>1013145.46</v>
      </c>
      <c r="G12" s="12">
        <v>1013145.46</v>
      </c>
    </row>
    <row r="13" spans="1:7" ht="141.75" x14ac:dyDescent="0.25">
      <c r="A13" s="8" t="s">
        <v>38</v>
      </c>
      <c r="B13" s="9" t="s">
        <v>61</v>
      </c>
      <c r="C13" s="8" t="s">
        <v>35</v>
      </c>
      <c r="D13" s="10" t="s">
        <v>62</v>
      </c>
      <c r="E13" s="11">
        <v>16608.939999999999</v>
      </c>
      <c r="F13" s="11">
        <v>16608.939999999999</v>
      </c>
      <c r="G13" s="12">
        <v>16608.939999999999</v>
      </c>
    </row>
    <row r="14" spans="1:7" ht="126" x14ac:dyDescent="0.25">
      <c r="A14" s="8" t="s">
        <v>38</v>
      </c>
      <c r="B14" s="9" t="s">
        <v>63</v>
      </c>
      <c r="C14" s="8" t="s">
        <v>35</v>
      </c>
      <c r="D14" s="13" t="s">
        <v>64</v>
      </c>
      <c r="E14" s="11">
        <v>1283633.95</v>
      </c>
      <c r="F14" s="11">
        <v>1283633.95</v>
      </c>
      <c r="G14" s="12">
        <v>1283633.95</v>
      </c>
    </row>
    <row r="15" spans="1:7" ht="126" x14ac:dyDescent="0.25">
      <c r="A15" s="8" t="s">
        <v>38</v>
      </c>
      <c r="B15" s="9" t="s">
        <v>65</v>
      </c>
      <c r="C15" s="8" t="s">
        <v>35</v>
      </c>
      <c r="D15" s="13" t="s">
        <v>66</v>
      </c>
      <c r="E15" s="11">
        <v>59317.65</v>
      </c>
      <c r="F15" s="11">
        <v>59317.65</v>
      </c>
      <c r="G15" s="12">
        <v>59317.65</v>
      </c>
    </row>
    <row r="16" spans="1:7" ht="63" x14ac:dyDescent="0.25">
      <c r="A16" s="8" t="s">
        <v>34</v>
      </c>
      <c r="B16" s="9" t="s">
        <v>67</v>
      </c>
      <c r="C16" s="8" t="s">
        <v>35</v>
      </c>
      <c r="D16" s="13" t="s">
        <v>39</v>
      </c>
      <c r="E16" s="11">
        <v>5900.03</v>
      </c>
      <c r="F16" s="11">
        <v>6177.34</v>
      </c>
      <c r="G16" s="12">
        <v>6442.96</v>
      </c>
    </row>
    <row r="17" spans="1:7" x14ac:dyDescent="0.25">
      <c r="A17" s="8" t="s">
        <v>34</v>
      </c>
      <c r="B17" s="9" t="s">
        <v>68</v>
      </c>
      <c r="C17" s="8" t="s">
        <v>35</v>
      </c>
      <c r="D17" s="13" t="s">
        <v>3</v>
      </c>
      <c r="E17" s="11">
        <v>756.72</v>
      </c>
      <c r="F17" s="11">
        <v>792.29</v>
      </c>
      <c r="G17" s="12">
        <v>826.35</v>
      </c>
    </row>
    <row r="18" spans="1:7" ht="157.5" x14ac:dyDescent="0.25">
      <c r="A18" s="8" t="s">
        <v>34</v>
      </c>
      <c r="B18" s="9" t="s">
        <v>69</v>
      </c>
      <c r="C18" s="8" t="s">
        <v>35</v>
      </c>
      <c r="D18" s="10" t="s">
        <v>70</v>
      </c>
      <c r="E18" s="11">
        <v>14134.41</v>
      </c>
      <c r="F18" s="11">
        <v>14798.73</v>
      </c>
      <c r="G18" s="12">
        <v>15435.07</v>
      </c>
    </row>
    <row r="19" spans="1:7" ht="141.75" x14ac:dyDescent="0.25">
      <c r="A19" s="8" t="s">
        <v>34</v>
      </c>
      <c r="B19" s="9" t="s">
        <v>71</v>
      </c>
      <c r="C19" s="8" t="s">
        <v>35</v>
      </c>
      <c r="D19" s="10" t="s">
        <v>72</v>
      </c>
      <c r="E19" s="11">
        <v>1582.79</v>
      </c>
      <c r="F19" s="11">
        <v>1657.18</v>
      </c>
      <c r="G19" s="12">
        <v>1728.44</v>
      </c>
    </row>
    <row r="20" spans="1:7" ht="157.5" x14ac:dyDescent="0.25">
      <c r="A20" s="8" t="s">
        <v>34</v>
      </c>
      <c r="B20" s="9" t="s">
        <v>73</v>
      </c>
      <c r="C20" s="8" t="s">
        <v>35</v>
      </c>
      <c r="D20" s="10" t="s">
        <v>74</v>
      </c>
      <c r="E20" s="11">
        <v>419</v>
      </c>
      <c r="F20" s="11">
        <v>438.69</v>
      </c>
      <c r="G20" s="12">
        <v>457.56</v>
      </c>
    </row>
    <row r="21" spans="1:7" ht="78.75" x14ac:dyDescent="0.25">
      <c r="A21" s="8" t="s">
        <v>34</v>
      </c>
      <c r="B21" s="9" t="s">
        <v>75</v>
      </c>
      <c r="C21" s="8" t="s">
        <v>35</v>
      </c>
      <c r="D21" s="13" t="s">
        <v>76</v>
      </c>
      <c r="E21" s="11">
        <v>3668668.37</v>
      </c>
      <c r="F21" s="11">
        <v>3841095.78</v>
      </c>
      <c r="G21" s="12">
        <v>4006262.9</v>
      </c>
    </row>
    <row r="22" spans="1:7" ht="110.25" x14ac:dyDescent="0.25">
      <c r="A22" s="8" t="s">
        <v>16</v>
      </c>
      <c r="B22" s="9" t="s">
        <v>77</v>
      </c>
      <c r="C22" s="8" t="s">
        <v>35</v>
      </c>
      <c r="D22" s="13" t="s">
        <v>78</v>
      </c>
      <c r="E22" s="11">
        <v>1289.23</v>
      </c>
      <c r="F22" s="11">
        <v>1349.82</v>
      </c>
      <c r="G22" s="12">
        <v>1407.86</v>
      </c>
    </row>
    <row r="23" spans="1:7" ht="63" x14ac:dyDescent="0.25">
      <c r="A23" s="8" t="s">
        <v>16</v>
      </c>
      <c r="B23" s="9" t="s">
        <v>79</v>
      </c>
      <c r="C23" s="8" t="s">
        <v>40</v>
      </c>
      <c r="D23" s="13" t="s">
        <v>80</v>
      </c>
      <c r="E23" s="11">
        <v>32285.58</v>
      </c>
      <c r="F23" s="11">
        <v>32628.83</v>
      </c>
      <c r="G23" s="12">
        <v>32628.83</v>
      </c>
    </row>
    <row r="24" spans="1:7" ht="126" x14ac:dyDescent="0.25">
      <c r="A24" s="8" t="s">
        <v>19</v>
      </c>
      <c r="B24" s="9" t="s">
        <v>81</v>
      </c>
      <c r="C24" s="8" t="s">
        <v>40</v>
      </c>
      <c r="D24" s="10" t="s">
        <v>82</v>
      </c>
      <c r="E24" s="11">
        <v>7000000</v>
      </c>
      <c r="F24" s="11">
        <v>6900000</v>
      </c>
      <c r="G24" s="12">
        <v>6800000</v>
      </c>
    </row>
    <row r="25" spans="1:7" ht="78.75" x14ac:dyDescent="0.25">
      <c r="A25" s="8" t="s">
        <v>19</v>
      </c>
      <c r="B25" s="9" t="s">
        <v>83</v>
      </c>
      <c r="C25" s="8" t="s">
        <v>40</v>
      </c>
      <c r="D25" s="13" t="s">
        <v>22</v>
      </c>
      <c r="E25" s="11">
        <v>30000</v>
      </c>
      <c r="F25" s="11">
        <v>30000</v>
      </c>
      <c r="G25" s="12">
        <v>30000</v>
      </c>
    </row>
    <row r="26" spans="1:7" ht="126" x14ac:dyDescent="0.25">
      <c r="A26" s="8" t="s">
        <v>19</v>
      </c>
      <c r="B26" s="9" t="s">
        <v>84</v>
      </c>
      <c r="C26" s="8" t="s">
        <v>40</v>
      </c>
      <c r="D26" s="13" t="s">
        <v>24</v>
      </c>
      <c r="E26" s="11">
        <v>1000000</v>
      </c>
      <c r="F26" s="11">
        <v>1000000</v>
      </c>
      <c r="G26" s="12">
        <v>1000000</v>
      </c>
    </row>
    <row r="27" spans="1:7" ht="110.25" x14ac:dyDescent="0.25">
      <c r="A27" s="8" t="s">
        <v>5</v>
      </c>
      <c r="B27" s="9" t="s">
        <v>85</v>
      </c>
      <c r="C27" s="8" t="s">
        <v>40</v>
      </c>
      <c r="D27" s="13" t="s">
        <v>86</v>
      </c>
      <c r="E27" s="11">
        <v>614735.76</v>
      </c>
      <c r="F27" s="11">
        <v>643628.34</v>
      </c>
      <c r="G27" s="12">
        <v>671304.36</v>
      </c>
    </row>
    <row r="28" spans="1:7" ht="110.25" x14ac:dyDescent="0.25">
      <c r="A28" s="8" t="s">
        <v>5</v>
      </c>
      <c r="B28" s="9" t="s">
        <v>87</v>
      </c>
      <c r="C28" s="8" t="s">
        <v>40</v>
      </c>
      <c r="D28" s="13" t="s">
        <v>88</v>
      </c>
      <c r="E28" s="11">
        <v>24564.639999999999</v>
      </c>
      <c r="F28" s="11">
        <v>25719.18</v>
      </c>
      <c r="G28" s="12">
        <v>26825.11</v>
      </c>
    </row>
    <row r="29" spans="1:7" ht="94.5" x14ac:dyDescent="0.25">
      <c r="A29" s="8" t="s">
        <v>5</v>
      </c>
      <c r="B29" s="9" t="s">
        <v>89</v>
      </c>
      <c r="C29" s="8" t="s">
        <v>40</v>
      </c>
      <c r="D29" s="13" t="s">
        <v>90</v>
      </c>
      <c r="E29" s="11">
        <v>1359022.89</v>
      </c>
      <c r="F29" s="11">
        <v>1422896.97</v>
      </c>
      <c r="G29" s="12">
        <v>1484081.54</v>
      </c>
    </row>
    <row r="30" spans="1:7" ht="110.25" x14ac:dyDescent="0.25">
      <c r="A30" s="8" t="s">
        <v>19</v>
      </c>
      <c r="B30" s="9" t="s">
        <v>91</v>
      </c>
      <c r="C30" s="8" t="s">
        <v>41</v>
      </c>
      <c r="D30" s="13" t="s">
        <v>92</v>
      </c>
      <c r="E30" s="11">
        <v>685000</v>
      </c>
      <c r="F30" s="11">
        <v>400000</v>
      </c>
      <c r="G30" s="12">
        <v>400000</v>
      </c>
    </row>
    <row r="31" spans="1:7" ht="63" x14ac:dyDescent="0.25">
      <c r="A31" s="8" t="s">
        <v>19</v>
      </c>
      <c r="B31" s="9" t="s">
        <v>93</v>
      </c>
      <c r="C31" s="8" t="s">
        <v>42</v>
      </c>
      <c r="D31" s="13" t="s">
        <v>94</v>
      </c>
      <c r="E31" s="11">
        <v>300000</v>
      </c>
      <c r="F31" s="11">
        <v>300000</v>
      </c>
      <c r="G31" s="12">
        <v>300000</v>
      </c>
    </row>
    <row r="32" spans="1:7" ht="63" x14ac:dyDescent="0.25">
      <c r="A32" s="8" t="s">
        <v>19</v>
      </c>
      <c r="B32" s="9" t="s">
        <v>95</v>
      </c>
      <c r="C32" s="8" t="s">
        <v>43</v>
      </c>
      <c r="D32" s="13" t="s">
        <v>44</v>
      </c>
      <c r="E32" s="11">
        <v>2382.27</v>
      </c>
      <c r="F32" s="11">
        <v>2494.23</v>
      </c>
      <c r="G32" s="12">
        <v>2601.4899999999998</v>
      </c>
    </row>
    <row r="33" spans="1:7" ht="110.25" x14ac:dyDescent="0.25">
      <c r="A33" s="8" t="s">
        <v>34</v>
      </c>
      <c r="B33" s="9" t="s">
        <v>96</v>
      </c>
      <c r="C33" s="8" t="s">
        <v>43</v>
      </c>
      <c r="D33" s="10" t="s">
        <v>4</v>
      </c>
      <c r="E33" s="11">
        <v>34732.69</v>
      </c>
      <c r="F33" s="11">
        <v>36365.129999999997</v>
      </c>
      <c r="G33" s="12">
        <v>37928.83</v>
      </c>
    </row>
    <row r="34" spans="1:7" ht="63" x14ac:dyDescent="0.25">
      <c r="A34" s="8" t="s">
        <v>46</v>
      </c>
      <c r="B34" s="9" t="s">
        <v>97</v>
      </c>
      <c r="C34" s="8" t="s">
        <v>43</v>
      </c>
      <c r="D34" s="13" t="s">
        <v>45</v>
      </c>
      <c r="E34" s="11">
        <v>133767.94</v>
      </c>
      <c r="F34" s="11">
        <v>140055.04000000001</v>
      </c>
      <c r="G34" s="12">
        <v>146077.4</v>
      </c>
    </row>
    <row r="35" spans="1:7" ht="173.25" x14ac:dyDescent="0.25">
      <c r="A35" s="8" t="s">
        <v>6</v>
      </c>
      <c r="B35" s="9" t="s">
        <v>98</v>
      </c>
      <c r="C35" s="8" t="s">
        <v>43</v>
      </c>
      <c r="D35" s="10" t="s">
        <v>99</v>
      </c>
      <c r="E35" s="11">
        <v>1654554.27</v>
      </c>
      <c r="F35" s="11">
        <v>1732318.32</v>
      </c>
      <c r="G35" s="12">
        <v>1806808</v>
      </c>
    </row>
    <row r="36" spans="1:7" ht="173.25" x14ac:dyDescent="0.25">
      <c r="A36" s="8" t="s">
        <v>48</v>
      </c>
      <c r="B36" s="9" t="s">
        <v>98</v>
      </c>
      <c r="C36" s="8" t="s">
        <v>43</v>
      </c>
      <c r="D36" s="10" t="s">
        <v>99</v>
      </c>
      <c r="E36" s="11">
        <v>172681.64</v>
      </c>
      <c r="F36" s="11">
        <v>180797.68</v>
      </c>
      <c r="G36" s="12">
        <v>188571.98</v>
      </c>
    </row>
    <row r="37" spans="1:7" ht="126" x14ac:dyDescent="0.25">
      <c r="A37" s="8" t="s">
        <v>47</v>
      </c>
      <c r="B37" s="9" t="s">
        <v>100</v>
      </c>
      <c r="C37" s="8" t="s">
        <v>43</v>
      </c>
      <c r="D37" s="10" t="s">
        <v>101</v>
      </c>
      <c r="E37" s="11">
        <v>840187.22</v>
      </c>
      <c r="F37" s="11">
        <v>879676.02</v>
      </c>
      <c r="G37" s="12">
        <v>917502.09</v>
      </c>
    </row>
    <row r="38" spans="1:7" ht="126" x14ac:dyDescent="0.25">
      <c r="A38" s="8" t="s">
        <v>48</v>
      </c>
      <c r="B38" s="9" t="s">
        <v>100</v>
      </c>
      <c r="C38" s="8" t="s">
        <v>43</v>
      </c>
      <c r="D38" s="10" t="s">
        <v>101</v>
      </c>
      <c r="E38" s="11">
        <v>292903.11</v>
      </c>
      <c r="F38" s="11">
        <v>306669.55</v>
      </c>
      <c r="G38" s="12">
        <v>319856.34000000003</v>
      </c>
    </row>
    <row r="39" spans="1:7" ht="31.5" x14ac:dyDescent="0.25">
      <c r="A39" s="8" t="s">
        <v>19</v>
      </c>
      <c r="B39" s="9" t="s">
        <v>102</v>
      </c>
      <c r="C39" s="8" t="s">
        <v>49</v>
      </c>
      <c r="D39" s="13" t="s">
        <v>17</v>
      </c>
      <c r="E39" s="11">
        <v>500000</v>
      </c>
      <c r="F39" s="11">
        <v>500000</v>
      </c>
      <c r="G39" s="12">
        <v>500000</v>
      </c>
    </row>
    <row r="40" spans="1:7" x14ac:dyDescent="0.25">
      <c r="A40" s="531" t="s">
        <v>103</v>
      </c>
      <c r="B40" s="532"/>
      <c r="C40" s="532"/>
      <c r="D40" s="533"/>
      <c r="E40" s="14">
        <v>123937846.77</v>
      </c>
      <c r="F40" s="14">
        <v>133247861.43000001</v>
      </c>
      <c r="G40" s="15">
        <v>139393780.43000001</v>
      </c>
    </row>
  </sheetData>
  <mergeCells count="6">
    <mergeCell ref="A6:G6"/>
    <mergeCell ref="A40:D40"/>
    <mergeCell ref="A1:G1"/>
    <mergeCell ref="A2:G2"/>
    <mergeCell ref="A3:G3"/>
    <mergeCell ref="A4:G4"/>
  </mergeCells>
  <pageMargins left="0.70866141732283472" right="0.31496062992125984" top="0.35433070866141736" bottom="0.35433070866141736" header="0.31496062992125984" footer="0.31496062992125984"/>
  <pageSetup paperSize="9" scale="7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93"/>
  <sheetViews>
    <sheetView workbookViewId="0">
      <selection activeCell="K4" sqref="K4:M4"/>
    </sheetView>
  </sheetViews>
  <sheetFormatPr defaultRowHeight="15.75" x14ac:dyDescent="0.25"/>
  <cols>
    <col min="1" max="1" width="3.140625" style="29" customWidth="1"/>
    <col min="2" max="2" width="51.7109375" style="30" customWidth="1"/>
    <col min="3" max="3" width="11.85546875" style="30" hidden="1" customWidth="1"/>
    <col min="4" max="4" width="11.28515625" style="30" hidden="1" customWidth="1"/>
    <col min="5" max="5" width="15.42578125" style="31" hidden="1" customWidth="1"/>
    <col min="6" max="8" width="15.140625" style="29" hidden="1" customWidth="1"/>
    <col min="9" max="9" width="14.85546875" style="29" customWidth="1"/>
    <col min="10" max="10" width="14.28515625" style="29" customWidth="1"/>
    <col min="11" max="11" width="14.28515625" style="33" customWidth="1"/>
    <col min="12" max="12" width="18.5703125" style="33" customWidth="1"/>
    <col min="13" max="13" width="14.42578125" style="34" customWidth="1"/>
    <col min="14" max="14" width="9.140625" style="32"/>
    <col min="15" max="15" width="16.85546875" style="32" customWidth="1"/>
    <col min="16" max="16" width="13.5703125" style="32" bestFit="1" customWidth="1"/>
    <col min="17" max="17" width="14" style="32" customWidth="1"/>
    <col min="18" max="256" width="9.140625" style="32"/>
    <col min="257" max="257" width="3.140625" style="32" customWidth="1"/>
    <col min="258" max="258" width="51.7109375" style="32" customWidth="1"/>
    <col min="259" max="264" width="0" style="32" hidden="1" customWidth="1"/>
    <col min="265" max="265" width="13.42578125" style="32" customWidth="1"/>
    <col min="266" max="266" width="13.28515625" style="32" customWidth="1"/>
    <col min="267" max="267" width="12.85546875" style="32" customWidth="1"/>
    <col min="268" max="268" width="18.5703125" style="32" customWidth="1"/>
    <col min="269" max="269" width="9.42578125" style="32" customWidth="1"/>
    <col min="270" max="512" width="9.140625" style="32"/>
    <col min="513" max="513" width="3.140625" style="32" customWidth="1"/>
    <col min="514" max="514" width="51.7109375" style="32" customWidth="1"/>
    <col min="515" max="520" width="0" style="32" hidden="1" customWidth="1"/>
    <col min="521" max="521" width="13.42578125" style="32" customWidth="1"/>
    <col min="522" max="522" width="13.28515625" style="32" customWidth="1"/>
    <col min="523" max="523" width="12.85546875" style="32" customWidth="1"/>
    <col min="524" max="524" width="18.5703125" style="32" customWidth="1"/>
    <col min="525" max="525" width="9.42578125" style="32" customWidth="1"/>
    <col min="526" max="768" width="9.140625" style="32"/>
    <col min="769" max="769" width="3.140625" style="32" customWidth="1"/>
    <col min="770" max="770" width="51.7109375" style="32" customWidth="1"/>
    <col min="771" max="776" width="0" style="32" hidden="1" customWidth="1"/>
    <col min="777" max="777" width="13.42578125" style="32" customWidth="1"/>
    <col min="778" max="778" width="13.28515625" style="32" customWidth="1"/>
    <col min="779" max="779" width="12.85546875" style="32" customWidth="1"/>
    <col min="780" max="780" width="18.5703125" style="32" customWidth="1"/>
    <col min="781" max="781" width="9.42578125" style="32" customWidth="1"/>
    <col min="782" max="1024" width="9.140625" style="32"/>
    <col min="1025" max="1025" width="3.140625" style="32" customWidth="1"/>
    <col min="1026" max="1026" width="51.7109375" style="32" customWidth="1"/>
    <col min="1027" max="1032" width="0" style="32" hidden="1" customWidth="1"/>
    <col min="1033" max="1033" width="13.42578125" style="32" customWidth="1"/>
    <col min="1034" max="1034" width="13.28515625" style="32" customWidth="1"/>
    <col min="1035" max="1035" width="12.85546875" style="32" customWidth="1"/>
    <col min="1036" max="1036" width="18.5703125" style="32" customWidth="1"/>
    <col min="1037" max="1037" width="9.42578125" style="32" customWidth="1"/>
    <col min="1038" max="1280" width="9.140625" style="32"/>
    <col min="1281" max="1281" width="3.140625" style="32" customWidth="1"/>
    <col min="1282" max="1282" width="51.7109375" style="32" customWidth="1"/>
    <col min="1283" max="1288" width="0" style="32" hidden="1" customWidth="1"/>
    <col min="1289" max="1289" width="13.42578125" style="32" customWidth="1"/>
    <col min="1290" max="1290" width="13.28515625" style="32" customWidth="1"/>
    <col min="1291" max="1291" width="12.85546875" style="32" customWidth="1"/>
    <col min="1292" max="1292" width="18.5703125" style="32" customWidth="1"/>
    <col min="1293" max="1293" width="9.42578125" style="32" customWidth="1"/>
    <col min="1294" max="1536" width="9.140625" style="32"/>
    <col min="1537" max="1537" width="3.140625" style="32" customWidth="1"/>
    <col min="1538" max="1538" width="51.7109375" style="32" customWidth="1"/>
    <col min="1539" max="1544" width="0" style="32" hidden="1" customWidth="1"/>
    <col min="1545" max="1545" width="13.42578125" style="32" customWidth="1"/>
    <col min="1546" max="1546" width="13.28515625" style="32" customWidth="1"/>
    <col min="1547" max="1547" width="12.85546875" style="32" customWidth="1"/>
    <col min="1548" max="1548" width="18.5703125" style="32" customWidth="1"/>
    <col min="1549" max="1549" width="9.42578125" style="32" customWidth="1"/>
    <col min="1550" max="1792" width="9.140625" style="32"/>
    <col min="1793" max="1793" width="3.140625" style="32" customWidth="1"/>
    <col min="1794" max="1794" width="51.7109375" style="32" customWidth="1"/>
    <col min="1795" max="1800" width="0" style="32" hidden="1" customWidth="1"/>
    <col min="1801" max="1801" width="13.42578125" style="32" customWidth="1"/>
    <col min="1802" max="1802" width="13.28515625" style="32" customWidth="1"/>
    <col min="1803" max="1803" width="12.85546875" style="32" customWidth="1"/>
    <col min="1804" max="1804" width="18.5703125" style="32" customWidth="1"/>
    <col min="1805" max="1805" width="9.42578125" style="32" customWidth="1"/>
    <col min="1806" max="2048" width="9.140625" style="32"/>
    <col min="2049" max="2049" width="3.140625" style="32" customWidth="1"/>
    <col min="2050" max="2050" width="51.7109375" style="32" customWidth="1"/>
    <col min="2051" max="2056" width="0" style="32" hidden="1" customWidth="1"/>
    <col min="2057" max="2057" width="13.42578125" style="32" customWidth="1"/>
    <col min="2058" max="2058" width="13.28515625" style="32" customWidth="1"/>
    <col min="2059" max="2059" width="12.85546875" style="32" customWidth="1"/>
    <col min="2060" max="2060" width="18.5703125" style="32" customWidth="1"/>
    <col min="2061" max="2061" width="9.42578125" style="32" customWidth="1"/>
    <col min="2062" max="2304" width="9.140625" style="32"/>
    <col min="2305" max="2305" width="3.140625" style="32" customWidth="1"/>
    <col min="2306" max="2306" width="51.7109375" style="32" customWidth="1"/>
    <col min="2307" max="2312" width="0" style="32" hidden="1" customWidth="1"/>
    <col min="2313" max="2313" width="13.42578125" style="32" customWidth="1"/>
    <col min="2314" max="2314" width="13.28515625" style="32" customWidth="1"/>
    <col min="2315" max="2315" width="12.85546875" style="32" customWidth="1"/>
    <col min="2316" max="2316" width="18.5703125" style="32" customWidth="1"/>
    <col min="2317" max="2317" width="9.42578125" style="32" customWidth="1"/>
    <col min="2318" max="2560" width="9.140625" style="32"/>
    <col min="2561" max="2561" width="3.140625" style="32" customWidth="1"/>
    <col min="2562" max="2562" width="51.7109375" style="32" customWidth="1"/>
    <col min="2563" max="2568" width="0" style="32" hidden="1" customWidth="1"/>
    <col min="2569" max="2569" width="13.42578125" style="32" customWidth="1"/>
    <col min="2570" max="2570" width="13.28515625" style="32" customWidth="1"/>
    <col min="2571" max="2571" width="12.85546875" style="32" customWidth="1"/>
    <col min="2572" max="2572" width="18.5703125" style="32" customWidth="1"/>
    <col min="2573" max="2573" width="9.42578125" style="32" customWidth="1"/>
    <col min="2574" max="2816" width="9.140625" style="32"/>
    <col min="2817" max="2817" width="3.140625" style="32" customWidth="1"/>
    <col min="2818" max="2818" width="51.7109375" style="32" customWidth="1"/>
    <col min="2819" max="2824" width="0" style="32" hidden="1" customWidth="1"/>
    <col min="2825" max="2825" width="13.42578125" style="32" customWidth="1"/>
    <col min="2826" max="2826" width="13.28515625" style="32" customWidth="1"/>
    <col min="2827" max="2827" width="12.85546875" style="32" customWidth="1"/>
    <col min="2828" max="2828" width="18.5703125" style="32" customWidth="1"/>
    <col min="2829" max="2829" width="9.42578125" style="32" customWidth="1"/>
    <col min="2830" max="3072" width="9.140625" style="32"/>
    <col min="3073" max="3073" width="3.140625" style="32" customWidth="1"/>
    <col min="3074" max="3074" width="51.7109375" style="32" customWidth="1"/>
    <col min="3075" max="3080" width="0" style="32" hidden="1" customWidth="1"/>
    <col min="3081" max="3081" width="13.42578125" style="32" customWidth="1"/>
    <col min="3082" max="3082" width="13.28515625" style="32" customWidth="1"/>
    <col min="3083" max="3083" width="12.85546875" style="32" customWidth="1"/>
    <col min="3084" max="3084" width="18.5703125" style="32" customWidth="1"/>
    <col min="3085" max="3085" width="9.42578125" style="32" customWidth="1"/>
    <col min="3086" max="3328" width="9.140625" style="32"/>
    <col min="3329" max="3329" width="3.140625" style="32" customWidth="1"/>
    <col min="3330" max="3330" width="51.7109375" style="32" customWidth="1"/>
    <col min="3331" max="3336" width="0" style="32" hidden="1" customWidth="1"/>
    <col min="3337" max="3337" width="13.42578125" style="32" customWidth="1"/>
    <col min="3338" max="3338" width="13.28515625" style="32" customWidth="1"/>
    <col min="3339" max="3339" width="12.85546875" style="32" customWidth="1"/>
    <col min="3340" max="3340" width="18.5703125" style="32" customWidth="1"/>
    <col min="3341" max="3341" width="9.42578125" style="32" customWidth="1"/>
    <col min="3342" max="3584" width="9.140625" style="32"/>
    <col min="3585" max="3585" width="3.140625" style="32" customWidth="1"/>
    <col min="3586" max="3586" width="51.7109375" style="32" customWidth="1"/>
    <col min="3587" max="3592" width="0" style="32" hidden="1" customWidth="1"/>
    <col min="3593" max="3593" width="13.42578125" style="32" customWidth="1"/>
    <col min="3594" max="3594" width="13.28515625" style="32" customWidth="1"/>
    <col min="3595" max="3595" width="12.85546875" style="32" customWidth="1"/>
    <col min="3596" max="3596" width="18.5703125" style="32" customWidth="1"/>
    <col min="3597" max="3597" width="9.42578125" style="32" customWidth="1"/>
    <col min="3598" max="3840" width="9.140625" style="32"/>
    <col min="3841" max="3841" width="3.140625" style="32" customWidth="1"/>
    <col min="3842" max="3842" width="51.7109375" style="32" customWidth="1"/>
    <col min="3843" max="3848" width="0" style="32" hidden="1" customWidth="1"/>
    <col min="3849" max="3849" width="13.42578125" style="32" customWidth="1"/>
    <col min="3850" max="3850" width="13.28515625" style="32" customWidth="1"/>
    <col min="3851" max="3851" width="12.85546875" style="32" customWidth="1"/>
    <col min="3852" max="3852" width="18.5703125" style="32" customWidth="1"/>
    <col min="3853" max="3853" width="9.42578125" style="32" customWidth="1"/>
    <col min="3854" max="4096" width="9.140625" style="32"/>
    <col min="4097" max="4097" width="3.140625" style="32" customWidth="1"/>
    <col min="4098" max="4098" width="51.7109375" style="32" customWidth="1"/>
    <col min="4099" max="4104" width="0" style="32" hidden="1" customWidth="1"/>
    <col min="4105" max="4105" width="13.42578125" style="32" customWidth="1"/>
    <col min="4106" max="4106" width="13.28515625" style="32" customWidth="1"/>
    <col min="4107" max="4107" width="12.85546875" style="32" customWidth="1"/>
    <col min="4108" max="4108" width="18.5703125" style="32" customWidth="1"/>
    <col min="4109" max="4109" width="9.42578125" style="32" customWidth="1"/>
    <col min="4110" max="4352" width="9.140625" style="32"/>
    <col min="4353" max="4353" width="3.140625" style="32" customWidth="1"/>
    <col min="4354" max="4354" width="51.7109375" style="32" customWidth="1"/>
    <col min="4355" max="4360" width="0" style="32" hidden="1" customWidth="1"/>
    <col min="4361" max="4361" width="13.42578125" style="32" customWidth="1"/>
    <col min="4362" max="4362" width="13.28515625" style="32" customWidth="1"/>
    <col min="4363" max="4363" width="12.85546875" style="32" customWidth="1"/>
    <col min="4364" max="4364" width="18.5703125" style="32" customWidth="1"/>
    <col min="4365" max="4365" width="9.42578125" style="32" customWidth="1"/>
    <col min="4366" max="4608" width="9.140625" style="32"/>
    <col min="4609" max="4609" width="3.140625" style="32" customWidth="1"/>
    <col min="4610" max="4610" width="51.7109375" style="32" customWidth="1"/>
    <col min="4611" max="4616" width="0" style="32" hidden="1" customWidth="1"/>
    <col min="4617" max="4617" width="13.42578125" style="32" customWidth="1"/>
    <col min="4618" max="4618" width="13.28515625" style="32" customWidth="1"/>
    <col min="4619" max="4619" width="12.85546875" style="32" customWidth="1"/>
    <col min="4620" max="4620" width="18.5703125" style="32" customWidth="1"/>
    <col min="4621" max="4621" width="9.42578125" style="32" customWidth="1"/>
    <col min="4622" max="4864" width="9.140625" style="32"/>
    <col min="4865" max="4865" width="3.140625" style="32" customWidth="1"/>
    <col min="4866" max="4866" width="51.7109375" style="32" customWidth="1"/>
    <col min="4867" max="4872" width="0" style="32" hidden="1" customWidth="1"/>
    <col min="4873" max="4873" width="13.42578125" style="32" customWidth="1"/>
    <col min="4874" max="4874" width="13.28515625" style="32" customWidth="1"/>
    <col min="4875" max="4875" width="12.85546875" style="32" customWidth="1"/>
    <col min="4876" max="4876" width="18.5703125" style="32" customWidth="1"/>
    <col min="4877" max="4877" width="9.42578125" style="32" customWidth="1"/>
    <col min="4878" max="5120" width="9.140625" style="32"/>
    <col min="5121" max="5121" width="3.140625" style="32" customWidth="1"/>
    <col min="5122" max="5122" width="51.7109375" style="32" customWidth="1"/>
    <col min="5123" max="5128" width="0" style="32" hidden="1" customWidth="1"/>
    <col min="5129" max="5129" width="13.42578125" style="32" customWidth="1"/>
    <col min="5130" max="5130" width="13.28515625" style="32" customWidth="1"/>
    <col min="5131" max="5131" width="12.85546875" style="32" customWidth="1"/>
    <col min="5132" max="5132" width="18.5703125" style="32" customWidth="1"/>
    <col min="5133" max="5133" width="9.42578125" style="32" customWidth="1"/>
    <col min="5134" max="5376" width="9.140625" style="32"/>
    <col min="5377" max="5377" width="3.140625" style="32" customWidth="1"/>
    <col min="5378" max="5378" width="51.7109375" style="32" customWidth="1"/>
    <col min="5379" max="5384" width="0" style="32" hidden="1" customWidth="1"/>
    <col min="5385" max="5385" width="13.42578125" style="32" customWidth="1"/>
    <col min="5386" max="5386" width="13.28515625" style="32" customWidth="1"/>
    <col min="5387" max="5387" width="12.85546875" style="32" customWidth="1"/>
    <col min="5388" max="5388" width="18.5703125" style="32" customWidth="1"/>
    <col min="5389" max="5389" width="9.42578125" style="32" customWidth="1"/>
    <col min="5390" max="5632" width="9.140625" style="32"/>
    <col min="5633" max="5633" width="3.140625" style="32" customWidth="1"/>
    <col min="5634" max="5634" width="51.7109375" style="32" customWidth="1"/>
    <col min="5635" max="5640" width="0" style="32" hidden="1" customWidth="1"/>
    <col min="5641" max="5641" width="13.42578125" style="32" customWidth="1"/>
    <col min="5642" max="5642" width="13.28515625" style="32" customWidth="1"/>
    <col min="5643" max="5643" width="12.85546875" style="32" customWidth="1"/>
    <col min="5644" max="5644" width="18.5703125" style="32" customWidth="1"/>
    <col min="5645" max="5645" width="9.42578125" style="32" customWidth="1"/>
    <col min="5646" max="5888" width="9.140625" style="32"/>
    <col min="5889" max="5889" width="3.140625" style="32" customWidth="1"/>
    <col min="5890" max="5890" width="51.7109375" style="32" customWidth="1"/>
    <col min="5891" max="5896" width="0" style="32" hidden="1" customWidth="1"/>
    <col min="5897" max="5897" width="13.42578125" style="32" customWidth="1"/>
    <col min="5898" max="5898" width="13.28515625" style="32" customWidth="1"/>
    <col min="5899" max="5899" width="12.85546875" style="32" customWidth="1"/>
    <col min="5900" max="5900" width="18.5703125" style="32" customWidth="1"/>
    <col min="5901" max="5901" width="9.42578125" style="32" customWidth="1"/>
    <col min="5902" max="6144" width="9.140625" style="32"/>
    <col min="6145" max="6145" width="3.140625" style="32" customWidth="1"/>
    <col min="6146" max="6146" width="51.7109375" style="32" customWidth="1"/>
    <col min="6147" max="6152" width="0" style="32" hidden="1" customWidth="1"/>
    <col min="6153" max="6153" width="13.42578125" style="32" customWidth="1"/>
    <col min="6154" max="6154" width="13.28515625" style="32" customWidth="1"/>
    <col min="6155" max="6155" width="12.85546875" style="32" customWidth="1"/>
    <col min="6156" max="6156" width="18.5703125" style="32" customWidth="1"/>
    <col min="6157" max="6157" width="9.42578125" style="32" customWidth="1"/>
    <col min="6158" max="6400" width="9.140625" style="32"/>
    <col min="6401" max="6401" width="3.140625" style="32" customWidth="1"/>
    <col min="6402" max="6402" width="51.7109375" style="32" customWidth="1"/>
    <col min="6403" max="6408" width="0" style="32" hidden="1" customWidth="1"/>
    <col min="6409" max="6409" width="13.42578125" style="32" customWidth="1"/>
    <col min="6410" max="6410" width="13.28515625" style="32" customWidth="1"/>
    <col min="6411" max="6411" width="12.85546875" style="32" customWidth="1"/>
    <col min="6412" max="6412" width="18.5703125" style="32" customWidth="1"/>
    <col min="6413" max="6413" width="9.42578125" style="32" customWidth="1"/>
    <col min="6414" max="6656" width="9.140625" style="32"/>
    <col min="6657" max="6657" width="3.140625" style="32" customWidth="1"/>
    <col min="6658" max="6658" width="51.7109375" style="32" customWidth="1"/>
    <col min="6659" max="6664" width="0" style="32" hidden="1" customWidth="1"/>
    <col min="6665" max="6665" width="13.42578125" style="32" customWidth="1"/>
    <col min="6666" max="6666" width="13.28515625" style="32" customWidth="1"/>
    <col min="6667" max="6667" width="12.85546875" style="32" customWidth="1"/>
    <col min="6668" max="6668" width="18.5703125" style="32" customWidth="1"/>
    <col min="6669" max="6669" width="9.42578125" style="32" customWidth="1"/>
    <col min="6670" max="6912" width="9.140625" style="32"/>
    <col min="6913" max="6913" width="3.140625" style="32" customWidth="1"/>
    <col min="6914" max="6914" width="51.7109375" style="32" customWidth="1"/>
    <col min="6915" max="6920" width="0" style="32" hidden="1" customWidth="1"/>
    <col min="6921" max="6921" width="13.42578125" style="32" customWidth="1"/>
    <col min="6922" max="6922" width="13.28515625" style="32" customWidth="1"/>
    <col min="6923" max="6923" width="12.85546875" style="32" customWidth="1"/>
    <col min="6924" max="6924" width="18.5703125" style="32" customWidth="1"/>
    <col min="6925" max="6925" width="9.42578125" style="32" customWidth="1"/>
    <col min="6926" max="7168" width="9.140625" style="32"/>
    <col min="7169" max="7169" width="3.140625" style="32" customWidth="1"/>
    <col min="7170" max="7170" width="51.7109375" style="32" customWidth="1"/>
    <col min="7171" max="7176" width="0" style="32" hidden="1" customWidth="1"/>
    <col min="7177" max="7177" width="13.42578125" style="32" customWidth="1"/>
    <col min="7178" max="7178" width="13.28515625" style="32" customWidth="1"/>
    <col min="7179" max="7179" width="12.85546875" style="32" customWidth="1"/>
    <col min="7180" max="7180" width="18.5703125" style="32" customWidth="1"/>
    <col min="7181" max="7181" width="9.42578125" style="32" customWidth="1"/>
    <col min="7182" max="7424" width="9.140625" style="32"/>
    <col min="7425" max="7425" width="3.140625" style="32" customWidth="1"/>
    <col min="7426" max="7426" width="51.7109375" style="32" customWidth="1"/>
    <col min="7427" max="7432" width="0" style="32" hidden="1" customWidth="1"/>
    <col min="7433" max="7433" width="13.42578125" style="32" customWidth="1"/>
    <col min="7434" max="7434" width="13.28515625" style="32" customWidth="1"/>
    <col min="7435" max="7435" width="12.85546875" style="32" customWidth="1"/>
    <col min="7436" max="7436" width="18.5703125" style="32" customWidth="1"/>
    <col min="7437" max="7437" width="9.42578125" style="32" customWidth="1"/>
    <col min="7438" max="7680" width="9.140625" style="32"/>
    <col min="7681" max="7681" width="3.140625" style="32" customWidth="1"/>
    <col min="7682" max="7682" width="51.7109375" style="32" customWidth="1"/>
    <col min="7683" max="7688" width="0" style="32" hidden="1" customWidth="1"/>
    <col min="7689" max="7689" width="13.42578125" style="32" customWidth="1"/>
    <col min="7690" max="7690" width="13.28515625" style="32" customWidth="1"/>
    <col min="7691" max="7691" width="12.85546875" style="32" customWidth="1"/>
    <col min="7692" max="7692" width="18.5703125" style="32" customWidth="1"/>
    <col min="7693" max="7693" width="9.42578125" style="32" customWidth="1"/>
    <col min="7694" max="7936" width="9.140625" style="32"/>
    <col min="7937" max="7937" width="3.140625" style="32" customWidth="1"/>
    <col min="7938" max="7938" width="51.7109375" style="32" customWidth="1"/>
    <col min="7939" max="7944" width="0" style="32" hidden="1" customWidth="1"/>
    <col min="7945" max="7945" width="13.42578125" style="32" customWidth="1"/>
    <col min="7946" max="7946" width="13.28515625" style="32" customWidth="1"/>
    <col min="7947" max="7947" width="12.85546875" style="32" customWidth="1"/>
    <col min="7948" max="7948" width="18.5703125" style="32" customWidth="1"/>
    <col min="7949" max="7949" width="9.42578125" style="32" customWidth="1"/>
    <col min="7950" max="8192" width="9.140625" style="32"/>
    <col min="8193" max="8193" width="3.140625" style="32" customWidth="1"/>
    <col min="8194" max="8194" width="51.7109375" style="32" customWidth="1"/>
    <col min="8195" max="8200" width="0" style="32" hidden="1" customWidth="1"/>
    <col min="8201" max="8201" width="13.42578125" style="32" customWidth="1"/>
    <col min="8202" max="8202" width="13.28515625" style="32" customWidth="1"/>
    <col min="8203" max="8203" width="12.85546875" style="32" customWidth="1"/>
    <col min="8204" max="8204" width="18.5703125" style="32" customWidth="1"/>
    <col min="8205" max="8205" width="9.42578125" style="32" customWidth="1"/>
    <col min="8206" max="8448" width="9.140625" style="32"/>
    <col min="8449" max="8449" width="3.140625" style="32" customWidth="1"/>
    <col min="8450" max="8450" width="51.7109375" style="32" customWidth="1"/>
    <col min="8451" max="8456" width="0" style="32" hidden="1" customWidth="1"/>
    <col min="8457" max="8457" width="13.42578125" style="32" customWidth="1"/>
    <col min="8458" max="8458" width="13.28515625" style="32" customWidth="1"/>
    <col min="8459" max="8459" width="12.85546875" style="32" customWidth="1"/>
    <col min="8460" max="8460" width="18.5703125" style="32" customWidth="1"/>
    <col min="8461" max="8461" width="9.42578125" style="32" customWidth="1"/>
    <col min="8462" max="8704" width="9.140625" style="32"/>
    <col min="8705" max="8705" width="3.140625" style="32" customWidth="1"/>
    <col min="8706" max="8706" width="51.7109375" style="32" customWidth="1"/>
    <col min="8707" max="8712" width="0" style="32" hidden="1" customWidth="1"/>
    <col min="8713" max="8713" width="13.42578125" style="32" customWidth="1"/>
    <col min="8714" max="8714" width="13.28515625" style="32" customWidth="1"/>
    <col min="8715" max="8715" width="12.85546875" style="32" customWidth="1"/>
    <col min="8716" max="8716" width="18.5703125" style="32" customWidth="1"/>
    <col min="8717" max="8717" width="9.42578125" style="32" customWidth="1"/>
    <col min="8718" max="8960" width="9.140625" style="32"/>
    <col min="8961" max="8961" width="3.140625" style="32" customWidth="1"/>
    <col min="8962" max="8962" width="51.7109375" style="32" customWidth="1"/>
    <col min="8963" max="8968" width="0" style="32" hidden="1" customWidth="1"/>
    <col min="8969" max="8969" width="13.42578125" style="32" customWidth="1"/>
    <col min="8970" max="8970" width="13.28515625" style="32" customWidth="1"/>
    <col min="8971" max="8971" width="12.85546875" style="32" customWidth="1"/>
    <col min="8972" max="8972" width="18.5703125" style="32" customWidth="1"/>
    <col min="8973" max="8973" width="9.42578125" style="32" customWidth="1"/>
    <col min="8974" max="9216" width="9.140625" style="32"/>
    <col min="9217" max="9217" width="3.140625" style="32" customWidth="1"/>
    <col min="9218" max="9218" width="51.7109375" style="32" customWidth="1"/>
    <col min="9219" max="9224" width="0" style="32" hidden="1" customWidth="1"/>
    <col min="9225" max="9225" width="13.42578125" style="32" customWidth="1"/>
    <col min="9226" max="9226" width="13.28515625" style="32" customWidth="1"/>
    <col min="9227" max="9227" width="12.85546875" style="32" customWidth="1"/>
    <col min="9228" max="9228" width="18.5703125" style="32" customWidth="1"/>
    <col min="9229" max="9229" width="9.42578125" style="32" customWidth="1"/>
    <col min="9230" max="9472" width="9.140625" style="32"/>
    <col min="9473" max="9473" width="3.140625" style="32" customWidth="1"/>
    <col min="9474" max="9474" width="51.7109375" style="32" customWidth="1"/>
    <col min="9475" max="9480" width="0" style="32" hidden="1" customWidth="1"/>
    <col min="9481" max="9481" width="13.42578125" style="32" customWidth="1"/>
    <col min="9482" max="9482" width="13.28515625" style="32" customWidth="1"/>
    <col min="9483" max="9483" width="12.85546875" style="32" customWidth="1"/>
    <col min="9484" max="9484" width="18.5703125" style="32" customWidth="1"/>
    <col min="9485" max="9485" width="9.42578125" style="32" customWidth="1"/>
    <col min="9486" max="9728" width="9.140625" style="32"/>
    <col min="9729" max="9729" width="3.140625" style="32" customWidth="1"/>
    <col min="9730" max="9730" width="51.7109375" style="32" customWidth="1"/>
    <col min="9731" max="9736" width="0" style="32" hidden="1" customWidth="1"/>
    <col min="9737" max="9737" width="13.42578125" style="32" customWidth="1"/>
    <col min="9738" max="9738" width="13.28515625" style="32" customWidth="1"/>
    <col min="9739" max="9739" width="12.85546875" style="32" customWidth="1"/>
    <col min="9740" max="9740" width="18.5703125" style="32" customWidth="1"/>
    <col min="9741" max="9741" width="9.42578125" style="32" customWidth="1"/>
    <col min="9742" max="9984" width="9.140625" style="32"/>
    <col min="9985" max="9985" width="3.140625" style="32" customWidth="1"/>
    <col min="9986" max="9986" width="51.7109375" style="32" customWidth="1"/>
    <col min="9987" max="9992" width="0" style="32" hidden="1" customWidth="1"/>
    <col min="9993" max="9993" width="13.42578125" style="32" customWidth="1"/>
    <col min="9994" max="9994" width="13.28515625" style="32" customWidth="1"/>
    <col min="9995" max="9995" width="12.85546875" style="32" customWidth="1"/>
    <col min="9996" max="9996" width="18.5703125" style="32" customWidth="1"/>
    <col min="9997" max="9997" width="9.42578125" style="32" customWidth="1"/>
    <col min="9998" max="10240" width="9.140625" style="32"/>
    <col min="10241" max="10241" width="3.140625" style="32" customWidth="1"/>
    <col min="10242" max="10242" width="51.7109375" style="32" customWidth="1"/>
    <col min="10243" max="10248" width="0" style="32" hidden="1" customWidth="1"/>
    <col min="10249" max="10249" width="13.42578125" style="32" customWidth="1"/>
    <col min="10250" max="10250" width="13.28515625" style="32" customWidth="1"/>
    <col min="10251" max="10251" width="12.85546875" style="32" customWidth="1"/>
    <col min="10252" max="10252" width="18.5703125" style="32" customWidth="1"/>
    <col min="10253" max="10253" width="9.42578125" style="32" customWidth="1"/>
    <col min="10254" max="10496" width="9.140625" style="32"/>
    <col min="10497" max="10497" width="3.140625" style="32" customWidth="1"/>
    <col min="10498" max="10498" width="51.7109375" style="32" customWidth="1"/>
    <col min="10499" max="10504" width="0" style="32" hidden="1" customWidth="1"/>
    <col min="10505" max="10505" width="13.42578125" style="32" customWidth="1"/>
    <col min="10506" max="10506" width="13.28515625" style="32" customWidth="1"/>
    <col min="10507" max="10507" width="12.85546875" style="32" customWidth="1"/>
    <col min="10508" max="10508" width="18.5703125" style="32" customWidth="1"/>
    <col min="10509" max="10509" width="9.42578125" style="32" customWidth="1"/>
    <col min="10510" max="10752" width="9.140625" style="32"/>
    <col min="10753" max="10753" width="3.140625" style="32" customWidth="1"/>
    <col min="10754" max="10754" width="51.7109375" style="32" customWidth="1"/>
    <col min="10755" max="10760" width="0" style="32" hidden="1" customWidth="1"/>
    <col min="10761" max="10761" width="13.42578125" style="32" customWidth="1"/>
    <col min="10762" max="10762" width="13.28515625" style="32" customWidth="1"/>
    <col min="10763" max="10763" width="12.85546875" style="32" customWidth="1"/>
    <col min="10764" max="10764" width="18.5703125" style="32" customWidth="1"/>
    <col min="10765" max="10765" width="9.42578125" style="32" customWidth="1"/>
    <col min="10766" max="11008" width="9.140625" style="32"/>
    <col min="11009" max="11009" width="3.140625" style="32" customWidth="1"/>
    <col min="11010" max="11010" width="51.7109375" style="32" customWidth="1"/>
    <col min="11011" max="11016" width="0" style="32" hidden="1" customWidth="1"/>
    <col min="11017" max="11017" width="13.42578125" style="32" customWidth="1"/>
    <col min="11018" max="11018" width="13.28515625" style="32" customWidth="1"/>
    <col min="11019" max="11019" width="12.85546875" style="32" customWidth="1"/>
    <col min="11020" max="11020" width="18.5703125" style="32" customWidth="1"/>
    <col min="11021" max="11021" width="9.42578125" style="32" customWidth="1"/>
    <col min="11022" max="11264" width="9.140625" style="32"/>
    <col min="11265" max="11265" width="3.140625" style="32" customWidth="1"/>
    <col min="11266" max="11266" width="51.7109375" style="32" customWidth="1"/>
    <col min="11267" max="11272" width="0" style="32" hidden="1" customWidth="1"/>
    <col min="11273" max="11273" width="13.42578125" style="32" customWidth="1"/>
    <col min="11274" max="11274" width="13.28515625" style="32" customWidth="1"/>
    <col min="11275" max="11275" width="12.85546875" style="32" customWidth="1"/>
    <col min="11276" max="11276" width="18.5703125" style="32" customWidth="1"/>
    <col min="11277" max="11277" width="9.42578125" style="32" customWidth="1"/>
    <col min="11278" max="11520" width="9.140625" style="32"/>
    <col min="11521" max="11521" width="3.140625" style="32" customWidth="1"/>
    <col min="11522" max="11522" width="51.7109375" style="32" customWidth="1"/>
    <col min="11523" max="11528" width="0" style="32" hidden="1" customWidth="1"/>
    <col min="11529" max="11529" width="13.42578125" style="32" customWidth="1"/>
    <col min="11530" max="11530" width="13.28515625" style="32" customWidth="1"/>
    <col min="11531" max="11531" width="12.85546875" style="32" customWidth="1"/>
    <col min="11532" max="11532" width="18.5703125" style="32" customWidth="1"/>
    <col min="11533" max="11533" width="9.42578125" style="32" customWidth="1"/>
    <col min="11534" max="11776" width="9.140625" style="32"/>
    <col min="11777" max="11777" width="3.140625" style="32" customWidth="1"/>
    <col min="11778" max="11778" width="51.7109375" style="32" customWidth="1"/>
    <col min="11779" max="11784" width="0" style="32" hidden="1" customWidth="1"/>
    <col min="11785" max="11785" width="13.42578125" style="32" customWidth="1"/>
    <col min="11786" max="11786" width="13.28515625" style="32" customWidth="1"/>
    <col min="11787" max="11787" width="12.85546875" style="32" customWidth="1"/>
    <col min="11788" max="11788" width="18.5703125" style="32" customWidth="1"/>
    <col min="11789" max="11789" width="9.42578125" style="32" customWidth="1"/>
    <col min="11790" max="12032" width="9.140625" style="32"/>
    <col min="12033" max="12033" width="3.140625" style="32" customWidth="1"/>
    <col min="12034" max="12034" width="51.7109375" style="32" customWidth="1"/>
    <col min="12035" max="12040" width="0" style="32" hidden="1" customWidth="1"/>
    <col min="12041" max="12041" width="13.42578125" style="32" customWidth="1"/>
    <col min="12042" max="12042" width="13.28515625" style="32" customWidth="1"/>
    <col min="12043" max="12043" width="12.85546875" style="32" customWidth="1"/>
    <col min="12044" max="12044" width="18.5703125" style="32" customWidth="1"/>
    <col min="12045" max="12045" width="9.42578125" style="32" customWidth="1"/>
    <col min="12046" max="12288" width="9.140625" style="32"/>
    <col min="12289" max="12289" width="3.140625" style="32" customWidth="1"/>
    <col min="12290" max="12290" width="51.7109375" style="32" customWidth="1"/>
    <col min="12291" max="12296" width="0" style="32" hidden="1" customWidth="1"/>
    <col min="12297" max="12297" width="13.42578125" style="32" customWidth="1"/>
    <col min="12298" max="12298" width="13.28515625" style="32" customWidth="1"/>
    <col min="12299" max="12299" width="12.85546875" style="32" customWidth="1"/>
    <col min="12300" max="12300" width="18.5703125" style="32" customWidth="1"/>
    <col min="12301" max="12301" width="9.42578125" style="32" customWidth="1"/>
    <col min="12302" max="12544" width="9.140625" style="32"/>
    <col min="12545" max="12545" width="3.140625" style="32" customWidth="1"/>
    <col min="12546" max="12546" width="51.7109375" style="32" customWidth="1"/>
    <col min="12547" max="12552" width="0" style="32" hidden="1" customWidth="1"/>
    <col min="12553" max="12553" width="13.42578125" style="32" customWidth="1"/>
    <col min="12554" max="12554" width="13.28515625" style="32" customWidth="1"/>
    <col min="12555" max="12555" width="12.85546875" style="32" customWidth="1"/>
    <col min="12556" max="12556" width="18.5703125" style="32" customWidth="1"/>
    <col min="12557" max="12557" width="9.42578125" style="32" customWidth="1"/>
    <col min="12558" max="12800" width="9.140625" style="32"/>
    <col min="12801" max="12801" width="3.140625" style="32" customWidth="1"/>
    <col min="12802" max="12802" width="51.7109375" style="32" customWidth="1"/>
    <col min="12803" max="12808" width="0" style="32" hidden="1" customWidth="1"/>
    <col min="12809" max="12809" width="13.42578125" style="32" customWidth="1"/>
    <col min="12810" max="12810" width="13.28515625" style="32" customWidth="1"/>
    <col min="12811" max="12811" width="12.85546875" style="32" customWidth="1"/>
    <col min="12812" max="12812" width="18.5703125" style="32" customWidth="1"/>
    <col min="12813" max="12813" width="9.42578125" style="32" customWidth="1"/>
    <col min="12814" max="13056" width="9.140625" style="32"/>
    <col min="13057" max="13057" width="3.140625" style="32" customWidth="1"/>
    <col min="13058" max="13058" width="51.7109375" style="32" customWidth="1"/>
    <col min="13059" max="13064" width="0" style="32" hidden="1" customWidth="1"/>
    <col min="13065" max="13065" width="13.42578125" style="32" customWidth="1"/>
    <col min="13066" max="13066" width="13.28515625" style="32" customWidth="1"/>
    <col min="13067" max="13067" width="12.85546875" style="32" customWidth="1"/>
    <col min="13068" max="13068" width="18.5703125" style="32" customWidth="1"/>
    <col min="13069" max="13069" width="9.42578125" style="32" customWidth="1"/>
    <col min="13070" max="13312" width="9.140625" style="32"/>
    <col min="13313" max="13313" width="3.140625" style="32" customWidth="1"/>
    <col min="13314" max="13314" width="51.7109375" style="32" customWidth="1"/>
    <col min="13315" max="13320" width="0" style="32" hidden="1" customWidth="1"/>
    <col min="13321" max="13321" width="13.42578125" style="32" customWidth="1"/>
    <col min="13322" max="13322" width="13.28515625" style="32" customWidth="1"/>
    <col min="13323" max="13323" width="12.85546875" style="32" customWidth="1"/>
    <col min="13324" max="13324" width="18.5703125" style="32" customWidth="1"/>
    <col min="13325" max="13325" width="9.42578125" style="32" customWidth="1"/>
    <col min="13326" max="13568" width="9.140625" style="32"/>
    <col min="13569" max="13569" width="3.140625" style="32" customWidth="1"/>
    <col min="13570" max="13570" width="51.7109375" style="32" customWidth="1"/>
    <col min="13571" max="13576" width="0" style="32" hidden="1" customWidth="1"/>
    <col min="13577" max="13577" width="13.42578125" style="32" customWidth="1"/>
    <col min="13578" max="13578" width="13.28515625" style="32" customWidth="1"/>
    <col min="13579" max="13579" width="12.85546875" style="32" customWidth="1"/>
    <col min="13580" max="13580" width="18.5703125" style="32" customWidth="1"/>
    <col min="13581" max="13581" width="9.42578125" style="32" customWidth="1"/>
    <col min="13582" max="13824" width="9.140625" style="32"/>
    <col min="13825" max="13825" width="3.140625" style="32" customWidth="1"/>
    <col min="13826" max="13826" width="51.7109375" style="32" customWidth="1"/>
    <col min="13827" max="13832" width="0" style="32" hidden="1" customWidth="1"/>
    <col min="13833" max="13833" width="13.42578125" style="32" customWidth="1"/>
    <col min="13834" max="13834" width="13.28515625" style="32" customWidth="1"/>
    <col min="13835" max="13835" width="12.85546875" style="32" customWidth="1"/>
    <col min="13836" max="13836" width="18.5703125" style="32" customWidth="1"/>
    <col min="13837" max="13837" width="9.42578125" style="32" customWidth="1"/>
    <col min="13838" max="14080" width="9.140625" style="32"/>
    <col min="14081" max="14081" width="3.140625" style="32" customWidth="1"/>
    <col min="14082" max="14082" width="51.7109375" style="32" customWidth="1"/>
    <col min="14083" max="14088" width="0" style="32" hidden="1" customWidth="1"/>
    <col min="14089" max="14089" width="13.42578125" style="32" customWidth="1"/>
    <col min="14090" max="14090" width="13.28515625" style="32" customWidth="1"/>
    <col min="14091" max="14091" width="12.85546875" style="32" customWidth="1"/>
    <col min="14092" max="14092" width="18.5703125" style="32" customWidth="1"/>
    <col min="14093" max="14093" width="9.42578125" style="32" customWidth="1"/>
    <col min="14094" max="14336" width="9.140625" style="32"/>
    <col min="14337" max="14337" width="3.140625" style="32" customWidth="1"/>
    <col min="14338" max="14338" width="51.7109375" style="32" customWidth="1"/>
    <col min="14339" max="14344" width="0" style="32" hidden="1" customWidth="1"/>
    <col min="14345" max="14345" width="13.42578125" style="32" customWidth="1"/>
    <col min="14346" max="14346" width="13.28515625" style="32" customWidth="1"/>
    <col min="14347" max="14347" width="12.85546875" style="32" customWidth="1"/>
    <col min="14348" max="14348" width="18.5703125" style="32" customWidth="1"/>
    <col min="14349" max="14349" width="9.42578125" style="32" customWidth="1"/>
    <col min="14350" max="14592" width="9.140625" style="32"/>
    <col min="14593" max="14593" width="3.140625" style="32" customWidth="1"/>
    <col min="14594" max="14594" width="51.7109375" style="32" customWidth="1"/>
    <col min="14595" max="14600" width="0" style="32" hidden="1" customWidth="1"/>
    <col min="14601" max="14601" width="13.42578125" style="32" customWidth="1"/>
    <col min="14602" max="14602" width="13.28515625" style="32" customWidth="1"/>
    <col min="14603" max="14603" width="12.85546875" style="32" customWidth="1"/>
    <col min="14604" max="14604" width="18.5703125" style="32" customWidth="1"/>
    <col min="14605" max="14605" width="9.42578125" style="32" customWidth="1"/>
    <col min="14606" max="14848" width="9.140625" style="32"/>
    <col min="14849" max="14849" width="3.140625" style="32" customWidth="1"/>
    <col min="14850" max="14850" width="51.7109375" style="32" customWidth="1"/>
    <col min="14851" max="14856" width="0" style="32" hidden="1" customWidth="1"/>
    <col min="14857" max="14857" width="13.42578125" style="32" customWidth="1"/>
    <col min="14858" max="14858" width="13.28515625" style="32" customWidth="1"/>
    <col min="14859" max="14859" width="12.85546875" style="32" customWidth="1"/>
    <col min="14860" max="14860" width="18.5703125" style="32" customWidth="1"/>
    <col min="14861" max="14861" width="9.42578125" style="32" customWidth="1"/>
    <col min="14862" max="15104" width="9.140625" style="32"/>
    <col min="15105" max="15105" width="3.140625" style="32" customWidth="1"/>
    <col min="15106" max="15106" width="51.7109375" style="32" customWidth="1"/>
    <col min="15107" max="15112" width="0" style="32" hidden="1" customWidth="1"/>
    <col min="15113" max="15113" width="13.42578125" style="32" customWidth="1"/>
    <col min="15114" max="15114" width="13.28515625" style="32" customWidth="1"/>
    <col min="15115" max="15115" width="12.85546875" style="32" customWidth="1"/>
    <col min="15116" max="15116" width="18.5703125" style="32" customWidth="1"/>
    <col min="15117" max="15117" width="9.42578125" style="32" customWidth="1"/>
    <col min="15118" max="15360" width="9.140625" style="32"/>
    <col min="15361" max="15361" width="3.140625" style="32" customWidth="1"/>
    <col min="15362" max="15362" width="51.7109375" style="32" customWidth="1"/>
    <col min="15363" max="15368" width="0" style="32" hidden="1" customWidth="1"/>
    <col min="15369" max="15369" width="13.42578125" style="32" customWidth="1"/>
    <col min="15370" max="15370" width="13.28515625" style="32" customWidth="1"/>
    <col min="15371" max="15371" width="12.85546875" style="32" customWidth="1"/>
    <col min="15372" max="15372" width="18.5703125" style="32" customWidth="1"/>
    <col min="15373" max="15373" width="9.42578125" style="32" customWidth="1"/>
    <col min="15374" max="15616" width="9.140625" style="32"/>
    <col min="15617" max="15617" width="3.140625" style="32" customWidth="1"/>
    <col min="15618" max="15618" width="51.7109375" style="32" customWidth="1"/>
    <col min="15619" max="15624" width="0" style="32" hidden="1" customWidth="1"/>
    <col min="15625" max="15625" width="13.42578125" style="32" customWidth="1"/>
    <col min="15626" max="15626" width="13.28515625" style="32" customWidth="1"/>
    <col min="15627" max="15627" width="12.85546875" style="32" customWidth="1"/>
    <col min="15628" max="15628" width="18.5703125" style="32" customWidth="1"/>
    <col min="15629" max="15629" width="9.42578125" style="32" customWidth="1"/>
    <col min="15630" max="15872" width="9.140625" style="32"/>
    <col min="15873" max="15873" width="3.140625" style="32" customWidth="1"/>
    <col min="15874" max="15874" width="51.7109375" style="32" customWidth="1"/>
    <col min="15875" max="15880" width="0" style="32" hidden="1" customWidth="1"/>
    <col min="15881" max="15881" width="13.42578125" style="32" customWidth="1"/>
    <col min="15882" max="15882" width="13.28515625" style="32" customWidth="1"/>
    <col min="15883" max="15883" width="12.85546875" style="32" customWidth="1"/>
    <col min="15884" max="15884" width="18.5703125" style="32" customWidth="1"/>
    <col min="15885" max="15885" width="9.42578125" style="32" customWidth="1"/>
    <col min="15886" max="16128" width="9.140625" style="32"/>
    <col min="16129" max="16129" width="3.140625" style="32" customWidth="1"/>
    <col min="16130" max="16130" width="51.7109375" style="32" customWidth="1"/>
    <col min="16131" max="16136" width="0" style="32" hidden="1" customWidth="1"/>
    <col min="16137" max="16137" width="13.42578125" style="32" customWidth="1"/>
    <col min="16138" max="16138" width="13.28515625" style="32" customWidth="1"/>
    <col min="16139" max="16139" width="12.85546875" style="32" customWidth="1"/>
    <col min="16140" max="16140" width="18.5703125" style="32" customWidth="1"/>
    <col min="16141" max="16141" width="9.42578125" style="32" customWidth="1"/>
    <col min="16142" max="16384" width="9.140625" style="32"/>
  </cols>
  <sheetData>
    <row r="1" spans="1:17" x14ac:dyDescent="0.25">
      <c r="K1" s="553" t="s">
        <v>1031</v>
      </c>
      <c r="L1" s="553"/>
      <c r="M1" s="553"/>
    </row>
    <row r="2" spans="1:17" x14ac:dyDescent="0.25">
      <c r="K2" s="553" t="s">
        <v>30</v>
      </c>
      <c r="L2" s="553"/>
      <c r="M2" s="553"/>
    </row>
    <row r="3" spans="1:17" x14ac:dyDescent="0.25">
      <c r="K3" s="553" t="s">
        <v>0</v>
      </c>
      <c r="L3" s="553"/>
      <c r="M3" s="553"/>
    </row>
    <row r="4" spans="1:17" x14ac:dyDescent="0.25">
      <c r="K4" s="553" t="s">
        <v>1357</v>
      </c>
      <c r="L4" s="553"/>
      <c r="M4" s="553"/>
    </row>
    <row r="6" spans="1:17" x14ac:dyDescent="0.25">
      <c r="A6" s="554" t="s">
        <v>1136</v>
      </c>
      <c r="B6" s="554"/>
      <c r="C6" s="554"/>
      <c r="D6" s="554"/>
      <c r="E6" s="554"/>
      <c r="F6" s="554"/>
      <c r="G6" s="554"/>
      <c r="H6" s="554"/>
      <c r="I6" s="554"/>
      <c r="J6" s="554"/>
      <c r="K6" s="554"/>
      <c r="L6" s="554"/>
      <c r="M6" s="554"/>
    </row>
    <row r="7" spans="1:17" x14ac:dyDescent="0.25">
      <c r="M7" s="35" t="s">
        <v>1347</v>
      </c>
    </row>
    <row r="8" spans="1:17" x14ac:dyDescent="0.25">
      <c r="A8" s="539"/>
      <c r="B8" s="542" t="s">
        <v>188</v>
      </c>
      <c r="C8" s="545" t="s">
        <v>189</v>
      </c>
      <c r="D8" s="545"/>
      <c r="E8" s="545"/>
      <c r="F8" s="546" t="s">
        <v>190</v>
      </c>
      <c r="G8" s="547"/>
      <c r="H8" s="547"/>
      <c r="I8" s="547"/>
      <c r="J8" s="547"/>
      <c r="K8" s="547"/>
      <c r="L8" s="548" t="s">
        <v>191</v>
      </c>
      <c r="M8" s="548"/>
    </row>
    <row r="9" spans="1:17" x14ac:dyDescent="0.25">
      <c r="A9" s="540"/>
      <c r="B9" s="543"/>
      <c r="C9" s="545" t="s">
        <v>192</v>
      </c>
      <c r="D9" s="545" t="s">
        <v>193</v>
      </c>
      <c r="E9" s="545" t="s">
        <v>1</v>
      </c>
      <c r="F9" s="484" t="s">
        <v>194</v>
      </c>
      <c r="G9" s="485"/>
      <c r="H9" s="486"/>
      <c r="I9" s="549" t="s">
        <v>195</v>
      </c>
      <c r="J9" s="549"/>
      <c r="K9" s="549"/>
      <c r="L9" s="549" t="s">
        <v>196</v>
      </c>
      <c r="M9" s="550" t="s">
        <v>197</v>
      </c>
    </row>
    <row r="10" spans="1:17" x14ac:dyDescent="0.25">
      <c r="A10" s="541"/>
      <c r="B10" s="544"/>
      <c r="C10" s="545"/>
      <c r="D10" s="545"/>
      <c r="E10" s="545"/>
      <c r="F10" s="36">
        <v>2014</v>
      </c>
      <c r="G10" s="37">
        <v>2015</v>
      </c>
      <c r="H10" s="37">
        <v>2016</v>
      </c>
      <c r="I10" s="36">
        <v>2018</v>
      </c>
      <c r="J10" s="37">
        <v>2019</v>
      </c>
      <c r="K10" s="37">
        <v>2020</v>
      </c>
      <c r="L10" s="549"/>
      <c r="M10" s="551"/>
    </row>
    <row r="11" spans="1:17" ht="0.75" customHeight="1" x14ac:dyDescent="0.25">
      <c r="A11" s="324"/>
      <c r="B11" s="537" t="s">
        <v>266</v>
      </c>
      <c r="C11" s="323"/>
      <c r="D11" s="323"/>
      <c r="E11" s="323"/>
      <c r="F11" s="36"/>
      <c r="G11" s="37"/>
      <c r="H11" s="37"/>
      <c r="I11" s="325">
        <f>П6ВСР!Z290</f>
        <v>0</v>
      </c>
      <c r="J11" s="325">
        <f>П6ВСР!AA290</f>
        <v>0</v>
      </c>
      <c r="K11" s="325">
        <f>П6ВСР!AB290</f>
        <v>0</v>
      </c>
      <c r="L11" s="44" t="s">
        <v>31</v>
      </c>
      <c r="M11" s="537" t="s">
        <v>525</v>
      </c>
    </row>
    <row r="12" spans="1:17" ht="47.25" x14ac:dyDescent="0.25">
      <c r="A12" s="38"/>
      <c r="B12" s="552"/>
      <c r="C12" s="40">
        <v>41537</v>
      </c>
      <c r="D12" s="41">
        <v>1159</v>
      </c>
      <c r="E12" s="41" t="s">
        <v>198</v>
      </c>
      <c r="F12" s="42">
        <v>3500000</v>
      </c>
      <c r="G12" s="42">
        <v>4500000</v>
      </c>
      <c r="H12" s="42">
        <v>6000000</v>
      </c>
      <c r="I12" s="42">
        <f>П6ВСР!Z48+П6ВСР!Z84+П6ВСР!Z86+П6ВСР!Z88+П6ВСР!Z90+П6ВСР!Z96+П6ВСР!Z98+П6ВСР!Z163+П6ВСР!Z92+П6ВСР!Z94</f>
        <v>225000</v>
      </c>
      <c r="J12" s="42">
        <f>П6ВСР!AA48+П6ВСР!AA84+П6ВСР!AA86+П6ВСР!AA88+П6ВСР!AA90+П6ВСР!AA96+П6ВСР!AA98+П6ВСР!AA163+П6ВСР!AA92+П6ВСР!AA94</f>
        <v>225000</v>
      </c>
      <c r="K12" s="42">
        <f>П6ВСР!AB48+П6ВСР!AB84+П6ВСР!AB86+П6ВСР!AB88+П6ВСР!AB90+П6ВСР!AB96+П6ВСР!AB98+П6ВСР!AB163+П6ВСР!AB92+П6ВСР!AB94</f>
        <v>225000</v>
      </c>
      <c r="L12" s="44" t="s">
        <v>28</v>
      </c>
      <c r="M12" s="538"/>
      <c r="O12" s="277"/>
      <c r="P12" s="277"/>
      <c r="Q12" s="277"/>
    </row>
    <row r="13" spans="1:17" x14ac:dyDescent="0.25">
      <c r="A13" s="38">
        <v>1</v>
      </c>
      <c r="B13" s="45" t="s">
        <v>199</v>
      </c>
      <c r="C13" s="45"/>
      <c r="D13" s="45"/>
      <c r="E13" s="46"/>
      <c r="F13" s="47">
        <f>SUM(F12:F12)</f>
        <v>3500000</v>
      </c>
      <c r="G13" s="47">
        <f>SUM(G12:G12)</f>
        <v>4500000</v>
      </c>
      <c r="H13" s="47">
        <f>H12</f>
        <v>6000000</v>
      </c>
      <c r="I13" s="47">
        <f>I12+I11</f>
        <v>225000</v>
      </c>
      <c r="J13" s="47">
        <f>J12</f>
        <v>225000</v>
      </c>
      <c r="K13" s="47">
        <f>SUM(K12:K12)</f>
        <v>225000</v>
      </c>
      <c r="L13" s="48"/>
      <c r="M13" s="552"/>
      <c r="O13" s="277"/>
      <c r="P13" s="277"/>
      <c r="Q13" s="277"/>
    </row>
    <row r="14" spans="1:17" ht="47.25" x14ac:dyDescent="0.25">
      <c r="A14" s="36"/>
      <c r="B14" s="39" t="s">
        <v>263</v>
      </c>
      <c r="C14" s="49">
        <v>40533</v>
      </c>
      <c r="D14" s="39">
        <v>1496</v>
      </c>
      <c r="E14" s="41" t="s">
        <v>198</v>
      </c>
      <c r="F14" s="42">
        <v>1142460</v>
      </c>
      <c r="G14" s="42">
        <v>0</v>
      </c>
      <c r="H14" s="42">
        <v>0</v>
      </c>
      <c r="I14" s="43">
        <f>П6ВСР!Z231</f>
        <v>50000</v>
      </c>
      <c r="J14" s="43">
        <f>П6ВСР!AA231</f>
        <v>100000</v>
      </c>
      <c r="K14" s="43">
        <f>П6ВСР!AB231</f>
        <v>50000</v>
      </c>
      <c r="L14" s="44" t="s">
        <v>28</v>
      </c>
      <c r="M14" s="537" t="s">
        <v>526</v>
      </c>
      <c r="O14" s="277"/>
      <c r="P14" s="277"/>
      <c r="Q14" s="277"/>
    </row>
    <row r="15" spans="1:17" x14ac:dyDescent="0.25">
      <c r="A15" s="36">
        <v>2</v>
      </c>
      <c r="B15" s="45" t="s">
        <v>199</v>
      </c>
      <c r="C15" s="45"/>
      <c r="D15" s="45"/>
      <c r="E15" s="46"/>
      <c r="F15" s="47">
        <f t="shared" ref="F15:K15" si="0">SUM(F14:F14)</f>
        <v>1142460</v>
      </c>
      <c r="G15" s="47">
        <f t="shared" si="0"/>
        <v>0</v>
      </c>
      <c r="H15" s="47">
        <f t="shared" si="0"/>
        <v>0</v>
      </c>
      <c r="I15" s="47">
        <f t="shared" si="0"/>
        <v>50000</v>
      </c>
      <c r="J15" s="47">
        <f t="shared" si="0"/>
        <v>100000</v>
      </c>
      <c r="K15" s="47">
        <f t="shared" si="0"/>
        <v>50000</v>
      </c>
      <c r="L15" s="48"/>
      <c r="M15" s="552"/>
      <c r="O15" s="277"/>
      <c r="P15" s="277"/>
      <c r="Q15" s="277"/>
    </row>
    <row r="16" spans="1:17" ht="63" x14ac:dyDescent="0.25">
      <c r="A16" s="36"/>
      <c r="B16" s="537" t="s">
        <v>269</v>
      </c>
      <c r="C16" s="186"/>
      <c r="D16" s="186"/>
      <c r="E16" s="187"/>
      <c r="F16" s="47"/>
      <c r="G16" s="47"/>
      <c r="H16" s="47"/>
      <c r="I16" s="42">
        <f>П6ВСР!Z460+П6ВСР!Z462+П6ВСР!Z464</f>
        <v>19427645.470000003</v>
      </c>
      <c r="J16" s="42">
        <f>П6ВСР!AA460+П6ВСР!AA462+П6ВСР!AA464</f>
        <v>19427645.470000003</v>
      </c>
      <c r="K16" s="42">
        <f>П6ВСР!AB460+П6ВСР!AB462+П6ВСР!AB464</f>
        <v>19427645.470000003</v>
      </c>
      <c r="L16" s="44" t="s">
        <v>521</v>
      </c>
      <c r="M16" s="537" t="s">
        <v>527</v>
      </c>
      <c r="O16" s="277"/>
    </row>
    <row r="17" spans="1:15" ht="78.75" hidden="1" x14ac:dyDescent="0.25">
      <c r="A17" s="36"/>
      <c r="B17" s="538"/>
      <c r="C17" s="186"/>
      <c r="D17" s="186"/>
      <c r="E17" s="187"/>
      <c r="F17" s="47"/>
      <c r="G17" s="47"/>
      <c r="H17" s="47"/>
      <c r="I17" s="42">
        <f>П6ВСР!Z333</f>
        <v>0</v>
      </c>
      <c r="J17" s="42">
        <v>0</v>
      </c>
      <c r="K17" s="42">
        <v>0</v>
      </c>
      <c r="L17" s="44" t="s">
        <v>31</v>
      </c>
      <c r="M17" s="538"/>
      <c r="O17" s="277"/>
    </row>
    <row r="18" spans="1:15" ht="47.25" x14ac:dyDescent="0.25">
      <c r="A18" s="38"/>
      <c r="B18" s="552"/>
      <c r="C18" s="40">
        <v>41537</v>
      </c>
      <c r="D18" s="41">
        <v>1161</v>
      </c>
      <c r="E18" s="41" t="s">
        <v>198</v>
      </c>
      <c r="F18" s="42">
        <v>5000000</v>
      </c>
      <c r="G18" s="42">
        <v>7000000</v>
      </c>
      <c r="H18" s="42">
        <v>9000000</v>
      </c>
      <c r="I18" s="42">
        <f>П6ВСР!Z24+П6ВСР!Z209+П6ВСР!Z211+П6ВСР!Z213+П6ВСР!Z215</f>
        <v>600000</v>
      </c>
      <c r="J18" s="42">
        <f>П6ВСР!AA24+П6ВСР!AA209+П6ВСР!AA211+П6ВСР!AA213+П6ВСР!AA215</f>
        <v>600000</v>
      </c>
      <c r="K18" s="42">
        <f>П6ВСР!AB24+П6ВСР!AB209+П6ВСР!AB211+П6ВСР!AB213+П6ВСР!AB215</f>
        <v>150000</v>
      </c>
      <c r="L18" s="44" t="s">
        <v>28</v>
      </c>
      <c r="M18" s="538"/>
      <c r="O18" s="277"/>
    </row>
    <row r="19" spans="1:15" x14ac:dyDescent="0.25">
      <c r="A19" s="38">
        <v>3</v>
      </c>
      <c r="B19" s="45" t="s">
        <v>199</v>
      </c>
      <c r="C19" s="45"/>
      <c r="D19" s="45"/>
      <c r="E19" s="46"/>
      <c r="F19" s="47">
        <f t="shared" ref="F19:H19" si="1">SUM(F18:F18)</f>
        <v>5000000</v>
      </c>
      <c r="G19" s="47">
        <f t="shared" si="1"/>
        <v>7000000</v>
      </c>
      <c r="H19" s="47">
        <f t="shared" si="1"/>
        <v>9000000</v>
      </c>
      <c r="I19" s="47">
        <f>I16+I18+I17</f>
        <v>20027645.470000003</v>
      </c>
      <c r="J19" s="47">
        <f>J16+J18</f>
        <v>20027645.470000003</v>
      </c>
      <c r="K19" s="47">
        <f>K16+K18</f>
        <v>19577645.470000003</v>
      </c>
      <c r="L19" s="48"/>
      <c r="M19" s="410"/>
    </row>
    <row r="20" spans="1:15" ht="46.5" customHeight="1" x14ac:dyDescent="0.25">
      <c r="A20" s="38"/>
      <c r="B20" s="534" t="s">
        <v>268</v>
      </c>
      <c r="C20" s="50">
        <v>41540</v>
      </c>
      <c r="D20" s="37">
        <v>1181</v>
      </c>
      <c r="E20" s="41" t="s">
        <v>198</v>
      </c>
      <c r="F20" s="42">
        <v>100000</v>
      </c>
      <c r="G20" s="42">
        <v>100000</v>
      </c>
      <c r="H20" s="42">
        <v>100000</v>
      </c>
      <c r="I20" s="43">
        <f>П6ВСР!Z80+П6ВСР!Z107+П6ВСР!Z109+П6ВСР!Z170+П6ВСР!Z172+П6ВСР!Z174</f>
        <v>2100000</v>
      </c>
      <c r="J20" s="43">
        <f>П6ВСР!AA80+П6ВСР!AA107+П6ВСР!AA109+П6ВСР!AA170+П6ВСР!AA172+П6ВСР!AA174</f>
        <v>579990</v>
      </c>
      <c r="K20" s="43">
        <f>П6ВСР!AB80+П6ВСР!AB107+П6ВСР!AB109+П6ВСР!AB170+П6ВСР!AB172+П6ВСР!AB174</f>
        <v>400000</v>
      </c>
      <c r="L20" s="44" t="s">
        <v>28</v>
      </c>
      <c r="M20" s="537" t="s">
        <v>528</v>
      </c>
      <c r="O20" s="277"/>
    </row>
    <row r="21" spans="1:15" ht="78.75" hidden="1" customHeight="1" x14ac:dyDescent="0.25">
      <c r="A21" s="51"/>
      <c r="B21" s="536"/>
      <c r="C21" s="50"/>
      <c r="D21" s="37"/>
      <c r="E21" s="287"/>
      <c r="F21" s="42"/>
      <c r="G21" s="42"/>
      <c r="H21" s="42"/>
      <c r="I21" s="43">
        <f>П6ВСР!Z305+П6ВСР!Z316</f>
        <v>0</v>
      </c>
      <c r="J21" s="43">
        <f>П6ВСР!AA305+П6ВСР!AA316</f>
        <v>0</v>
      </c>
      <c r="K21" s="43">
        <f>П6ВСР!AB305+П6ВСР!AB316</f>
        <v>0</v>
      </c>
      <c r="L21" s="44" t="s">
        <v>31</v>
      </c>
      <c r="M21" s="538"/>
      <c r="O21" s="277"/>
    </row>
    <row r="22" spans="1:15" x14ac:dyDescent="0.25">
      <c r="A22" s="51">
        <v>4</v>
      </c>
      <c r="B22" s="45" t="s">
        <v>199</v>
      </c>
      <c r="C22" s="37"/>
      <c r="D22" s="37"/>
      <c r="E22" s="41"/>
      <c r="F22" s="47">
        <f t="shared" ref="F22:K22" si="2">SUM(F20)</f>
        <v>100000</v>
      </c>
      <c r="G22" s="47">
        <f t="shared" si="2"/>
        <v>100000</v>
      </c>
      <c r="H22" s="47">
        <f t="shared" si="2"/>
        <v>100000</v>
      </c>
      <c r="I22" s="47">
        <f>SUM(I20)+I21</f>
        <v>2100000</v>
      </c>
      <c r="J22" s="47">
        <f t="shared" si="2"/>
        <v>579990</v>
      </c>
      <c r="K22" s="47">
        <f t="shared" si="2"/>
        <v>400000</v>
      </c>
      <c r="L22" s="52"/>
      <c r="M22" s="409"/>
    </row>
    <row r="23" spans="1:15" ht="47.25" customHeight="1" x14ac:dyDescent="0.25">
      <c r="A23" s="51"/>
      <c r="B23" s="534" t="s">
        <v>267</v>
      </c>
      <c r="C23" s="37"/>
      <c r="D23" s="37"/>
      <c r="E23" s="185"/>
      <c r="F23" s="47"/>
      <c r="G23" s="47"/>
      <c r="H23" s="47"/>
      <c r="I23" s="42">
        <f>П6ВСР!Z165+П6ВСР!Z153</f>
        <v>10700000</v>
      </c>
      <c r="J23" s="42">
        <f>П6ВСР!AA165+П6ВСР!AA153</f>
        <v>14207536.140000001</v>
      </c>
      <c r="K23" s="42">
        <f>П6ВСР!AB165+П6ВСР!AB153</f>
        <v>25116768</v>
      </c>
      <c r="L23" s="44" t="s">
        <v>28</v>
      </c>
      <c r="M23" s="538" t="s">
        <v>529</v>
      </c>
    </row>
    <row r="24" spans="1:15" ht="78.75" x14ac:dyDescent="0.25">
      <c r="A24" s="53"/>
      <c r="B24" s="535"/>
      <c r="C24" s="50">
        <v>40564</v>
      </c>
      <c r="D24" s="37">
        <v>75</v>
      </c>
      <c r="E24" s="54" t="s">
        <v>198</v>
      </c>
      <c r="F24" s="42">
        <v>2674000</v>
      </c>
      <c r="G24" s="42">
        <v>2684000</v>
      </c>
      <c r="H24" s="42">
        <v>0</v>
      </c>
      <c r="I24" s="43">
        <f>П6ВСР!Z345+П6ВСР!Z358+П6ВСР!Z347+П6ВСР!Z360</f>
        <v>1300000</v>
      </c>
      <c r="J24" s="43">
        <f>П6ВСР!AA345+П6ВСР!AA358+П6ВСР!AA347+П6ВСР!AA360</f>
        <v>2592000</v>
      </c>
      <c r="K24" s="43">
        <f>П6ВСР!AB345+П6ВСР!AB358+П6ВСР!AB347+П6ВСР!AB360</f>
        <v>600000</v>
      </c>
      <c r="L24" s="55" t="s">
        <v>806</v>
      </c>
      <c r="M24" s="538"/>
    </row>
    <row r="25" spans="1:15" ht="78.75" hidden="1" customHeight="1" x14ac:dyDescent="0.25">
      <c r="A25" s="272"/>
      <c r="B25" s="536"/>
      <c r="C25" s="50"/>
      <c r="D25" s="37"/>
      <c r="E25" s="273"/>
      <c r="F25" s="42"/>
      <c r="G25" s="42"/>
      <c r="H25" s="42"/>
      <c r="I25" s="43">
        <f>П6ВСР!Z295</f>
        <v>0</v>
      </c>
      <c r="J25" s="43">
        <f>П6ВСР!AA295</f>
        <v>0</v>
      </c>
      <c r="K25" s="43">
        <f>П6ВСР!AB295</f>
        <v>0</v>
      </c>
      <c r="L25" s="44" t="s">
        <v>31</v>
      </c>
      <c r="M25" s="538"/>
    </row>
    <row r="26" spans="1:15" x14ac:dyDescent="0.25">
      <c r="A26" s="36">
        <v>5</v>
      </c>
      <c r="B26" s="45" t="s">
        <v>199</v>
      </c>
      <c r="C26" s="45"/>
      <c r="D26" s="45"/>
      <c r="E26" s="46"/>
      <c r="F26" s="47">
        <f t="shared" ref="F26:H26" si="3">SUM(F24)</f>
        <v>2674000</v>
      </c>
      <c r="G26" s="47">
        <f t="shared" si="3"/>
        <v>2684000</v>
      </c>
      <c r="H26" s="47">
        <f t="shared" si="3"/>
        <v>0</v>
      </c>
      <c r="I26" s="47">
        <f>I23+I24+I25</f>
        <v>12000000</v>
      </c>
      <c r="J26" s="47">
        <f>J23+J24</f>
        <v>16799536.140000001</v>
      </c>
      <c r="K26" s="47">
        <f>K23+K24</f>
        <v>25716768</v>
      </c>
      <c r="L26" s="48"/>
      <c r="M26" s="552"/>
    </row>
    <row r="27" spans="1:15" ht="47.25" x14ac:dyDescent="0.25">
      <c r="A27" s="53"/>
      <c r="B27" s="37" t="s">
        <v>270</v>
      </c>
      <c r="C27" s="50">
        <v>39800</v>
      </c>
      <c r="D27" s="37">
        <v>978</v>
      </c>
      <c r="E27" s="54" t="s">
        <v>200</v>
      </c>
      <c r="F27" s="42">
        <v>23996000</v>
      </c>
      <c r="G27" s="42">
        <v>22033000</v>
      </c>
      <c r="H27" s="42">
        <v>0</v>
      </c>
      <c r="I27" s="42">
        <f>П6ВСР!Z191</f>
        <v>70000</v>
      </c>
      <c r="J27" s="42">
        <f>П6ВСР!AA191</f>
        <v>50000</v>
      </c>
      <c r="K27" s="42">
        <f>П6ВСР!AB191</f>
        <v>50000</v>
      </c>
      <c r="L27" s="55" t="s">
        <v>28</v>
      </c>
      <c r="M27" s="537" t="s">
        <v>530</v>
      </c>
    </row>
    <row r="28" spans="1:15" x14ac:dyDescent="0.25">
      <c r="A28" s="36">
        <v>6</v>
      </c>
      <c r="B28" s="45" t="s">
        <v>199</v>
      </c>
      <c r="C28" s="45"/>
      <c r="D28" s="45"/>
      <c r="E28" s="46"/>
      <c r="F28" s="47">
        <f t="shared" ref="F28:K28" si="4">F27</f>
        <v>23996000</v>
      </c>
      <c r="G28" s="47">
        <f t="shared" si="4"/>
        <v>22033000</v>
      </c>
      <c r="H28" s="47">
        <f t="shared" si="4"/>
        <v>0</v>
      </c>
      <c r="I28" s="47">
        <f t="shared" si="4"/>
        <v>70000</v>
      </c>
      <c r="J28" s="47">
        <f t="shared" si="4"/>
        <v>50000</v>
      </c>
      <c r="K28" s="47">
        <f t="shared" si="4"/>
        <v>50000</v>
      </c>
      <c r="L28" s="56"/>
      <c r="M28" s="552"/>
    </row>
    <row r="29" spans="1:15" ht="47.25" x14ac:dyDescent="0.25">
      <c r="A29" s="36"/>
      <c r="B29" s="37" t="s">
        <v>272</v>
      </c>
      <c r="C29" s="50">
        <v>41176</v>
      </c>
      <c r="D29" s="57">
        <v>1127</v>
      </c>
      <c r="E29" s="58" t="s">
        <v>198</v>
      </c>
      <c r="F29" s="42">
        <v>1033000</v>
      </c>
      <c r="G29" s="42">
        <v>1083000</v>
      </c>
      <c r="H29" s="42">
        <v>1133000</v>
      </c>
      <c r="I29" s="42">
        <f>П6ВСР!Z154+П6ВСР!Z156+П6ВСР!Z237+П6ВСР!Z233+П6ВСР!Z158</f>
        <v>38775774.559999995</v>
      </c>
      <c r="J29" s="42">
        <f>П6ВСР!AA154+П6ВСР!AA156+П6ВСР!AA237+П6ВСР!AA233+П6ВСР!AA158</f>
        <v>13729536</v>
      </c>
      <c r="K29" s="42">
        <f>П6ВСР!AB154+П6ВСР!AB156+П6ВСР!AB237+П6ВСР!AB233+П6ВСР!AB158</f>
        <v>25561688.739999998</v>
      </c>
      <c r="L29" s="44" t="s">
        <v>28</v>
      </c>
      <c r="M29" s="537" t="s">
        <v>531</v>
      </c>
    </row>
    <row r="30" spans="1:15" x14ac:dyDescent="0.25">
      <c r="A30" s="36">
        <v>7</v>
      </c>
      <c r="B30" s="45" t="s">
        <v>199</v>
      </c>
      <c r="C30" s="45"/>
      <c r="D30" s="45"/>
      <c r="E30" s="54"/>
      <c r="F30" s="47">
        <f t="shared" ref="F30:K30" si="5">SUM(F29)</f>
        <v>1033000</v>
      </c>
      <c r="G30" s="47">
        <f t="shared" si="5"/>
        <v>1083000</v>
      </c>
      <c r="H30" s="47">
        <f t="shared" si="5"/>
        <v>1133000</v>
      </c>
      <c r="I30" s="47">
        <f t="shared" si="5"/>
        <v>38775774.559999995</v>
      </c>
      <c r="J30" s="47">
        <f t="shared" si="5"/>
        <v>13729536</v>
      </c>
      <c r="K30" s="47">
        <f t="shared" si="5"/>
        <v>25561688.739999998</v>
      </c>
      <c r="L30" s="48"/>
      <c r="M30" s="552"/>
    </row>
    <row r="31" spans="1:15" ht="47.25" x14ac:dyDescent="0.25">
      <c r="A31" s="36"/>
      <c r="B31" s="37" t="s">
        <v>271</v>
      </c>
      <c r="C31" s="50">
        <v>41540</v>
      </c>
      <c r="D31" s="37">
        <v>1188</v>
      </c>
      <c r="E31" s="54" t="s">
        <v>198</v>
      </c>
      <c r="F31" s="42">
        <v>500000</v>
      </c>
      <c r="G31" s="42">
        <v>600000</v>
      </c>
      <c r="H31" s="42">
        <v>800000</v>
      </c>
      <c r="I31" s="42">
        <f>П6ВСР!Z102+П6ВСР!Z104+П6ВСР!Z142+П6ВСР!Z144+П6ВСР!Z146+П6ВСР!Z148</f>
        <v>320000</v>
      </c>
      <c r="J31" s="42">
        <f>П6ВСР!AA102+П6ВСР!AA104+П6ВСР!AA142+П6ВСР!AA144+П6ВСР!AA146+П6ВСР!AA148</f>
        <v>200000</v>
      </c>
      <c r="K31" s="42">
        <f>П6ВСР!AB102+П6ВСР!AB104+П6ВСР!AB142+П6ВСР!AB144+П6ВСР!AB146+П6ВСР!AB148</f>
        <v>200000</v>
      </c>
      <c r="L31" s="44" t="s">
        <v>28</v>
      </c>
      <c r="M31" s="537" t="s">
        <v>532</v>
      </c>
    </row>
    <row r="32" spans="1:15" x14ac:dyDescent="0.25">
      <c r="A32" s="36">
        <v>8</v>
      </c>
      <c r="B32" s="45" t="s">
        <v>199</v>
      </c>
      <c r="C32" s="45"/>
      <c r="D32" s="45"/>
      <c r="E32" s="54"/>
      <c r="F32" s="47">
        <f t="shared" ref="F32:K32" si="6">SUM(F31)</f>
        <v>500000</v>
      </c>
      <c r="G32" s="47">
        <f t="shared" si="6"/>
        <v>600000</v>
      </c>
      <c r="H32" s="47">
        <f t="shared" si="6"/>
        <v>800000</v>
      </c>
      <c r="I32" s="47">
        <f t="shared" si="6"/>
        <v>320000</v>
      </c>
      <c r="J32" s="47">
        <f t="shared" si="6"/>
        <v>200000</v>
      </c>
      <c r="K32" s="47">
        <f t="shared" si="6"/>
        <v>200000</v>
      </c>
      <c r="L32" s="48"/>
      <c r="M32" s="552"/>
    </row>
    <row r="33" spans="1:13" ht="47.25" x14ac:dyDescent="0.25">
      <c r="A33" s="36"/>
      <c r="B33" s="59" t="s">
        <v>265</v>
      </c>
      <c r="C33" s="40">
        <v>41537</v>
      </c>
      <c r="D33" s="41">
        <v>1167</v>
      </c>
      <c r="E33" s="41" t="s">
        <v>200</v>
      </c>
      <c r="F33" s="42">
        <v>50000</v>
      </c>
      <c r="G33" s="42">
        <v>100000</v>
      </c>
      <c r="H33" s="42">
        <v>150000</v>
      </c>
      <c r="I33" s="42">
        <f>П6ВСР!Z253+П6ВСР!Z255+П6ВСР!Z258+П6ВСР!Z260+П6ВСР!Z262</f>
        <v>1150000.0000000002</v>
      </c>
      <c r="J33" s="42">
        <f>П6ВСР!AA253+П6ВСР!AA255+П6ВСР!AA258+П6ВСР!AA260+П6ВСР!AA262</f>
        <v>950000</v>
      </c>
      <c r="K33" s="42">
        <f>П6ВСР!AB253+П6ВСР!AB255+П6ВСР!AB258+П6ВСР!AB260+П6ВСР!AB262</f>
        <v>250000</v>
      </c>
      <c r="L33" s="44" t="s">
        <v>28</v>
      </c>
      <c r="M33" s="537" t="s">
        <v>533</v>
      </c>
    </row>
    <row r="34" spans="1:13" x14ac:dyDescent="0.25">
      <c r="A34" s="36">
        <v>9</v>
      </c>
      <c r="B34" s="45" t="s">
        <v>199</v>
      </c>
      <c r="C34" s="45"/>
      <c r="D34" s="45"/>
      <c r="E34" s="54"/>
      <c r="F34" s="47">
        <f t="shared" ref="F34:K34" si="7">SUM(F33:F33)</f>
        <v>50000</v>
      </c>
      <c r="G34" s="47">
        <f t="shared" si="7"/>
        <v>100000</v>
      </c>
      <c r="H34" s="47">
        <f t="shared" si="7"/>
        <v>150000</v>
      </c>
      <c r="I34" s="47">
        <f t="shared" si="7"/>
        <v>1150000.0000000002</v>
      </c>
      <c r="J34" s="47">
        <f t="shared" si="7"/>
        <v>950000</v>
      </c>
      <c r="K34" s="47">
        <f t="shared" si="7"/>
        <v>250000</v>
      </c>
      <c r="L34" s="48"/>
      <c r="M34" s="552"/>
    </row>
    <row r="35" spans="1:13" ht="47.25" x14ac:dyDescent="0.25">
      <c r="A35" s="539"/>
      <c r="B35" s="537" t="s">
        <v>273</v>
      </c>
      <c r="C35" s="555">
        <v>41537</v>
      </c>
      <c r="D35" s="558">
        <v>1165</v>
      </c>
      <c r="E35" s="550" t="s">
        <v>200</v>
      </c>
      <c r="F35" s="42">
        <v>2000000</v>
      </c>
      <c r="G35" s="42">
        <v>2700000</v>
      </c>
      <c r="H35" s="42">
        <v>3000000</v>
      </c>
      <c r="I35" s="42">
        <f>П6ВСР!Z26+П6ВСР!Z45+П6ВСР!Z50+П6ВСР!Z239+П6ВСР!Z43+П6ВСР!Z54+П6ВСР!Z52</f>
        <v>47349872.530000001</v>
      </c>
      <c r="J35" s="42">
        <f>П6ВСР!AA26+П6ВСР!AA45+П6ВСР!AA50+П6ВСР!AA239+П6ВСР!AA43+П6ВСР!AA54+П6ВСР!AA52</f>
        <v>47362850.829999998</v>
      </c>
      <c r="K35" s="42">
        <f>П6ВСР!AB26+П6ВСР!AB45+П6ВСР!AB50+П6ВСР!AB239+П6ВСР!AB43+П6ВСР!AB54+П6ВСР!AB52</f>
        <v>47701714.990000002</v>
      </c>
      <c r="L35" s="60" t="s">
        <v>28</v>
      </c>
      <c r="M35" s="537" t="s">
        <v>534</v>
      </c>
    </row>
    <row r="36" spans="1:13" ht="63" x14ac:dyDescent="0.25">
      <c r="A36" s="540"/>
      <c r="B36" s="538"/>
      <c r="C36" s="556"/>
      <c r="D36" s="559"/>
      <c r="E36" s="560"/>
      <c r="F36" s="42"/>
      <c r="G36" s="42"/>
      <c r="H36" s="42"/>
      <c r="I36" s="42">
        <f>П6ВСР!Z438+П6ВСР!Z442+П6ВСР!Z445</f>
        <v>9351117.3499999996</v>
      </c>
      <c r="J36" s="42">
        <f>П6ВСР!AA438+П6ВСР!AA442+П6ВСР!AA445</f>
        <v>9366781.8100000005</v>
      </c>
      <c r="K36" s="42">
        <f>П6ВСР!AB438+П6ВСР!AB442+П6ВСР!AB445</f>
        <v>9366781.8100000005</v>
      </c>
      <c r="L36" s="44" t="s">
        <v>521</v>
      </c>
      <c r="M36" s="538"/>
    </row>
    <row r="37" spans="1:13" ht="78.75" x14ac:dyDescent="0.25">
      <c r="A37" s="541"/>
      <c r="B37" s="552"/>
      <c r="C37" s="557"/>
      <c r="D37" s="557"/>
      <c r="E37" s="551"/>
      <c r="F37" s="42">
        <v>15000</v>
      </c>
      <c r="G37" s="42">
        <v>15000</v>
      </c>
      <c r="H37" s="42">
        <v>15000</v>
      </c>
      <c r="I37" s="42">
        <f>П6ВСР!Z270+П6ВСР!Z274+П6ВСР!Z340</f>
        <v>31792270.77</v>
      </c>
      <c r="J37" s="42">
        <f>П6ВСР!AA270+П6ВСР!AA274+П6ВСР!AA340</f>
        <v>31792270.77</v>
      </c>
      <c r="K37" s="42">
        <f>П6ВСР!AB270+П6ВСР!AB274+П6ВСР!AB340</f>
        <v>31792270.77</v>
      </c>
      <c r="L37" s="44" t="s">
        <v>31</v>
      </c>
      <c r="M37" s="538"/>
    </row>
    <row r="38" spans="1:13" x14ac:dyDescent="0.25">
      <c r="A38" s="36">
        <v>10</v>
      </c>
      <c r="B38" s="45" t="s">
        <v>199</v>
      </c>
      <c r="C38" s="45"/>
      <c r="D38" s="45"/>
      <c r="E38" s="54"/>
      <c r="F38" s="47">
        <f t="shared" ref="F38:K38" si="8">SUM(F35:F37)</f>
        <v>2015000</v>
      </c>
      <c r="G38" s="47">
        <f t="shared" si="8"/>
        <v>2715000</v>
      </c>
      <c r="H38" s="47">
        <f t="shared" si="8"/>
        <v>3015000</v>
      </c>
      <c r="I38" s="47">
        <f t="shared" si="8"/>
        <v>88493260.650000006</v>
      </c>
      <c r="J38" s="47">
        <f t="shared" si="8"/>
        <v>88521903.409999996</v>
      </c>
      <c r="K38" s="47">
        <f t="shared" si="8"/>
        <v>88860767.570000008</v>
      </c>
      <c r="L38" s="48"/>
      <c r="M38" s="410"/>
    </row>
    <row r="39" spans="1:13" ht="63" x14ac:dyDescent="0.25">
      <c r="A39" s="36"/>
      <c r="B39" s="534" t="s">
        <v>274</v>
      </c>
      <c r="C39" s="45"/>
      <c r="D39" s="45"/>
      <c r="E39" s="135"/>
      <c r="F39" s="47"/>
      <c r="G39" s="47"/>
      <c r="H39" s="47"/>
      <c r="I39" s="42">
        <f>П6ВСР!Z449</f>
        <v>2893253.6</v>
      </c>
      <c r="J39" s="42">
        <f>П6ВСР!AA449</f>
        <v>2914339.99</v>
      </c>
      <c r="K39" s="42">
        <f>П6ВСР!AB449</f>
        <v>2914339.99</v>
      </c>
      <c r="L39" s="44" t="s">
        <v>521</v>
      </c>
      <c r="M39" s="537" t="s">
        <v>535</v>
      </c>
    </row>
    <row r="40" spans="1:13" ht="81" customHeight="1" x14ac:dyDescent="0.25">
      <c r="A40" s="36"/>
      <c r="B40" s="535"/>
      <c r="C40" s="45"/>
      <c r="D40" s="45"/>
      <c r="E40" s="134"/>
      <c r="F40" s="47"/>
      <c r="G40" s="47"/>
      <c r="H40" s="47"/>
      <c r="I40" s="42">
        <f>П6ВСР!Z362</f>
        <v>200000</v>
      </c>
      <c r="J40" s="42">
        <f>П6ВСР!AA362</f>
        <v>209200</v>
      </c>
      <c r="K40" s="42">
        <f>П6ВСР!AB362</f>
        <v>100000</v>
      </c>
      <c r="L40" s="44" t="s">
        <v>806</v>
      </c>
      <c r="M40" s="538"/>
    </row>
    <row r="41" spans="1:13" ht="47.25" x14ac:dyDescent="0.25">
      <c r="A41" s="36"/>
      <c r="B41" s="536"/>
      <c r="C41" s="50">
        <v>41176</v>
      </c>
      <c r="D41" s="57">
        <v>1126</v>
      </c>
      <c r="E41" s="50" t="s">
        <v>198</v>
      </c>
      <c r="F41" s="42">
        <v>2670405</v>
      </c>
      <c r="G41" s="42">
        <v>0</v>
      </c>
      <c r="H41" s="42">
        <v>0</v>
      </c>
      <c r="I41" s="42">
        <f>П6ВСР!Z71+П6ВСР!Z75+П6ВСР!Z193+П6ВСР!Z195+П6ВСР!Z197+П6ВСР!Z73+П6ВСР!Z199</f>
        <v>5740000</v>
      </c>
      <c r="J41" s="42">
        <f>П6ВСР!AA71+П6ВСР!AA75+П6ВСР!AA193+П6ВСР!AA195+П6ВСР!AA197+П6ВСР!AA73+П6ВСР!AA199</f>
        <v>633000</v>
      </c>
      <c r="K41" s="42">
        <f>П6ВСР!AB71+П6ВСР!AB75+П6ВСР!AB193+П6ВСР!AB195+П6ВСР!AB197+П6ВСР!AB73+П6ВСР!AB199</f>
        <v>653000</v>
      </c>
      <c r="L41" s="44" t="s">
        <v>28</v>
      </c>
      <c r="M41" s="538"/>
    </row>
    <row r="42" spans="1:13" x14ac:dyDescent="0.25">
      <c r="A42" s="36">
        <v>11</v>
      </c>
      <c r="B42" s="45" t="s">
        <v>199</v>
      </c>
      <c r="C42" s="45"/>
      <c r="D42" s="45"/>
      <c r="E42" s="54"/>
      <c r="F42" s="47">
        <f>SUM(F41)</f>
        <v>2670405</v>
      </c>
      <c r="G42" s="47">
        <f>SUM(G41)</f>
        <v>0</v>
      </c>
      <c r="H42" s="47">
        <f>SUM(H41)</f>
        <v>0</v>
      </c>
      <c r="I42" s="47">
        <f>I39+I40+I41</f>
        <v>8833253.5999999996</v>
      </c>
      <c r="J42" s="47">
        <f>J39+J40+J41</f>
        <v>3756539.99</v>
      </c>
      <c r="K42" s="47">
        <f>K39+K40+K41</f>
        <v>3667339.99</v>
      </c>
      <c r="L42" s="48"/>
      <c r="M42" s="410"/>
    </row>
    <row r="43" spans="1:13" ht="85.5" customHeight="1" x14ac:dyDescent="0.25">
      <c r="A43" s="36"/>
      <c r="B43" s="534" t="s">
        <v>262</v>
      </c>
      <c r="C43" s="45"/>
      <c r="D43" s="45"/>
      <c r="E43" s="133"/>
      <c r="F43" s="47"/>
      <c r="G43" s="47"/>
      <c r="H43" s="47"/>
      <c r="I43" s="42">
        <f>П6ВСР!Z349+П6ВСР!Z351+П6ВСР!Z364+П6ВСР!Z366+П6ВСР!Z368+П6ВСР!Z370+П6ВСР!Z372+П6ВСР!Z389+П6ВСР!Z400+П6ВСР!Z404+П6ВСР!Z408+П6ВСР!Z393+329004.93</f>
        <v>180670334.98000002</v>
      </c>
      <c r="J43" s="42">
        <f>П6ВСР!AA349+П6ВСР!AA351+П6ВСР!AA364+П6ВСР!AA366+П6ВСР!AA368+П6ВСР!AA370+П6ВСР!AA372+П6ВСР!AA389+П6ВСР!AA400+П6ВСР!AA404+П6ВСР!AA408+П6ВСР!AA393</f>
        <v>184897886.11999997</v>
      </c>
      <c r="K43" s="42">
        <f>П6ВСР!AB349+П6ВСР!AB351+П6ВСР!AB364+П6ВСР!AB366+П6ВСР!AB368+П6ВСР!AB370+П6ВСР!AB372+П6ВСР!AB389+П6ВСР!AB400+П6ВСР!AB404+П6ВСР!AB408+П6ВСР!AB393</f>
        <v>180425248.46000001</v>
      </c>
      <c r="L43" s="44" t="s">
        <v>806</v>
      </c>
      <c r="M43" s="537" t="s">
        <v>536</v>
      </c>
    </row>
    <row r="44" spans="1:13" ht="63" x14ac:dyDescent="0.25">
      <c r="A44" s="36"/>
      <c r="B44" s="535"/>
      <c r="C44" s="45"/>
      <c r="D44" s="45"/>
      <c r="E44" s="134"/>
      <c r="F44" s="47"/>
      <c r="G44" s="47"/>
      <c r="H44" s="47"/>
      <c r="I44" s="42">
        <f>П6ВСР!Z456</f>
        <v>8030117</v>
      </c>
      <c r="J44" s="42">
        <f>П6ВСР!AA456</f>
        <v>8027959.6200000001</v>
      </c>
      <c r="K44" s="42">
        <f>П6ВСР!AB456</f>
        <v>8027959.6200000001</v>
      </c>
      <c r="L44" s="61" t="s">
        <v>521</v>
      </c>
      <c r="M44" s="538"/>
    </row>
    <row r="45" spans="1:13" ht="47.25" x14ac:dyDescent="0.25">
      <c r="A45" s="36"/>
      <c r="B45" s="536"/>
      <c r="C45" s="58">
        <v>40869</v>
      </c>
      <c r="D45" s="54">
        <v>1218</v>
      </c>
      <c r="E45" s="54" t="s">
        <v>198</v>
      </c>
      <c r="F45" s="42">
        <v>100000</v>
      </c>
      <c r="G45" s="42">
        <v>0</v>
      </c>
      <c r="H45" s="42">
        <v>0</v>
      </c>
      <c r="I45" s="42">
        <f>П6ВСР!Z188+П6ВСР!Z201</f>
        <v>300000</v>
      </c>
      <c r="J45" s="42">
        <f>П6ВСР!AA188+П6ВСР!AA201</f>
        <v>50000</v>
      </c>
      <c r="K45" s="42">
        <f>П6ВСР!AB188+П6ВСР!AB201</f>
        <v>50000</v>
      </c>
      <c r="L45" s="61" t="s">
        <v>28</v>
      </c>
      <c r="M45" s="538"/>
    </row>
    <row r="46" spans="1:13" ht="15" customHeight="1" x14ac:dyDescent="0.25">
      <c r="A46" s="36">
        <v>12</v>
      </c>
      <c r="B46" s="45" t="s">
        <v>199</v>
      </c>
      <c r="C46" s="45"/>
      <c r="D46" s="45"/>
      <c r="E46" s="54"/>
      <c r="F46" s="47">
        <f>F45</f>
        <v>100000</v>
      </c>
      <c r="G46" s="47">
        <f>G45</f>
        <v>0</v>
      </c>
      <c r="H46" s="47">
        <f>H45</f>
        <v>0</v>
      </c>
      <c r="I46" s="47">
        <f>I43+I44+I45</f>
        <v>189000451.98000002</v>
      </c>
      <c r="J46" s="47">
        <f>J43+J44+J45</f>
        <v>192975845.73999998</v>
      </c>
      <c r="K46" s="47">
        <f>K43+K44+K45</f>
        <v>188503208.08000001</v>
      </c>
      <c r="L46" s="48"/>
      <c r="M46" s="410"/>
    </row>
    <row r="47" spans="1:13" ht="78.75" hidden="1" customHeight="1" x14ac:dyDescent="0.25">
      <c r="A47" s="36"/>
      <c r="B47" s="534" t="s">
        <v>275</v>
      </c>
      <c r="C47" s="45"/>
      <c r="D47" s="45"/>
      <c r="E47" s="136"/>
      <c r="F47" s="47"/>
      <c r="G47" s="47"/>
      <c r="H47" s="47"/>
      <c r="I47" s="42">
        <f>П6ВСР!Z281</f>
        <v>0</v>
      </c>
      <c r="J47" s="42">
        <v>0</v>
      </c>
      <c r="K47" s="42">
        <v>0</v>
      </c>
      <c r="L47" s="44" t="s">
        <v>31</v>
      </c>
      <c r="M47" s="537" t="s">
        <v>537</v>
      </c>
    </row>
    <row r="48" spans="1:13" ht="78.75" x14ac:dyDescent="0.25">
      <c r="A48" s="36"/>
      <c r="B48" s="535"/>
      <c r="C48" s="45"/>
      <c r="D48" s="45"/>
      <c r="E48" s="188"/>
      <c r="F48" s="47"/>
      <c r="G48" s="47"/>
      <c r="H48" s="47"/>
      <c r="I48" s="42">
        <f>П6ВСР!Z378+П6ВСР!Z380+П6ВСР!Z382</f>
        <v>150000</v>
      </c>
      <c r="J48" s="42">
        <f>П6ВСР!AA378+П6ВСР!AA380+П6ВСР!AA382</f>
        <v>150000</v>
      </c>
      <c r="K48" s="42">
        <f>П6ВСР!AB378+П6ВСР!AB380+П6ВСР!AB382</f>
        <v>110000</v>
      </c>
      <c r="L48" s="44" t="s">
        <v>806</v>
      </c>
      <c r="M48" s="538"/>
    </row>
    <row r="49" spans="1:13" ht="47.25" x14ac:dyDescent="0.25">
      <c r="A49" s="36"/>
      <c r="B49" s="536"/>
      <c r="C49" s="50">
        <v>40192</v>
      </c>
      <c r="D49" s="62">
        <v>12</v>
      </c>
      <c r="E49" s="50" t="s">
        <v>198</v>
      </c>
      <c r="F49" s="42">
        <v>100000</v>
      </c>
      <c r="G49" s="42">
        <v>0</v>
      </c>
      <c r="H49" s="42">
        <v>0</v>
      </c>
      <c r="I49" s="42">
        <f>П6ВСР!Z112+П6ВСР!Z114+П6ВСР!Z118+П6ВСР!Z120+П6ВСР!Z122+П6ВСР!Z124+П6ВСР!Z128+П6ВСР!Z130+П6ВСР!Z135+П6ВСР!Z137+П6ВСР!Z140+П6ВСР!Z132+П6ВСР!Z126+П6ВСР!Z117</f>
        <v>22492392.449999999</v>
      </c>
      <c r="J49" s="42">
        <f>П6ВСР!AA112+П6ВСР!AA114+П6ВСР!AA118+П6ВСР!AA120+П6ВСР!AA122+П6ВСР!AA124+П6ВСР!AA128+П6ВСР!AA130+П6ВСР!AA135+П6ВСР!AA137+П6ВСР!AA140+П6ВСР!AA132+П6ВСР!AA126+П6ВСР!AA117</f>
        <v>24990388.960000001</v>
      </c>
      <c r="K49" s="42">
        <f>П6ВСР!AB112+П6ВСР!AB114+П6ВСР!AB118+П6ВСР!AB120+П6ВСР!AB122+П6ВСР!AB124+П6ВСР!AB128+П6ВСР!AB130+П6ВСР!AB135+П6ВСР!AB137+П6ВСР!AB140+П6ВСР!AB132+П6ВСР!AB126+П6ВСР!AB117</f>
        <v>24990388.960000001</v>
      </c>
      <c r="L49" s="61" t="s">
        <v>28</v>
      </c>
      <c r="M49" s="538"/>
    </row>
    <row r="50" spans="1:13" x14ac:dyDescent="0.25">
      <c r="A50" s="36">
        <v>13</v>
      </c>
      <c r="B50" s="45" t="s">
        <v>199</v>
      </c>
      <c r="C50" s="45"/>
      <c r="D50" s="45"/>
      <c r="E50" s="54"/>
      <c r="F50" s="47">
        <f>F49</f>
        <v>100000</v>
      </c>
      <c r="G50" s="47">
        <f>G49</f>
        <v>0</v>
      </c>
      <c r="H50" s="47">
        <f>H49</f>
        <v>0</v>
      </c>
      <c r="I50" s="47">
        <f>I47+I49+I48</f>
        <v>22642392.449999999</v>
      </c>
      <c r="J50" s="47">
        <f>J47+J49+J48</f>
        <v>25140388.960000001</v>
      </c>
      <c r="K50" s="47">
        <f>K47+K49+K48</f>
        <v>25100388.960000001</v>
      </c>
      <c r="L50" s="48"/>
      <c r="M50" s="410"/>
    </row>
    <row r="51" spans="1:13" ht="0.75" customHeight="1" x14ac:dyDescent="0.25">
      <c r="A51" s="36"/>
      <c r="B51" s="534" t="s">
        <v>264</v>
      </c>
      <c r="C51" s="45"/>
      <c r="D51" s="45"/>
      <c r="E51" s="318"/>
      <c r="F51" s="47"/>
      <c r="G51" s="47"/>
      <c r="H51" s="47"/>
      <c r="I51" s="42">
        <f>П6ВСР!Z328</f>
        <v>0</v>
      </c>
      <c r="J51" s="42">
        <v>0</v>
      </c>
      <c r="K51" s="42">
        <v>0</v>
      </c>
      <c r="L51" s="44" t="s">
        <v>31</v>
      </c>
      <c r="M51" s="537" t="s">
        <v>538</v>
      </c>
    </row>
    <row r="52" spans="1:13" ht="47.25" x14ac:dyDescent="0.25">
      <c r="A52" s="36"/>
      <c r="B52" s="536"/>
      <c r="C52" s="50">
        <v>41108</v>
      </c>
      <c r="D52" s="37">
        <v>814</v>
      </c>
      <c r="E52" s="54" t="s">
        <v>198</v>
      </c>
      <c r="F52" s="42">
        <v>150000</v>
      </c>
      <c r="G52" s="42">
        <v>150000</v>
      </c>
      <c r="H52" s="42">
        <v>150000</v>
      </c>
      <c r="I52" s="42">
        <f>П6ВСР!Z176+П6ВСР!Z178+П6ВСР!Z180+П6ВСР!Z182+П6ВСР!Z184</f>
        <v>1650000</v>
      </c>
      <c r="J52" s="42">
        <f>П6ВСР!AA176+П6ВСР!AA178+П6ВСР!AA180+П6ВСР!AA182+П6ВСР!AA184</f>
        <v>250000</v>
      </c>
      <c r="K52" s="42">
        <f>П6ВСР!AB176+П6ВСР!AB178+П6ВСР!AB180+П6ВСР!AB182+П6ВСР!AB184</f>
        <v>150000</v>
      </c>
      <c r="L52" s="61" t="s">
        <v>28</v>
      </c>
      <c r="M52" s="538"/>
    </row>
    <row r="53" spans="1:13" x14ac:dyDescent="0.25">
      <c r="A53" s="36">
        <v>14</v>
      </c>
      <c r="B53" s="45" t="s">
        <v>199</v>
      </c>
      <c r="C53" s="45"/>
      <c r="D53" s="45"/>
      <c r="E53" s="54"/>
      <c r="F53" s="47">
        <f t="shared" ref="F53:K53" si="9">F52</f>
        <v>150000</v>
      </c>
      <c r="G53" s="47">
        <f t="shared" si="9"/>
        <v>150000</v>
      </c>
      <c r="H53" s="47">
        <f t="shared" si="9"/>
        <v>150000</v>
      </c>
      <c r="I53" s="47">
        <f>I52+I51</f>
        <v>1650000</v>
      </c>
      <c r="J53" s="47">
        <f t="shared" si="9"/>
        <v>250000</v>
      </c>
      <c r="K53" s="47">
        <f t="shared" si="9"/>
        <v>150000</v>
      </c>
      <c r="L53" s="63"/>
      <c r="M53" s="552"/>
    </row>
    <row r="54" spans="1:13" x14ac:dyDescent="0.25">
      <c r="A54" s="38"/>
      <c r="B54" s="45" t="s">
        <v>201</v>
      </c>
      <c r="C54" s="45"/>
      <c r="D54" s="45"/>
      <c r="E54" s="46"/>
      <c r="F54" s="47" t="e">
        <f>F13+F15+F19+F26+F28+F30+F32+F34+F38+F42+F46+F50+F53+#REF!+#REF!+#REF!+#REF!+#REF!+#REF!+#REF!+F22+#REF!+#REF!</f>
        <v>#REF!</v>
      </c>
      <c r="G54" s="47" t="e">
        <f>G13+G15+G19+G26+G28+G30+G32+G34+G38+G42+G46+G50+G53+#REF!+#REF!+#REF!+#REF!+#REF!+#REF!+#REF!+G22+#REF!+#REF!</f>
        <v>#REF!</v>
      </c>
      <c r="H54" s="47" t="e">
        <f>H13+H15+H19+H26+H28+H30+H32+H34+H38+H42+H46+H50+H53+#REF!+#REF!+#REF!+#REF!+#REF!+#REF!+#REF!+H22+#REF!+#REF!</f>
        <v>#REF!</v>
      </c>
      <c r="I54" s="47">
        <f>I13+I15+I19+I22+I26+I28+I30+I32+I34+I38+I42+I46+I50+I53</f>
        <v>385337778.70999998</v>
      </c>
      <c r="J54" s="47">
        <f>J13+J15+J19+J22+J26+J28+J30+J32+J34+J38+J42+J46+J50+J53</f>
        <v>363306385.70999998</v>
      </c>
      <c r="K54" s="47">
        <f>K13+K15+K19+K22+K26+K28+K30+K32+K34+K38+K42+K46+K50+K53</f>
        <v>378312806.81</v>
      </c>
      <c r="L54" s="47"/>
      <c r="M54" s="65"/>
    </row>
    <row r="55" spans="1:13" x14ac:dyDescent="0.25">
      <c r="L55" s="33" t="s">
        <v>202</v>
      </c>
    </row>
    <row r="56" spans="1:13" x14ac:dyDescent="0.25">
      <c r="F56" s="66"/>
      <c r="G56" s="66"/>
      <c r="H56" s="66"/>
    </row>
    <row r="63" spans="1:13" x14ac:dyDescent="0.25">
      <c r="E63" s="67"/>
      <c r="F63" s="68"/>
      <c r="G63" s="68"/>
      <c r="H63" s="68"/>
      <c r="I63" s="68"/>
      <c r="J63" s="68"/>
      <c r="K63" s="69"/>
      <c r="L63" s="69"/>
    </row>
    <row r="77" spans="1:13" x14ac:dyDescent="0.25">
      <c r="A77" s="68"/>
      <c r="B77" s="70"/>
      <c r="C77" s="70"/>
      <c r="D77" s="70"/>
      <c r="E77" s="67"/>
      <c r="F77" s="68"/>
      <c r="G77" s="68"/>
      <c r="H77" s="68"/>
      <c r="I77" s="68"/>
      <c r="J77" s="68"/>
      <c r="K77" s="69"/>
      <c r="L77" s="69"/>
      <c r="M77" s="71"/>
    </row>
    <row r="78" spans="1:13" x14ac:dyDescent="0.25">
      <c r="A78" s="68"/>
      <c r="B78" s="70"/>
      <c r="C78" s="70"/>
      <c r="D78" s="70"/>
      <c r="E78" s="67"/>
      <c r="F78" s="68"/>
      <c r="G78" s="68"/>
      <c r="H78" s="68"/>
      <c r="I78" s="68"/>
      <c r="J78" s="68"/>
      <c r="K78" s="69"/>
      <c r="L78" s="69"/>
      <c r="M78" s="71"/>
    </row>
    <row r="79" spans="1:13" x14ac:dyDescent="0.25">
      <c r="A79" s="68"/>
      <c r="B79" s="70"/>
      <c r="C79" s="70"/>
      <c r="D79" s="70"/>
      <c r="E79" s="67"/>
      <c r="F79" s="68"/>
      <c r="G79" s="68"/>
      <c r="H79" s="68"/>
      <c r="I79" s="68"/>
      <c r="J79" s="68"/>
      <c r="K79" s="69"/>
      <c r="L79" s="69"/>
      <c r="M79" s="71"/>
    </row>
    <row r="80" spans="1:13" x14ac:dyDescent="0.25">
      <c r="A80" s="68"/>
      <c r="B80" s="70"/>
      <c r="C80" s="70"/>
      <c r="D80" s="70"/>
      <c r="E80" s="67"/>
      <c r="F80" s="68"/>
      <c r="G80" s="68"/>
      <c r="H80" s="68"/>
      <c r="I80" s="68"/>
      <c r="J80" s="68"/>
      <c r="K80" s="69"/>
      <c r="L80" s="69"/>
      <c r="M80" s="71"/>
    </row>
    <row r="81" spans="1:13" x14ac:dyDescent="0.25">
      <c r="A81" s="68"/>
      <c r="B81" s="70"/>
      <c r="C81" s="70"/>
      <c r="D81" s="70"/>
      <c r="E81" s="67"/>
      <c r="F81" s="68"/>
      <c r="G81" s="68"/>
      <c r="H81" s="68"/>
      <c r="I81" s="68"/>
      <c r="J81" s="68"/>
      <c r="K81" s="69"/>
      <c r="L81" s="69"/>
      <c r="M81" s="71"/>
    </row>
    <row r="82" spans="1:13" x14ac:dyDescent="0.25">
      <c r="A82" s="68"/>
      <c r="B82" s="562"/>
      <c r="C82" s="562"/>
      <c r="D82" s="562"/>
      <c r="E82" s="562"/>
      <c r="F82" s="562"/>
      <c r="G82" s="562"/>
      <c r="H82" s="562"/>
      <c r="I82" s="562"/>
      <c r="J82" s="562"/>
      <c r="K82" s="562"/>
      <c r="L82" s="67"/>
      <c r="M82" s="71"/>
    </row>
    <row r="83" spans="1:13" x14ac:dyDescent="0.25">
      <c r="A83" s="68"/>
      <c r="B83" s="70"/>
      <c r="C83" s="70"/>
      <c r="D83" s="70"/>
      <c r="E83" s="67"/>
      <c r="F83" s="68"/>
      <c r="G83" s="68"/>
      <c r="H83" s="68"/>
      <c r="I83" s="68"/>
      <c r="J83" s="68"/>
      <c r="K83" s="69"/>
      <c r="L83" s="69"/>
      <c r="M83" s="71"/>
    </row>
    <row r="84" spans="1:13" x14ac:dyDescent="0.25">
      <c r="A84" s="68"/>
      <c r="B84" s="563"/>
      <c r="C84" s="563"/>
      <c r="D84" s="563"/>
      <c r="E84" s="563"/>
      <c r="F84" s="562"/>
      <c r="G84" s="562"/>
      <c r="H84" s="562"/>
      <c r="I84" s="562"/>
      <c r="J84" s="562"/>
      <c r="K84" s="72"/>
      <c r="L84" s="72"/>
      <c r="M84" s="564"/>
    </row>
    <row r="85" spans="1:13" x14ac:dyDescent="0.25">
      <c r="A85" s="68"/>
      <c r="B85" s="563"/>
      <c r="C85" s="563"/>
      <c r="D85" s="563"/>
      <c r="E85" s="563"/>
      <c r="F85" s="565"/>
      <c r="G85" s="565"/>
      <c r="H85" s="565"/>
      <c r="I85" s="565"/>
      <c r="J85" s="68"/>
      <c r="K85" s="69"/>
      <c r="L85" s="69"/>
      <c r="M85" s="564"/>
    </row>
    <row r="86" spans="1:13" x14ac:dyDescent="0.25">
      <c r="A86" s="68"/>
      <c r="B86" s="563"/>
      <c r="C86" s="563"/>
      <c r="D86" s="563"/>
      <c r="E86" s="563"/>
      <c r="F86" s="68"/>
      <c r="G86" s="68"/>
      <c r="H86" s="68"/>
      <c r="I86" s="68"/>
      <c r="J86" s="68"/>
      <c r="K86" s="69"/>
      <c r="L86" s="69"/>
      <c r="M86" s="564"/>
    </row>
    <row r="87" spans="1:13" x14ac:dyDescent="0.25">
      <c r="A87" s="68"/>
      <c r="B87" s="563"/>
      <c r="C87" s="563"/>
      <c r="D87" s="563"/>
      <c r="E87" s="563"/>
      <c r="F87" s="73"/>
      <c r="G87" s="73"/>
      <c r="H87" s="73"/>
      <c r="I87" s="69"/>
      <c r="J87" s="73"/>
      <c r="K87" s="69"/>
      <c r="L87" s="69"/>
      <c r="M87" s="566"/>
    </row>
    <row r="88" spans="1:13" x14ac:dyDescent="0.25">
      <c r="A88" s="68"/>
      <c r="B88" s="563"/>
      <c r="C88" s="563"/>
      <c r="D88" s="563"/>
      <c r="E88" s="563"/>
      <c r="F88" s="73"/>
      <c r="G88" s="73"/>
      <c r="H88" s="73"/>
      <c r="I88" s="69"/>
      <c r="J88" s="73"/>
      <c r="K88" s="69"/>
      <c r="L88" s="69"/>
      <c r="M88" s="566"/>
    </row>
    <row r="89" spans="1:13" x14ac:dyDescent="0.25">
      <c r="A89" s="68"/>
      <c r="B89" s="563"/>
      <c r="C89" s="563"/>
      <c r="D89" s="563"/>
      <c r="E89" s="563"/>
      <c r="F89" s="73"/>
      <c r="G89" s="73"/>
      <c r="H89" s="73"/>
      <c r="I89" s="69"/>
      <c r="J89" s="73"/>
      <c r="K89" s="69"/>
      <c r="L89" s="69"/>
      <c r="M89" s="566"/>
    </row>
    <row r="90" spans="1:13" x14ac:dyDescent="0.25">
      <c r="A90" s="68"/>
      <c r="B90" s="563"/>
      <c r="C90" s="563"/>
      <c r="D90" s="563"/>
      <c r="E90" s="563"/>
      <c r="F90" s="73"/>
      <c r="G90" s="73"/>
      <c r="H90" s="73"/>
      <c r="I90" s="69"/>
      <c r="J90" s="73"/>
      <c r="K90" s="69"/>
      <c r="L90" s="69"/>
      <c r="M90" s="566"/>
    </row>
    <row r="91" spans="1:13" x14ac:dyDescent="0.25">
      <c r="A91" s="68"/>
      <c r="B91" s="563"/>
      <c r="C91" s="563"/>
      <c r="D91" s="563"/>
      <c r="E91" s="563"/>
      <c r="F91" s="73"/>
      <c r="G91" s="73"/>
      <c r="H91" s="73"/>
      <c r="I91" s="69"/>
      <c r="J91" s="73"/>
      <c r="K91" s="69"/>
      <c r="L91" s="69"/>
      <c r="M91" s="566"/>
    </row>
    <row r="92" spans="1:13" x14ac:dyDescent="0.25">
      <c r="A92" s="68"/>
      <c r="B92" s="563"/>
      <c r="C92" s="563"/>
      <c r="D92" s="563"/>
      <c r="E92" s="563"/>
      <c r="F92" s="73"/>
      <c r="G92" s="73"/>
      <c r="H92" s="73"/>
      <c r="I92" s="69"/>
      <c r="J92" s="73"/>
      <c r="K92" s="69"/>
      <c r="L92" s="69"/>
      <c r="M92" s="566"/>
    </row>
    <row r="93" spans="1:13" x14ac:dyDescent="0.25">
      <c r="A93" s="68"/>
      <c r="B93" s="561"/>
      <c r="C93" s="561"/>
      <c r="D93" s="561"/>
      <c r="E93" s="561"/>
      <c r="F93" s="74"/>
      <c r="G93" s="74"/>
      <c r="H93" s="74"/>
      <c r="I93" s="75"/>
      <c r="J93" s="74"/>
      <c r="K93" s="75"/>
      <c r="L93" s="75"/>
      <c r="M93" s="76"/>
    </row>
  </sheetData>
  <mergeCells count="57">
    <mergeCell ref="B51:B52"/>
    <mergeCell ref="M51:M53"/>
    <mergeCell ref="B93:E93"/>
    <mergeCell ref="B82:K82"/>
    <mergeCell ref="B84:E86"/>
    <mergeCell ref="F84:J84"/>
    <mergeCell ref="M84:M86"/>
    <mergeCell ref="F85:I85"/>
    <mergeCell ref="B87:E87"/>
    <mergeCell ref="M87:M92"/>
    <mergeCell ref="B88:E88"/>
    <mergeCell ref="B89:E89"/>
    <mergeCell ref="B90:E90"/>
    <mergeCell ref="B91:E91"/>
    <mergeCell ref="B92:E92"/>
    <mergeCell ref="B43:B45"/>
    <mergeCell ref="M43:M45"/>
    <mergeCell ref="B16:B18"/>
    <mergeCell ref="M16:M18"/>
    <mergeCell ref="M23:M26"/>
    <mergeCell ref="B23:B25"/>
    <mergeCell ref="B20:B21"/>
    <mergeCell ref="M20:M21"/>
    <mergeCell ref="M27:M28"/>
    <mergeCell ref="M29:M30"/>
    <mergeCell ref="M31:M32"/>
    <mergeCell ref="M33:M34"/>
    <mergeCell ref="M35:M37"/>
    <mergeCell ref="M39:M41"/>
    <mergeCell ref="B39:B41"/>
    <mergeCell ref="M11:M13"/>
    <mergeCell ref="A35:A37"/>
    <mergeCell ref="B35:B37"/>
    <mergeCell ref="C35:C37"/>
    <mergeCell ref="D35:D37"/>
    <mergeCell ref="E35:E37"/>
    <mergeCell ref="K1:M1"/>
    <mergeCell ref="K2:M2"/>
    <mergeCell ref="K3:M3"/>
    <mergeCell ref="K4:M4"/>
    <mergeCell ref="A6:M6"/>
    <mergeCell ref="B47:B49"/>
    <mergeCell ref="M47:M49"/>
    <mergeCell ref="A8:A10"/>
    <mergeCell ref="B8:B10"/>
    <mergeCell ref="C8:E8"/>
    <mergeCell ref="F8:K8"/>
    <mergeCell ref="L8:M8"/>
    <mergeCell ref="C9:C10"/>
    <mergeCell ref="D9:D10"/>
    <mergeCell ref="E9:E10"/>
    <mergeCell ref="F9:H9"/>
    <mergeCell ref="I9:K9"/>
    <mergeCell ref="L9:L10"/>
    <mergeCell ref="M9:M10"/>
    <mergeCell ref="M14:M15"/>
    <mergeCell ref="B11:B12"/>
  </mergeCells>
  <pageMargins left="0.70866141732283472" right="0.70866141732283472" top="0.74803149606299213" bottom="0.74803149606299213" header="0.31496062992125984" footer="0.31496062992125984"/>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1</vt:i4>
      </vt:variant>
    </vt:vector>
  </HeadingPairs>
  <TitlesOfParts>
    <vt:vector size="16" baseType="lpstr">
      <vt:lpstr>П1ГАД(АД)</vt:lpstr>
      <vt:lpstr>П2ГАИФ(АИФ)</vt:lpstr>
      <vt:lpstr>П3ИВФ</vt:lpstr>
      <vt:lpstr>П4ДОХОДЫ </vt:lpstr>
      <vt:lpstr>П4ДОХОДЫ</vt:lpstr>
      <vt:lpstr>П5РБАЦС</vt:lpstr>
      <vt:lpstr>П6ВСР</vt:lpstr>
      <vt:lpstr>П3_Доходы</vt:lpstr>
      <vt:lpstr>П7МП</vt:lpstr>
      <vt:lpstr>П8РБАРПР</vt:lpstr>
      <vt:lpstr>П9ПМВЗ</vt:lpstr>
      <vt:lpstr>П10 Дотация</vt:lpstr>
      <vt:lpstr>П11ПМГРБ</vt:lpstr>
      <vt:lpstr>П12ППБК</vt:lpstr>
      <vt:lpstr>П13НРД</vt:lpstr>
      <vt:lpstr>П3_Доходы!Заголовки_для_печати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2017-12-25T01:00:11Z</dcterms:modified>
</cp:coreProperties>
</file>