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П1ИВФ" sheetId="11" r:id="rId1"/>
    <sheet name="П4ДОХОДЫ " sheetId="20" state="hidden" r:id="rId2"/>
    <sheet name="П2ДОХОДЫ" sheetId="25" r:id="rId3"/>
    <sheet name="П3РБАЦС" sheetId="12" r:id="rId4"/>
    <sheet name="П4ВСР" sheetId="21" r:id="rId5"/>
    <sheet name="П3_Доходы" sheetId="3" state="hidden" r:id="rId6"/>
    <sheet name="П5МП" sheetId="10" r:id="rId7"/>
    <sheet name="Лист2" sheetId="53" state="hidden" r:id="rId8"/>
    <sheet name="П6РБАРПР" sheetId="14" r:id="rId9"/>
    <sheet name="П7ПМВЗ" sheetId="16" r:id="rId10"/>
    <sheet name="прогноз" sheetId="50" state="hidden" r:id="rId11"/>
    <sheet name="ожидаемое исполнение" sheetId="51" state="hidden" r:id="rId12"/>
    <sheet name="Верхний предел " sheetId="49" state="hidden" r:id="rId13"/>
    <sheet name="Лист1" sheetId="45" state="hidden" r:id="rId14"/>
    <sheet name="информация" sheetId="41" state="hidden" r:id="rId15"/>
    <sheet name="информация 1" sheetId="54" state="hidden" r:id="rId16"/>
    <sheet name="информация 2" sheetId="55" state="hidden" r:id="rId17"/>
    <sheet name="доп.информация" sheetId="40" state="hidden" r:id="rId18"/>
    <sheet name="доп.доп.информация" sheetId="39" state="hidden" r:id="rId19"/>
  </sheets>
  <externalReferences>
    <externalReference r:id="rId20"/>
    <externalReference r:id="rId21"/>
  </externalReferences>
  <definedNames>
    <definedName name="_xlnm._FilterDatabase" localSheetId="2" hidden="1">П2ДОХОДЫ!$A$11:$G$56</definedName>
    <definedName name="_xlnm._FilterDatabase" localSheetId="4" hidden="1">П4ВСР!$A$8:$AC$9</definedName>
    <definedName name="_xlnm.Print_Titles" localSheetId="5">П3_Доходы!$8:$8</definedName>
  </definedNames>
  <calcPr calcId="152511"/>
</workbook>
</file>

<file path=xl/calcChain.xml><?xml version="1.0" encoding="utf-8"?>
<calcChain xmlns="http://schemas.openxmlformats.org/spreadsheetml/2006/main">
  <c r="Z776" i="21" l="1"/>
  <c r="Z262" i="21" l="1"/>
  <c r="Z559" i="21"/>
  <c r="E16" i="25" l="1"/>
  <c r="E52" i="25"/>
  <c r="I46" i="10" l="1"/>
  <c r="Z490" i="21" l="1"/>
  <c r="J104" i="54"/>
  <c r="J103" i="54"/>
  <c r="Z239" i="21"/>
  <c r="J42" i="55" l="1"/>
  <c r="Z222" i="21"/>
  <c r="Z482" i="21"/>
  <c r="Z493" i="21"/>
  <c r="J30" i="55"/>
  <c r="Z18" i="21"/>
  <c r="Z28" i="21"/>
  <c r="Z67" i="21"/>
  <c r="J33" i="55"/>
  <c r="Z73" i="21"/>
  <c r="Z63" i="21" l="1"/>
  <c r="Z64" i="21"/>
  <c r="J147" i="54" l="1"/>
  <c r="J159" i="54"/>
  <c r="Z709" i="21"/>
  <c r="Z710" i="21"/>
  <c r="Z495" i="21" l="1"/>
  <c r="Z248" i="21" l="1"/>
  <c r="Z522" i="21"/>
  <c r="J96" i="54" l="1"/>
  <c r="Z241" i="21"/>
  <c r="J39" i="54"/>
  <c r="E160" i="25"/>
  <c r="Z555" i="21" l="1"/>
  <c r="Z489" i="21" l="1"/>
  <c r="J55" i="54" l="1"/>
  <c r="J124" i="54"/>
  <c r="J71" i="54" l="1"/>
  <c r="J70" i="54"/>
  <c r="Z426" i="21"/>
  <c r="Z78" i="21"/>
  <c r="Z492" i="21" l="1"/>
  <c r="Z107" i="21"/>
  <c r="J74" i="54"/>
  <c r="Z449" i="21"/>
  <c r="Z256" i="21"/>
  <c r="Z547" i="21"/>
  <c r="Z699" i="21" l="1"/>
  <c r="Z700" i="21"/>
  <c r="E156" i="25" l="1"/>
  <c r="Z643" i="21"/>
  <c r="Z15" i="21" l="1"/>
  <c r="Z629" i="21" l="1"/>
  <c r="U133" i="12"/>
  <c r="U134" i="12"/>
  <c r="Z93" i="21"/>
  <c r="Z246" i="21" l="1"/>
  <c r="Z529" i="21"/>
  <c r="Z517" i="21"/>
  <c r="Z572" i="21"/>
  <c r="J133" i="54"/>
  <c r="J138" i="54"/>
  <c r="Z307" i="21"/>
  <c r="Z423" i="21"/>
  <c r="Z378" i="21"/>
  <c r="E169" i="25"/>
  <c r="Z623" i="21" l="1"/>
  <c r="Z689" i="21"/>
  <c r="E162" i="25"/>
  <c r="Z91" i="21"/>
  <c r="Z496" i="21"/>
  <c r="J127" i="54"/>
  <c r="J128" i="54"/>
  <c r="Z685" i="21"/>
  <c r="Z625" i="21"/>
  <c r="Z686" i="21"/>
  <c r="Z20" i="21" l="1"/>
  <c r="Z722" i="21"/>
  <c r="Z42" i="21"/>
  <c r="Z53" i="21" l="1"/>
  <c r="Z746" i="21"/>
  <c r="Z754" i="21"/>
  <c r="Z735" i="21"/>
  <c r="Z758" i="21"/>
  <c r="Z762" i="21"/>
  <c r="U304" i="12"/>
  <c r="U303" i="12" s="1"/>
  <c r="Z243" i="21"/>
  <c r="Z242" i="21"/>
  <c r="J99" i="54"/>
  <c r="Z260" i="21"/>
  <c r="Z74" i="21"/>
  <c r="Z61" i="21"/>
  <c r="Z351" i="21"/>
  <c r="Z360" i="21"/>
  <c r="Z339" i="21"/>
  <c r="Z340" i="21"/>
  <c r="J70" i="41" l="1"/>
  <c r="Z619" i="21"/>
  <c r="Z657" i="21"/>
  <c r="K16" i="41"/>
  <c r="L16" i="41"/>
  <c r="J16" i="41"/>
  <c r="Z647" i="21"/>
  <c r="E167" i="25"/>
  <c r="E143" i="25"/>
  <c r="E48" i="25"/>
  <c r="Z65" i="21" l="1"/>
  <c r="J151" i="41" l="1"/>
  <c r="Z358" i="21"/>
  <c r="Z589" i="21"/>
  <c r="Z575" i="21"/>
  <c r="Z649" i="21"/>
  <c r="Z612" i="21"/>
  <c r="Z22" i="21" l="1"/>
  <c r="Z23" i="21"/>
  <c r="Z89" i="21"/>
  <c r="Z88" i="21"/>
  <c r="Z92" i="21"/>
  <c r="E122" i="25" l="1"/>
  <c r="E119" i="25"/>
  <c r="J14" i="55"/>
  <c r="E60" i="25"/>
  <c r="E126" i="25"/>
  <c r="Z381" i="21" l="1"/>
  <c r="Z380" i="21"/>
  <c r="Z371" i="21"/>
  <c r="Z372" i="21"/>
  <c r="Z370" i="21"/>
  <c r="Z461" i="21" l="1"/>
  <c r="Z478" i="21"/>
  <c r="Z576" i="21" l="1"/>
  <c r="E166" i="25" l="1"/>
  <c r="Z728" i="21" l="1"/>
  <c r="Z729" i="21"/>
  <c r="Z731" i="21"/>
  <c r="J137" i="41"/>
  <c r="Z723" i="21"/>
  <c r="Z68" i="21"/>
  <c r="Z322" i="21"/>
  <c r="Z324" i="21"/>
  <c r="Z484" i="21"/>
  <c r="Z560" i="21"/>
  <c r="Z335" i="21"/>
  <c r="Z606" i="21"/>
  <c r="Z604" i="21"/>
  <c r="Z708" i="21"/>
  <c r="Z698" i="21"/>
  <c r="Z716" i="21"/>
  <c r="Z717" i="21"/>
  <c r="AB79" i="21" l="1"/>
  <c r="W116" i="12" s="1"/>
  <c r="W115" i="12" s="1"/>
  <c r="AA79" i="21"/>
  <c r="V116" i="12" s="1"/>
  <c r="V115" i="12" s="1"/>
  <c r="Z79" i="21"/>
  <c r="U116" i="12" s="1"/>
  <c r="U115" i="12" s="1"/>
  <c r="E171" i="25"/>
  <c r="Z333" i="21" l="1"/>
  <c r="K151" i="41" l="1"/>
  <c r="K74" i="54"/>
  <c r="AA107" i="21"/>
  <c r="Z103" i="21" l="1"/>
  <c r="Z400" i="21"/>
  <c r="Z313" i="21" l="1"/>
  <c r="Z574" i="21" l="1"/>
  <c r="AA351" i="21"/>
  <c r="Z577" i="21" l="1"/>
  <c r="Z573" i="21"/>
  <c r="Z567" i="21"/>
  <c r="Z270" i="21" l="1"/>
  <c r="E153" i="25" l="1"/>
  <c r="J32" i="41" l="1"/>
  <c r="Z706" i="21"/>
  <c r="E165" i="25"/>
  <c r="E158" i="25"/>
  <c r="Z345" i="21"/>
  <c r="Z193" i="21" l="1"/>
  <c r="Z183" i="21"/>
  <c r="Z31" i="21"/>
  <c r="Z29" i="21"/>
  <c r="Z696" i="21" l="1"/>
  <c r="Z659" i="21"/>
  <c r="Z621" i="21"/>
  <c r="Z614" i="21"/>
  <c r="Z281" i="21"/>
  <c r="Z291" i="21"/>
  <c r="Z303" i="21"/>
  <c r="Z258" i="21" l="1"/>
  <c r="Z462" i="21" l="1"/>
  <c r="J78" i="54" l="1"/>
  <c r="Z557" i="21"/>
  <c r="Z425" i="21"/>
  <c r="Z198" i="21"/>
  <c r="Z200" i="21"/>
  <c r="Z663" i="21" l="1"/>
  <c r="Z662" i="21"/>
  <c r="U99" i="12"/>
  <c r="Z45" i="21"/>
  <c r="Z385" i="21" l="1"/>
  <c r="E102" i="25"/>
  <c r="E56" i="25"/>
  <c r="E115" i="25" l="1"/>
  <c r="E125" i="25"/>
  <c r="E121" i="25"/>
  <c r="E123" i="25"/>
  <c r="E131" i="25"/>
  <c r="E90" i="25"/>
  <c r="E46" i="25"/>
  <c r="E44" i="25"/>
  <c r="E33" i="25"/>
  <c r="E19" i="25"/>
  <c r="E17" i="25"/>
  <c r="E103" i="25"/>
  <c r="E81" i="25"/>
  <c r="E54" i="25"/>
  <c r="E66" i="25"/>
  <c r="E68" i="25"/>
  <c r="E72" i="25"/>
  <c r="E104" i="25"/>
  <c r="E127" i="25"/>
  <c r="Z424" i="21" l="1"/>
  <c r="Z420" i="21" s="1"/>
  <c r="Z391" i="21"/>
  <c r="Z579" i="21" l="1"/>
  <c r="Z578" i="21" s="1"/>
  <c r="Z353" i="21"/>
  <c r="Z355" i="21"/>
  <c r="U501" i="12" l="1"/>
  <c r="E124" i="25" l="1"/>
  <c r="E55" i="25"/>
  <c r="E43" i="25" l="1"/>
  <c r="E38" i="25"/>
  <c r="E34" i="25"/>
  <c r="E31" i="25"/>
  <c r="Z393" i="21"/>
  <c r="E30" i="25" l="1"/>
  <c r="E175" i="25"/>
  <c r="Z432" i="21" l="1"/>
  <c r="Z30" i="21" l="1"/>
  <c r="Z71" i="21" l="1"/>
  <c r="Z609" i="21" l="1"/>
  <c r="U354" i="12" s="1"/>
  <c r="U353" i="12" s="1"/>
  <c r="Z630" i="21"/>
  <c r="U377" i="12" l="1"/>
  <c r="U376" i="12" s="1"/>
  <c r="Z392" i="21"/>
  <c r="U79" i="12" l="1"/>
  <c r="U78" i="12" s="1"/>
  <c r="J51" i="41"/>
  <c r="E149" i="25" l="1"/>
  <c r="Z178" i="21"/>
  <c r="Z171" i="21"/>
  <c r="U219" i="12" s="1"/>
  <c r="U218" i="12" s="1"/>
  <c r="Z608" i="21" l="1"/>
  <c r="Z646" i="21" l="1"/>
  <c r="U399" i="12" l="1"/>
  <c r="U398" i="12" s="1"/>
  <c r="J56" i="41"/>
  <c r="U95" i="12"/>
  <c r="Z76" i="21"/>
  <c r="Z494" i="21"/>
  <c r="Z703" i="21" l="1"/>
  <c r="Z702" i="21"/>
  <c r="E163" i="25"/>
  <c r="Z337" i="21"/>
  <c r="E144" i="25"/>
  <c r="G209" i="25" l="1"/>
  <c r="G210" i="25"/>
  <c r="G211" i="25"/>
  <c r="G212" i="25"/>
  <c r="G213" i="25"/>
  <c r="G214" i="25"/>
  <c r="F215" i="25"/>
  <c r="F207" i="25"/>
  <c r="W52" i="12" l="1"/>
  <c r="V52" i="12"/>
  <c r="U52" i="12"/>
  <c r="AB379" i="21"/>
  <c r="AA379" i="21"/>
  <c r="Z379" i="21"/>
  <c r="K40" i="55" l="1"/>
  <c r="L40" i="55"/>
  <c r="J40" i="55"/>
  <c r="K188" i="55"/>
  <c r="K186" i="55"/>
  <c r="K185" i="55"/>
  <c r="K184" i="55"/>
  <c r="L182" i="55"/>
  <c r="K182" i="55"/>
  <c r="J182" i="55"/>
  <c r="L181" i="55"/>
  <c r="K181" i="55"/>
  <c r="J181" i="55"/>
  <c r="L180" i="55"/>
  <c r="K180" i="55"/>
  <c r="L179" i="55"/>
  <c r="L183" i="55" s="1"/>
  <c r="K179" i="55"/>
  <c r="K183" i="55" s="1"/>
  <c r="J179" i="55"/>
  <c r="J183" i="55" s="1"/>
  <c r="L176" i="55"/>
  <c r="K176" i="55"/>
  <c r="J176" i="55"/>
  <c r="J175" i="55"/>
  <c r="L174" i="55"/>
  <c r="L177" i="55" s="1"/>
  <c r="K174" i="55"/>
  <c r="K177" i="55" s="1"/>
  <c r="J169" i="55"/>
  <c r="J168" i="55"/>
  <c r="L167" i="55"/>
  <c r="K167" i="55"/>
  <c r="L162" i="55"/>
  <c r="L172" i="55" s="1"/>
  <c r="K162" i="55"/>
  <c r="K172" i="55" s="1"/>
  <c r="J162" i="55"/>
  <c r="K160" i="55"/>
  <c r="L140" i="55"/>
  <c r="K140" i="55"/>
  <c r="J140" i="55"/>
  <c r="L136" i="55"/>
  <c r="K136" i="55"/>
  <c r="J136" i="55"/>
  <c r="J180" i="55" s="1"/>
  <c r="L131" i="55"/>
  <c r="K131" i="55"/>
  <c r="J131" i="55"/>
  <c r="L116" i="55"/>
  <c r="K116" i="55"/>
  <c r="J116" i="55"/>
  <c r="L109" i="55"/>
  <c r="K109" i="55"/>
  <c r="J109" i="55"/>
  <c r="L96" i="55"/>
  <c r="K96" i="55"/>
  <c r="J96" i="55"/>
  <c r="L49" i="55"/>
  <c r="K49" i="55"/>
  <c r="J49" i="55"/>
  <c r="L37" i="55"/>
  <c r="K37" i="55"/>
  <c r="J37" i="55"/>
  <c r="L30" i="55"/>
  <c r="K30" i="55"/>
  <c r="L24" i="55"/>
  <c r="K24" i="55"/>
  <c r="J24" i="55"/>
  <c r="L14" i="55"/>
  <c r="K14" i="55"/>
  <c r="J151" i="55" l="1"/>
  <c r="L151" i="55"/>
  <c r="K151" i="55"/>
  <c r="K187" i="55"/>
  <c r="K189" i="55"/>
  <c r="J177" i="55"/>
  <c r="J167" i="55"/>
  <c r="J172" i="55" s="1"/>
  <c r="K124" i="54" l="1"/>
  <c r="L124" i="54"/>
  <c r="K39" i="54"/>
  <c r="L39" i="54"/>
  <c r="E173" i="25"/>
  <c r="Z530" i="21" l="1"/>
  <c r="Z752" i="21"/>
  <c r="Z760" i="21"/>
  <c r="K133" i="54" l="1"/>
  <c r="L133" i="54"/>
  <c r="K140" i="54"/>
  <c r="Z641" i="21" l="1"/>
  <c r="Z756" i="21" l="1"/>
  <c r="Z543" i="21" l="1"/>
  <c r="Z545" i="21" l="1"/>
  <c r="Z336" i="21"/>
  <c r="U528" i="12" l="1"/>
  <c r="U527" i="12" s="1"/>
  <c r="Z83" i="21"/>
  <c r="Z82" i="21"/>
  <c r="U375" i="12" l="1"/>
  <c r="Z430" i="21"/>
  <c r="Z447" i="21"/>
  <c r="Z446" i="21" s="1"/>
  <c r="I44" i="10" s="1"/>
  <c r="U152" i="12" l="1"/>
  <c r="U151" i="12" s="1"/>
  <c r="Z635" i="21"/>
  <c r="Z645" i="21" l="1"/>
  <c r="Z564" i="21" l="1"/>
  <c r="Z562" i="21" l="1"/>
  <c r="Z561" i="21" s="1"/>
  <c r="U340" i="12" s="1"/>
  <c r="U339" i="12" s="1"/>
  <c r="Z479" i="21"/>
  <c r="Z266" i="21"/>
  <c r="Z294" i="21" l="1"/>
  <c r="Z637" i="21"/>
  <c r="Z216" i="21"/>
  <c r="Z214" i="21"/>
  <c r="Z212" i="21"/>
  <c r="Z210" i="21"/>
  <c r="Z208" i="21"/>
  <c r="Z206" i="21"/>
  <c r="Z541" i="21" l="1"/>
  <c r="Z408" i="21" l="1"/>
  <c r="Z406" i="21" s="1"/>
  <c r="K32" i="41" l="1"/>
  <c r="F160" i="25"/>
  <c r="G160" i="25"/>
  <c r="W121" i="12"/>
  <c r="V121" i="12"/>
  <c r="W122" i="12"/>
  <c r="V122" i="12"/>
  <c r="AB84" i="21"/>
  <c r="AA84" i="21"/>
  <c r="V120" i="12" l="1"/>
  <c r="W120" i="12"/>
  <c r="Z388" i="21"/>
  <c r="Z96" i="21"/>
  <c r="Z199" i="21" l="1"/>
  <c r="Z176" i="21"/>
  <c r="Z174" i="21"/>
  <c r="U251" i="12" l="1"/>
  <c r="U250" i="12" s="1"/>
  <c r="E73" i="25"/>
  <c r="E97" i="25"/>
  <c r="E92" i="25" l="1"/>
  <c r="E91" i="25"/>
  <c r="E89" i="25"/>
  <c r="E88" i="25"/>
  <c r="E61" i="25"/>
  <c r="E53" i="25" s="1"/>
  <c r="E86" i="25" l="1"/>
  <c r="E87" i="25"/>
  <c r="F216" i="25"/>
  <c r="G216" i="25" s="1"/>
  <c r="E183" i="25"/>
  <c r="L32" i="41"/>
  <c r="AB241" i="21"/>
  <c r="AA241" i="21"/>
  <c r="AB91" i="21"/>
  <c r="AA91" i="21"/>
  <c r="AB82" i="21"/>
  <c r="AB81" i="21" s="1"/>
  <c r="AA82" i="21"/>
  <c r="AA81" i="21" s="1"/>
  <c r="G164" i="25"/>
  <c r="F164" i="25"/>
  <c r="AB716" i="21"/>
  <c r="AA716" i="21"/>
  <c r="AB88" i="21"/>
  <c r="AA88" i="21"/>
  <c r="AB725" i="21"/>
  <c r="W70" i="12" s="1"/>
  <c r="W69" i="12" s="1"/>
  <c r="AA725" i="21"/>
  <c r="V70" i="12" s="1"/>
  <c r="V69" i="12" s="1"/>
  <c r="U21" i="12" l="1"/>
  <c r="Z21" i="21"/>
  <c r="Z19" i="21" s="1"/>
  <c r="Z230" i="21" l="1"/>
  <c r="E145" i="25"/>
  <c r="U121" i="12"/>
  <c r="U122" i="12"/>
  <c r="Z84" i="21"/>
  <c r="U120" i="12" l="1"/>
  <c r="E164" i="25"/>
  <c r="Z634" i="21" l="1"/>
  <c r="Z633" i="21"/>
  <c r="U381" i="12" l="1"/>
  <c r="U380" i="12" s="1"/>
  <c r="Z228" i="21"/>
  <c r="Z229" i="21"/>
  <c r="U287" i="12" s="1"/>
  <c r="U286" i="12" s="1"/>
  <c r="Z254" i="21" l="1"/>
  <c r="Z640" i="21" l="1"/>
  <c r="U387" i="12" l="1"/>
  <c r="U386" i="12" s="1"/>
  <c r="Z516" i="21" l="1"/>
  <c r="Z515" i="21"/>
  <c r="Z514" i="21"/>
  <c r="Z513" i="21"/>
  <c r="Z512" i="21"/>
  <c r="Z511" i="21"/>
  <c r="Z510" i="21"/>
  <c r="Z602" i="21"/>
  <c r="Z725" i="21"/>
  <c r="U70" i="12" s="1"/>
  <c r="U69" i="12" s="1"/>
  <c r="Z481" i="21" l="1"/>
  <c r="Z549" i="21" l="1"/>
  <c r="Z548" i="21" s="1"/>
  <c r="U328" i="12" s="1"/>
  <c r="U327" i="12" s="1"/>
  <c r="AA541" i="21" l="1"/>
  <c r="AA540" i="21" s="1"/>
  <c r="AA535" i="21" s="1"/>
  <c r="AB541" i="21"/>
  <c r="AB540" i="21" s="1"/>
  <c r="AB535" i="21" s="1"/>
  <c r="Z540" i="21"/>
  <c r="Z399" i="21" l="1"/>
  <c r="U105" i="12" s="1"/>
  <c r="U104" i="12" s="1"/>
  <c r="Z387" i="21"/>
  <c r="U77" i="12" s="1"/>
  <c r="U76" i="12" s="1"/>
  <c r="Z487" i="21" l="1"/>
  <c r="Z136" i="21" l="1"/>
  <c r="Z685" i="10" l="1"/>
  <c r="Z72" i="21" l="1"/>
  <c r="U109" i="12" l="1"/>
  <c r="U110" i="12"/>
  <c r="U108" i="12"/>
  <c r="U45" i="12" l="1"/>
  <c r="U44" i="12" s="1"/>
  <c r="Z373" i="21" l="1"/>
  <c r="U103" i="12"/>
  <c r="U102" i="12" s="1"/>
  <c r="Z458" i="21"/>
  <c r="E116" i="25" l="1"/>
  <c r="E101" i="25" s="1"/>
  <c r="F80" i="25" l="1"/>
  <c r="G80" i="25"/>
  <c r="E80" i="25"/>
  <c r="Z342" i="21" l="1"/>
  <c r="Z595" i="21" l="1"/>
  <c r="E161" i="25"/>
  <c r="Z259" i="21"/>
  <c r="U330" i="12" s="1"/>
  <c r="U329" i="12" s="1"/>
  <c r="Z476" i="21" l="1"/>
  <c r="Z498" i="21"/>
  <c r="Z588" i="21" l="1"/>
  <c r="Z586" i="21" s="1"/>
  <c r="K51" i="41" l="1"/>
  <c r="L51" i="41"/>
  <c r="K56" i="41"/>
  <c r="L56" i="41"/>
  <c r="K122" i="41"/>
  <c r="L122" i="41"/>
  <c r="J122" i="41"/>
  <c r="V101" i="12"/>
  <c r="V100" i="12" s="1"/>
  <c r="W101" i="12"/>
  <c r="W100" i="12" s="1"/>
  <c r="U101" i="12"/>
  <c r="U100" i="12" s="1"/>
  <c r="AA75" i="21" l="1"/>
  <c r="AB75" i="21"/>
  <c r="Z75" i="21"/>
  <c r="AA416" i="21" l="1"/>
  <c r="AA415" i="21" s="1"/>
  <c r="AB416" i="21"/>
  <c r="AB415" i="21" s="1"/>
  <c r="Z416" i="21"/>
  <c r="Z415" i="21" s="1"/>
  <c r="Z553" i="21" l="1"/>
  <c r="Z585" i="21" l="1"/>
  <c r="I34" i="10" s="1"/>
  <c r="Z584" i="21" l="1"/>
  <c r="E69" i="25"/>
  <c r="Z583" i="21" l="1"/>
  <c r="U573" i="12"/>
  <c r="Z457" i="21"/>
  <c r="I50" i="10" s="1"/>
  <c r="Z456" i="21" l="1"/>
  <c r="Z187" i="21"/>
  <c r="U234" i="12" l="1"/>
  <c r="Z537" i="21" l="1"/>
  <c r="Z536" i="21" s="1"/>
  <c r="U321" i="12" l="1"/>
  <c r="U320" i="12" s="1"/>
  <c r="Z535" i="21"/>
  <c r="Z503" i="21"/>
  <c r="Z502" i="21" s="1"/>
  <c r="U298" i="12" s="1"/>
  <c r="U297" i="12" s="1"/>
  <c r="Z265" i="21"/>
  <c r="U338" i="12" s="1"/>
  <c r="U337" i="12" s="1"/>
  <c r="Z215" i="21" l="1"/>
  <c r="U267" i="12" s="1"/>
  <c r="U266" i="12" s="1"/>
  <c r="Z213" i="21"/>
  <c r="U265" i="12" s="1"/>
  <c r="U264" i="12" s="1"/>
  <c r="Z211" i="21"/>
  <c r="U263" i="12" s="1"/>
  <c r="U262" i="12" s="1"/>
  <c r="Z209" i="21"/>
  <c r="U261" i="12" s="1"/>
  <c r="U260" i="12" s="1"/>
  <c r="Z207" i="21"/>
  <c r="U259" i="12" s="1"/>
  <c r="U258" i="12" s="1"/>
  <c r="Z205" i="21"/>
  <c r="U257" i="12" l="1"/>
  <c r="U256" i="12" s="1"/>
  <c r="Z566" i="21"/>
  <c r="Z257" i="21"/>
  <c r="U325" i="12" s="1"/>
  <c r="I17" i="10" l="1"/>
  <c r="U497" i="12"/>
  <c r="Z565" i="21"/>
  <c r="Z419" i="21"/>
  <c r="U114" i="12" l="1"/>
  <c r="U113" i="12" s="1"/>
  <c r="F41" i="25" l="1"/>
  <c r="G41" i="25"/>
  <c r="E41" i="25"/>
  <c r="E40" i="25" s="1"/>
  <c r="Z668" i="21" l="1"/>
  <c r="Z453" i="21" l="1"/>
  <c r="Z452" i="21" s="1"/>
  <c r="Z70" i="21"/>
  <c r="U107" i="12" s="1"/>
  <c r="U106" i="12" s="1"/>
  <c r="W289" i="12"/>
  <c r="Z227" i="21"/>
  <c r="U285" i="12" s="1"/>
  <c r="Z226" i="21"/>
  <c r="D28" i="14" l="1"/>
  <c r="U198" i="12"/>
  <c r="U197" i="12" s="1"/>
  <c r="Z451" i="21"/>
  <c r="Z450" i="21" s="1"/>
  <c r="Z552" i="21"/>
  <c r="I54" i="10" l="1"/>
  <c r="U334" i="12"/>
  <c r="U333" i="12" s="1"/>
  <c r="Z632" i="21"/>
  <c r="U379" i="12" s="1"/>
  <c r="U378" i="12" s="1"/>
  <c r="G28" i="25" l="1"/>
  <c r="F28" i="25"/>
  <c r="E28" i="25"/>
  <c r="G26" i="25"/>
  <c r="F26" i="25"/>
  <c r="E26" i="25"/>
  <c r="Z412" i="21" l="1"/>
  <c r="Z411" i="21" s="1"/>
  <c r="U62" i="12" s="1"/>
  <c r="U61" i="12" s="1"/>
  <c r="Z497" i="21" l="1"/>
  <c r="Z405" i="21"/>
  <c r="U64" i="12" l="1"/>
  <c r="Z166" i="21" l="1"/>
  <c r="Z109" i="21"/>
  <c r="Z202" i="21"/>
  <c r="Z279" i="21"/>
  <c r="Z327" i="21"/>
  <c r="Z142" i="21"/>
  <c r="Z126" i="21"/>
  <c r="Z124" i="21"/>
  <c r="Z120" i="21"/>
  <c r="L214" i="54" l="1"/>
  <c r="K214" i="54"/>
  <c r="J214" i="54"/>
  <c r="L213" i="54"/>
  <c r="K213" i="54"/>
  <c r="J213" i="54"/>
  <c r="L212" i="54"/>
  <c r="K212" i="54"/>
  <c r="L211" i="54"/>
  <c r="L215" i="54" s="1"/>
  <c r="K211" i="54"/>
  <c r="K215" i="54" s="1"/>
  <c r="J211" i="54"/>
  <c r="J215" i="54" s="1"/>
  <c r="L208" i="54"/>
  <c r="K208" i="54"/>
  <c r="J208" i="54"/>
  <c r="J207" i="54"/>
  <c r="L206" i="54"/>
  <c r="L209" i="54" s="1"/>
  <c r="K206" i="54"/>
  <c r="K209" i="54" s="1"/>
  <c r="J201" i="54"/>
  <c r="K199" i="54"/>
  <c r="L194" i="54"/>
  <c r="L204" i="54" s="1"/>
  <c r="K194" i="54"/>
  <c r="K204" i="54" s="1"/>
  <c r="J194" i="54"/>
  <c r="L171" i="54"/>
  <c r="K171" i="54"/>
  <c r="J171" i="54"/>
  <c r="L167" i="54"/>
  <c r="K167" i="54"/>
  <c r="J167" i="54"/>
  <c r="J212" i="54" s="1"/>
  <c r="L162" i="54"/>
  <c r="K162" i="54"/>
  <c r="J162" i="54"/>
  <c r="L147" i="54"/>
  <c r="K147" i="54"/>
  <c r="L140" i="54"/>
  <c r="J140" i="54"/>
  <c r="L121" i="54"/>
  <c r="K121" i="54"/>
  <c r="L96" i="54"/>
  <c r="K96" i="54"/>
  <c r="L78" i="54"/>
  <c r="K78" i="54"/>
  <c r="L74" i="54"/>
  <c r="L55" i="54"/>
  <c r="K55" i="54"/>
  <c r="L49" i="54"/>
  <c r="K49" i="54"/>
  <c r="J49" i="54"/>
  <c r="J200" i="54"/>
  <c r="J182" i="54" l="1"/>
  <c r="J209" i="54"/>
  <c r="L182" i="54"/>
  <c r="K182" i="54"/>
  <c r="J199" i="54"/>
  <c r="J204" i="54" s="1"/>
  <c r="L199" i="54"/>
  <c r="G22" i="25"/>
  <c r="F22" i="25"/>
  <c r="E22" i="25"/>
  <c r="G24" i="25"/>
  <c r="F24" i="25"/>
  <c r="E24" i="25"/>
  <c r="E21" i="25" l="1"/>
  <c r="F21" i="25"/>
  <c r="G21" i="25"/>
  <c r="Z293" i="21"/>
  <c r="U469" i="12" s="1"/>
  <c r="U468" i="12" s="1"/>
  <c r="Z292" i="21" l="1"/>
  <c r="Z55" i="21"/>
  <c r="Z66" i="21"/>
  <c r="Z62" i="21"/>
  <c r="Z49" i="21" s="1"/>
  <c r="AB623" i="21" l="1"/>
  <c r="AB625" i="21"/>
  <c r="AA623" i="21"/>
  <c r="AA625" i="21"/>
  <c r="AA783" i="21"/>
  <c r="Z677" i="21"/>
  <c r="L137" i="41"/>
  <c r="L151" i="41" s="1"/>
  <c r="K137" i="41"/>
  <c r="AB710" i="21" l="1"/>
  <c r="AA710" i="21"/>
  <c r="G162" i="25"/>
  <c r="F162" i="25"/>
  <c r="AB649" i="21"/>
  <c r="AA649" i="21"/>
  <c r="G166" i="25"/>
  <c r="F166" i="25"/>
  <c r="G156" i="25"/>
  <c r="F156" i="25"/>
  <c r="AB668" i="21"/>
  <c r="AA668" i="21"/>
  <c r="AB643" i="21"/>
  <c r="AA643" i="21"/>
  <c r="G159" i="25" l="1"/>
  <c r="F159" i="25"/>
  <c r="E159" i="25"/>
  <c r="AB39" i="21"/>
  <c r="AA39" i="21"/>
  <c r="Z39" i="21"/>
  <c r="AB376" i="21"/>
  <c r="AA376" i="21"/>
  <c r="Z376" i="21"/>
  <c r="G161" i="25"/>
  <c r="F161" i="25"/>
  <c r="G154" i="25" l="1"/>
  <c r="F154" i="25"/>
  <c r="E147" i="25"/>
  <c r="AB140" i="21"/>
  <c r="AA140" i="21"/>
  <c r="Z140" i="21"/>
  <c r="E180" i="25" l="1"/>
  <c r="E207" i="25"/>
  <c r="G207" i="25" l="1"/>
  <c r="E182" i="25"/>
  <c r="E168" i="25"/>
  <c r="E215" i="25"/>
  <c r="G215" i="25" s="1"/>
  <c r="Z77" i="21"/>
  <c r="U112" i="12" l="1"/>
  <c r="U111" i="12" s="1"/>
  <c r="Z304" i="21"/>
  <c r="C17" i="11"/>
  <c r="Z787" i="21"/>
  <c r="G30" i="53" l="1"/>
  <c r="G29" i="53"/>
  <c r="D68" i="53"/>
  <c r="D64" i="53"/>
  <c r="F50" i="53"/>
  <c r="D50" i="53"/>
  <c r="E50" i="53"/>
  <c r="F37" i="53"/>
  <c r="E37" i="53"/>
  <c r="D37" i="53"/>
  <c r="D17" i="53"/>
  <c r="V98" i="12" l="1"/>
  <c r="V97" i="12"/>
  <c r="AA66" i="21"/>
  <c r="W98" i="12"/>
  <c r="W97" i="12"/>
  <c r="AB66" i="21"/>
  <c r="AB608" i="21"/>
  <c r="W94" i="12"/>
  <c r="V94" i="12"/>
  <c r="W93" i="12"/>
  <c r="V93" i="12"/>
  <c r="AB62" i="21"/>
  <c r="AA62" i="21"/>
  <c r="AB239" i="21"/>
  <c r="AA239" i="21"/>
  <c r="AB60" i="21"/>
  <c r="W91" i="12" s="1"/>
  <c r="W90" i="12" s="1"/>
  <c r="AA60" i="21"/>
  <c r="V91" i="12" s="1"/>
  <c r="V90" i="12" s="1"/>
  <c r="AB629" i="21"/>
  <c r="AA629" i="21"/>
  <c r="U98" i="12"/>
  <c r="U94" i="12"/>
  <c r="W96" i="12" l="1"/>
  <c r="W92" i="12"/>
  <c r="V92" i="12"/>
  <c r="V96" i="12"/>
  <c r="E154" i="25"/>
  <c r="E208" i="25" l="1"/>
  <c r="E217" i="25" s="1"/>
  <c r="E181" i="25"/>
  <c r="E186" i="25"/>
  <c r="E188" i="25" s="1"/>
  <c r="E157" i="25"/>
  <c r="G157" i="25"/>
  <c r="U97" i="12" l="1"/>
  <c r="U96" i="12" s="1"/>
  <c r="U93" i="12"/>
  <c r="U92" i="12" s="1"/>
  <c r="U91" i="12"/>
  <c r="U90" i="12" s="1"/>
  <c r="Z60" i="21"/>
  <c r="U60" i="12" l="1"/>
  <c r="AB604" i="21"/>
  <c r="E20" i="11"/>
  <c r="D20" i="11"/>
  <c r="C20" i="11"/>
  <c r="AB677" i="21"/>
  <c r="AA677" i="21"/>
  <c r="AB787" i="21"/>
  <c r="AA787" i="21"/>
  <c r="W493" i="12" l="1"/>
  <c r="W492" i="12" s="1"/>
  <c r="V493" i="12"/>
  <c r="V492" i="12" s="1"/>
  <c r="U493" i="12"/>
  <c r="U492" i="12" s="1"/>
  <c r="F157" i="25"/>
  <c r="AB304" i="21"/>
  <c r="AA304" i="21"/>
  <c r="Z175" i="21" l="1"/>
  <c r="U223" i="12" s="1"/>
  <c r="U222" i="12" s="1"/>
  <c r="AB783" i="21" l="1"/>
  <c r="N11" i="49" l="1"/>
  <c r="M11" i="49"/>
  <c r="K11" i="49"/>
  <c r="J11" i="49"/>
  <c r="H11" i="49"/>
  <c r="G11" i="49"/>
  <c r="E11" i="49"/>
  <c r="D11" i="49"/>
  <c r="C11" i="49"/>
  <c r="F10" i="49"/>
  <c r="I10" i="49" s="1"/>
  <c r="L10" i="49" s="1"/>
  <c r="O10" i="49" s="1"/>
  <c r="I9" i="49"/>
  <c r="L9" i="49" s="1"/>
  <c r="O9" i="49" s="1"/>
  <c r="F8" i="49"/>
  <c r="I8" i="49" s="1"/>
  <c r="L8" i="49" s="1"/>
  <c r="O8" i="49" s="1"/>
  <c r="A8" i="49"/>
  <c r="A9" i="49" s="1"/>
  <c r="A10" i="49" s="1"/>
  <c r="F7" i="49"/>
  <c r="I7" i="49" s="1"/>
  <c r="L7" i="49" s="1"/>
  <c r="O7" i="49" s="1"/>
  <c r="F11" i="49" l="1"/>
  <c r="I11" i="49" s="1"/>
  <c r="L11" i="49" s="1"/>
  <c r="O11" i="49" s="1"/>
  <c r="W449" i="12"/>
  <c r="W448" i="12" s="1"/>
  <c r="V449" i="12"/>
  <c r="V448" i="12" s="1"/>
  <c r="U449" i="12"/>
  <c r="U448" i="12" s="1"/>
  <c r="Z759" i="21"/>
  <c r="U481" i="12" s="1"/>
  <c r="U480" i="12" s="1"/>
  <c r="Z755" i="21"/>
  <c r="U477" i="12" s="1"/>
  <c r="U476" i="12" s="1"/>
  <c r="Z751" i="21"/>
  <c r="U473" i="12" s="1"/>
  <c r="U472" i="12" s="1"/>
  <c r="Z743" i="21"/>
  <c r="U414" i="12" s="1"/>
  <c r="U413" i="12" s="1"/>
  <c r="E17" i="50" l="1"/>
  <c r="G34" i="25" l="1"/>
  <c r="AB375" i="21" l="1"/>
  <c r="AA375" i="21"/>
  <c r="Z375" i="21"/>
  <c r="O8" i="51" l="1"/>
  <c r="N8" i="51"/>
  <c r="L21" i="51" l="1"/>
  <c r="AB612" i="21" l="1"/>
  <c r="AA612" i="21"/>
  <c r="G163" i="25"/>
  <c r="AB700" i="21"/>
  <c r="AB703" i="21"/>
  <c r="AA703" i="21"/>
  <c r="AB706" i="21"/>
  <c r="AA706" i="21"/>
  <c r="G165" i="25"/>
  <c r="F165" i="25"/>
  <c r="F168" i="25" l="1"/>
  <c r="F140" i="25"/>
  <c r="G168" i="25"/>
  <c r="G140" i="25"/>
  <c r="H65" i="51"/>
  <c r="N68" i="51"/>
  <c r="E65" i="51" l="1"/>
  <c r="F34" i="51"/>
  <c r="J100" i="51"/>
  <c r="M113" i="51" l="1"/>
  <c r="D113" i="51"/>
  <c r="M112" i="51"/>
  <c r="D112" i="51"/>
  <c r="O111" i="51"/>
  <c r="N111" i="51"/>
  <c r="J111" i="51"/>
  <c r="G111" i="51"/>
  <c r="D111" i="51"/>
  <c r="O110" i="51"/>
  <c r="N110" i="51"/>
  <c r="J110" i="51"/>
  <c r="G110" i="51"/>
  <c r="D110" i="51"/>
  <c r="O109" i="51"/>
  <c r="N109" i="51"/>
  <c r="J109" i="51"/>
  <c r="G109" i="51"/>
  <c r="D109" i="51"/>
  <c r="O108" i="51"/>
  <c r="N108" i="51"/>
  <c r="J108" i="51"/>
  <c r="G108" i="51"/>
  <c r="D108" i="51"/>
  <c r="O107" i="51"/>
  <c r="N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N91" i="51"/>
  <c r="N90" i="51" s="1"/>
  <c r="J91" i="51"/>
  <c r="G91" i="51"/>
  <c r="D91" i="51"/>
  <c r="L90" i="51"/>
  <c r="J90" i="51" s="1"/>
  <c r="K90" i="51"/>
  <c r="I90" i="51"/>
  <c r="H90" i="51"/>
  <c r="F90" i="51"/>
  <c r="E90" i="51"/>
  <c r="O89" i="51"/>
  <c r="N89" i="51"/>
  <c r="J89" i="51"/>
  <c r="G89" i="51"/>
  <c r="D89" i="51"/>
  <c r="N88" i="51"/>
  <c r="M88" i="51" s="1"/>
  <c r="J88" i="51"/>
  <c r="G88" i="51"/>
  <c r="D88" i="51"/>
  <c r="N87" i="51"/>
  <c r="M87" i="51" s="1"/>
  <c r="J87" i="51"/>
  <c r="G87" i="51"/>
  <c r="D87" i="51"/>
  <c r="O86" i="51"/>
  <c r="N86" i="51"/>
  <c r="J86" i="51"/>
  <c r="G86" i="51"/>
  <c r="D86" i="51"/>
  <c r="L85" i="51"/>
  <c r="K85" i="51"/>
  <c r="I85" i="51"/>
  <c r="H85" i="51"/>
  <c r="F85" i="51"/>
  <c r="E85" i="51"/>
  <c r="O84" i="51"/>
  <c r="N84" i="51"/>
  <c r="J84" i="51"/>
  <c r="G84" i="51"/>
  <c r="D84" i="51"/>
  <c r="O83" i="51"/>
  <c r="N83" i="51"/>
  <c r="J83" i="51"/>
  <c r="G83" i="51"/>
  <c r="D83" i="51"/>
  <c r="O82" i="51"/>
  <c r="N82" i="51"/>
  <c r="J82" i="51"/>
  <c r="G82" i="51"/>
  <c r="D82" i="51"/>
  <c r="O81" i="51"/>
  <c r="N81" i="51"/>
  <c r="J81" i="51"/>
  <c r="G81" i="51"/>
  <c r="D81" i="51"/>
  <c r="L80" i="51"/>
  <c r="K80" i="51"/>
  <c r="I80" i="51"/>
  <c r="H80" i="51"/>
  <c r="F80" i="51"/>
  <c r="E80" i="51"/>
  <c r="O79" i="51"/>
  <c r="M79" i="51" s="1"/>
  <c r="J79" i="51"/>
  <c r="G79" i="51"/>
  <c r="D79" i="51"/>
  <c r="O78" i="51"/>
  <c r="N78" i="51"/>
  <c r="J78" i="51"/>
  <c r="G78" i="51"/>
  <c r="D78" i="51"/>
  <c r="O77" i="51"/>
  <c r="N77" i="51"/>
  <c r="J77" i="51"/>
  <c r="G77" i="51"/>
  <c r="D77" i="51"/>
  <c r="O76" i="51"/>
  <c r="N76" i="51"/>
  <c r="J76" i="51"/>
  <c r="G76" i="51"/>
  <c r="D76" i="51"/>
  <c r="O75" i="51"/>
  <c r="N75" i="51"/>
  <c r="J75" i="51"/>
  <c r="G75" i="51"/>
  <c r="D75" i="51"/>
  <c r="L74" i="51"/>
  <c r="K74" i="51"/>
  <c r="I74" i="51"/>
  <c r="G74" i="51" s="1"/>
  <c r="E74" i="51"/>
  <c r="D74" i="51" s="1"/>
  <c r="O72" i="51"/>
  <c r="M72" i="51" s="1"/>
  <c r="N72" i="51"/>
  <c r="J72" i="51"/>
  <c r="G72" i="51"/>
  <c r="D72" i="51"/>
  <c r="N71" i="51"/>
  <c r="L71" i="51"/>
  <c r="K71" i="51"/>
  <c r="I71" i="51"/>
  <c r="H71" i="51"/>
  <c r="F71" i="51"/>
  <c r="E71" i="51"/>
  <c r="O70" i="51"/>
  <c r="N70" i="51"/>
  <c r="J70" i="51"/>
  <c r="G70" i="51"/>
  <c r="D70" i="51"/>
  <c r="O69" i="51"/>
  <c r="M69" i="51" s="1"/>
  <c r="J69" i="51"/>
  <c r="G69" i="51"/>
  <c r="D69" i="51"/>
  <c r="O67" i="51"/>
  <c r="N67" i="51"/>
  <c r="J67" i="51"/>
  <c r="G67" i="51"/>
  <c r="D67" i="51"/>
  <c r="O66" i="51"/>
  <c r="N66" i="51"/>
  <c r="J66" i="51"/>
  <c r="G66" i="51"/>
  <c r="D66" i="51"/>
  <c r="L65" i="51"/>
  <c r="K65" i="51"/>
  <c r="I65" i="51"/>
  <c r="F65" i="51"/>
  <c r="D65" i="51" s="1"/>
  <c r="O64" i="51"/>
  <c r="O62" i="51" s="1"/>
  <c r="N64" i="51"/>
  <c r="J64" i="51"/>
  <c r="G64" i="51"/>
  <c r="D64" i="51"/>
  <c r="N63" i="51"/>
  <c r="M63" i="51" s="1"/>
  <c r="J63" i="51"/>
  <c r="G63" i="51"/>
  <c r="D63" i="51"/>
  <c r="L62" i="51"/>
  <c r="K62" i="51"/>
  <c r="I62" i="51"/>
  <c r="H62" i="51"/>
  <c r="F62" i="51"/>
  <c r="E62" i="51"/>
  <c r="O61" i="51"/>
  <c r="N61" i="51"/>
  <c r="J61" i="51"/>
  <c r="G61" i="51"/>
  <c r="D61" i="51"/>
  <c r="O60" i="51"/>
  <c r="N60" i="51"/>
  <c r="J60" i="51"/>
  <c r="G60" i="51"/>
  <c r="D60" i="51"/>
  <c r="O59" i="51"/>
  <c r="M59" i="51" s="1"/>
  <c r="J59" i="51"/>
  <c r="G59" i="51"/>
  <c r="D59" i="51"/>
  <c r="O58" i="51"/>
  <c r="N58" i="51"/>
  <c r="J58" i="51"/>
  <c r="G58" i="51"/>
  <c r="D58" i="51"/>
  <c r="L57" i="51"/>
  <c r="K57" i="51"/>
  <c r="I57" i="51"/>
  <c r="H57" i="51"/>
  <c r="F57" i="51"/>
  <c r="E57" i="51"/>
  <c r="O56" i="51"/>
  <c r="N56" i="51"/>
  <c r="M56" i="51" s="1"/>
  <c r="J56" i="51"/>
  <c r="G56" i="51"/>
  <c r="D56" i="51"/>
  <c r="O55" i="51"/>
  <c r="M55" i="51" s="1"/>
  <c r="J55" i="51"/>
  <c r="G55" i="51"/>
  <c r="D55" i="51"/>
  <c r="O54" i="51"/>
  <c r="N54" i="51"/>
  <c r="J54" i="51"/>
  <c r="G54" i="51"/>
  <c r="D54" i="51"/>
  <c r="M53" i="51"/>
  <c r="J53" i="51"/>
  <c r="G53" i="51"/>
  <c r="D53" i="51"/>
  <c r="O52" i="51"/>
  <c r="M52" i="51" s="1"/>
  <c r="J52" i="51"/>
  <c r="G52" i="51"/>
  <c r="D52" i="51"/>
  <c r="O51" i="51"/>
  <c r="M51" i="51" s="1"/>
  <c r="J51" i="51"/>
  <c r="G51" i="51"/>
  <c r="D51" i="51"/>
  <c r="L50" i="51"/>
  <c r="K50" i="51"/>
  <c r="I50" i="51"/>
  <c r="H50" i="51"/>
  <c r="F50" i="51"/>
  <c r="E50" i="51"/>
  <c r="O49" i="51"/>
  <c r="N49" i="51"/>
  <c r="J49" i="51"/>
  <c r="G49" i="51"/>
  <c r="D49" i="51"/>
  <c r="O48" i="51"/>
  <c r="M48" i="51" s="1"/>
  <c r="J48" i="51"/>
  <c r="G48" i="51"/>
  <c r="D48" i="51"/>
  <c r="O47" i="51"/>
  <c r="N47" i="51"/>
  <c r="J47" i="51"/>
  <c r="G47" i="51"/>
  <c r="D47" i="51"/>
  <c r="O46" i="51"/>
  <c r="N46" i="51"/>
  <c r="J46" i="51"/>
  <c r="G46" i="51"/>
  <c r="D46" i="51"/>
  <c r="L45" i="51"/>
  <c r="K45" i="51"/>
  <c r="I45" i="51"/>
  <c r="G45" i="51" s="1"/>
  <c r="H45" i="51"/>
  <c r="F45" i="51"/>
  <c r="E45" i="51"/>
  <c r="N44" i="51"/>
  <c r="N43" i="51" s="1"/>
  <c r="J44" i="51"/>
  <c r="G44" i="51"/>
  <c r="D44" i="51"/>
  <c r="O43" i="51"/>
  <c r="L43" i="51"/>
  <c r="K43" i="51"/>
  <c r="J43" i="51" s="1"/>
  <c r="I43" i="51"/>
  <c r="H43" i="51"/>
  <c r="F43" i="51"/>
  <c r="E43" i="51"/>
  <c r="O42" i="51"/>
  <c r="N42" i="51"/>
  <c r="J42" i="51"/>
  <c r="G42" i="51"/>
  <c r="D42" i="51"/>
  <c r="O41" i="51"/>
  <c r="N41" i="51"/>
  <c r="J41" i="51"/>
  <c r="G41" i="51"/>
  <c r="D41" i="51"/>
  <c r="M40" i="51"/>
  <c r="J40" i="51"/>
  <c r="G40" i="51"/>
  <c r="D40" i="51"/>
  <c r="O39" i="51"/>
  <c r="N39" i="51"/>
  <c r="J39" i="51"/>
  <c r="G39" i="51"/>
  <c r="D39" i="51"/>
  <c r="O38" i="51"/>
  <c r="N38" i="51"/>
  <c r="J38" i="51"/>
  <c r="G38" i="51"/>
  <c r="D38" i="51"/>
  <c r="O37" i="51"/>
  <c r="N37" i="51"/>
  <c r="J37" i="51"/>
  <c r="G37" i="51"/>
  <c r="D37" i="51"/>
  <c r="O36" i="51"/>
  <c r="N36" i="51"/>
  <c r="J36" i="51"/>
  <c r="G36" i="51"/>
  <c r="D36" i="51"/>
  <c r="O35" i="51"/>
  <c r="M35" i="51" s="1"/>
  <c r="J35" i="51"/>
  <c r="G35" i="51"/>
  <c r="D35" i="51"/>
  <c r="L34" i="51"/>
  <c r="K34" i="51"/>
  <c r="J34" i="51" s="1"/>
  <c r="I34" i="51"/>
  <c r="H34" i="51"/>
  <c r="E34" i="51"/>
  <c r="O30" i="51"/>
  <c r="N30" i="51"/>
  <c r="J30" i="51"/>
  <c r="G30" i="51"/>
  <c r="D30" i="51"/>
  <c r="M29" i="51"/>
  <c r="J29" i="51"/>
  <c r="G29" i="51"/>
  <c r="D29" i="51"/>
  <c r="M28" i="51"/>
  <c r="J28" i="51"/>
  <c r="G28" i="51"/>
  <c r="D28" i="51"/>
  <c r="J27" i="51"/>
  <c r="G27" i="51"/>
  <c r="D27" i="51"/>
  <c r="N26" i="51"/>
  <c r="M26" i="51" s="1"/>
  <c r="J26" i="51"/>
  <c r="G26" i="51"/>
  <c r="D26" i="51"/>
  <c r="M25" i="51"/>
  <c r="J25" i="51"/>
  <c r="G25" i="51"/>
  <c r="D25" i="51"/>
  <c r="M24" i="51"/>
  <c r="J24" i="51"/>
  <c r="G24" i="51"/>
  <c r="D24" i="51"/>
  <c r="M23" i="51"/>
  <c r="J23" i="51"/>
  <c r="G23" i="51"/>
  <c r="D23" i="51"/>
  <c r="M22" i="51"/>
  <c r="J22" i="51"/>
  <c r="G22" i="51"/>
  <c r="D22" i="51"/>
  <c r="L31" i="51"/>
  <c r="K21" i="51"/>
  <c r="K31" i="51" s="1"/>
  <c r="I21" i="51"/>
  <c r="H21" i="51"/>
  <c r="H31" i="51" s="1"/>
  <c r="F21" i="51"/>
  <c r="F31" i="51" s="1"/>
  <c r="E21" i="51"/>
  <c r="O20" i="51"/>
  <c r="N20" i="51"/>
  <c r="J20" i="51"/>
  <c r="G20" i="51"/>
  <c r="D20" i="51"/>
  <c r="O19" i="51"/>
  <c r="N19" i="51"/>
  <c r="J19" i="51"/>
  <c r="G19" i="51"/>
  <c r="D19" i="51"/>
  <c r="O18" i="51"/>
  <c r="N18" i="51"/>
  <c r="J18" i="51"/>
  <c r="G18" i="51"/>
  <c r="D18" i="51"/>
  <c r="O17" i="51"/>
  <c r="N17" i="51"/>
  <c r="J17" i="51"/>
  <c r="G17" i="51"/>
  <c r="D17" i="51"/>
  <c r="N16" i="51"/>
  <c r="M16" i="51" s="1"/>
  <c r="J16" i="51"/>
  <c r="G16" i="51"/>
  <c r="D16" i="51"/>
  <c r="O15" i="51"/>
  <c r="N15" i="51"/>
  <c r="J15" i="51"/>
  <c r="G15" i="51"/>
  <c r="D15" i="51"/>
  <c r="O14" i="51"/>
  <c r="N14" i="51"/>
  <c r="J14" i="51"/>
  <c r="G14" i="51"/>
  <c r="D14" i="51"/>
  <c r="O13" i="51"/>
  <c r="N13" i="51"/>
  <c r="J13" i="51"/>
  <c r="G13" i="51"/>
  <c r="D13" i="51"/>
  <c r="O12" i="51"/>
  <c r="N12" i="51"/>
  <c r="J12" i="51"/>
  <c r="G12" i="51"/>
  <c r="D12" i="51"/>
  <c r="O11" i="51"/>
  <c r="N11" i="51"/>
  <c r="J11" i="51"/>
  <c r="G11" i="51"/>
  <c r="D11" i="51"/>
  <c r="O10" i="51"/>
  <c r="N10" i="51"/>
  <c r="J10" i="51"/>
  <c r="G10" i="51"/>
  <c r="D10" i="51"/>
  <c r="O9" i="51"/>
  <c r="N9" i="51"/>
  <c r="J9" i="51"/>
  <c r="G9" i="51"/>
  <c r="D9" i="51"/>
  <c r="M8" i="51"/>
  <c r="J8" i="51"/>
  <c r="G8" i="51"/>
  <c r="D8" i="51"/>
  <c r="D36" i="50"/>
  <c r="C36" i="50"/>
  <c r="B36" i="50"/>
  <c r="J35" i="50"/>
  <c r="D35" i="50" s="1"/>
  <c r="I35" i="50"/>
  <c r="C35" i="50" s="1"/>
  <c r="H35" i="50"/>
  <c r="B35" i="50" s="1"/>
  <c r="D34" i="50"/>
  <c r="C34" i="50"/>
  <c r="B34" i="50"/>
  <c r="J33" i="50"/>
  <c r="D33" i="50" s="1"/>
  <c r="I33" i="50"/>
  <c r="C33" i="50" s="1"/>
  <c r="H33" i="50"/>
  <c r="B33" i="50" s="1"/>
  <c r="J32" i="50"/>
  <c r="D32" i="50" s="1"/>
  <c r="I32" i="50"/>
  <c r="C32" i="50" s="1"/>
  <c r="H32" i="50"/>
  <c r="B32" i="50" s="1"/>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s="1"/>
  <c r="J24" i="50"/>
  <c r="D24" i="50" s="1"/>
  <c r="I24" i="50"/>
  <c r="C24" i="50" s="1"/>
  <c r="H24" i="50"/>
  <c r="B24" i="50" s="1"/>
  <c r="J23" i="50"/>
  <c r="D23" i="50" s="1"/>
  <c r="I23" i="50"/>
  <c r="C23" i="50" s="1"/>
  <c r="H23" i="50"/>
  <c r="B23" i="50" s="1"/>
  <c r="J22" i="50"/>
  <c r="D22" i="50" s="1"/>
  <c r="I22" i="50"/>
  <c r="C22" i="50" s="1"/>
  <c r="H22" i="50"/>
  <c r="B22" i="50" s="1"/>
  <c r="J21" i="50"/>
  <c r="D21" i="50" s="1"/>
  <c r="I21" i="50"/>
  <c r="C21" i="50" s="1"/>
  <c r="H21" i="50"/>
  <c r="B21" i="50" s="1"/>
  <c r="J20" i="50"/>
  <c r="D20" i="50" s="1"/>
  <c r="I20" i="50"/>
  <c r="C20" i="50" s="1"/>
  <c r="H20" i="50"/>
  <c r="B20" i="50" s="1"/>
  <c r="J19" i="50"/>
  <c r="D19" i="50" s="1"/>
  <c r="I19" i="50"/>
  <c r="C19" i="50" s="1"/>
  <c r="H19" i="50"/>
  <c r="B19" i="50" s="1"/>
  <c r="J18" i="50"/>
  <c r="I18" i="50"/>
  <c r="C18" i="50" s="1"/>
  <c r="H18" i="50"/>
  <c r="B18" i="50" s="1"/>
  <c r="G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s="1"/>
  <c r="J13" i="50"/>
  <c r="D13" i="50" s="1"/>
  <c r="I13" i="50"/>
  <c r="C13" i="50" s="1"/>
  <c r="H13" i="50"/>
  <c r="B13" i="50" s="1"/>
  <c r="J12" i="50"/>
  <c r="D12" i="50" s="1"/>
  <c r="I12" i="50"/>
  <c r="C12" i="50" s="1"/>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s="1"/>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O39" i="50" s="1"/>
  <c r="N6" i="50"/>
  <c r="M6" i="50"/>
  <c r="L6" i="50"/>
  <c r="L39" i="50" s="1"/>
  <c r="K6" i="50"/>
  <c r="K39" i="50" s="1"/>
  <c r="G6" i="50"/>
  <c r="G39" i="50" s="1"/>
  <c r="F6" i="50"/>
  <c r="E6" i="50"/>
  <c r="M39" i="51" l="1"/>
  <c r="D21" i="51"/>
  <c r="J71" i="51"/>
  <c r="M76" i="51"/>
  <c r="M107" i="51"/>
  <c r="M12" i="51"/>
  <c r="M36" i="51"/>
  <c r="G50" i="51"/>
  <c r="N50" i="51"/>
  <c r="M77" i="51"/>
  <c r="M82" i="51"/>
  <c r="M30" i="51"/>
  <c r="M46" i="51"/>
  <c r="M43" i="51"/>
  <c r="G90" i="51"/>
  <c r="G57" i="51"/>
  <c r="D62" i="51"/>
  <c r="J65" i="51"/>
  <c r="M18" i="51"/>
  <c r="M38" i="51"/>
  <c r="J62" i="51"/>
  <c r="M67" i="51"/>
  <c r="M91" i="51"/>
  <c r="M64" i="51"/>
  <c r="D90" i="51"/>
  <c r="M15" i="51"/>
  <c r="M20" i="51"/>
  <c r="M41" i="51"/>
  <c r="D43" i="51"/>
  <c r="M61" i="51"/>
  <c r="G71" i="51"/>
  <c r="M78" i="51"/>
  <c r="G80" i="51"/>
  <c r="M84" i="51"/>
  <c r="M89" i="51"/>
  <c r="M10" i="51"/>
  <c r="M13" i="51"/>
  <c r="N21" i="51"/>
  <c r="N31" i="51" s="1"/>
  <c r="M37" i="51"/>
  <c r="M49" i="51"/>
  <c r="O50" i="51"/>
  <c r="D57" i="51"/>
  <c r="N62" i="51"/>
  <c r="M62" i="51" s="1"/>
  <c r="J74" i="51"/>
  <c r="G43" i="51"/>
  <c r="M44" i="51"/>
  <c r="M58" i="51"/>
  <c r="D71" i="51"/>
  <c r="M110" i="51"/>
  <c r="M9" i="51"/>
  <c r="M60" i="51"/>
  <c r="M70" i="51"/>
  <c r="D80" i="51"/>
  <c r="M83" i="51"/>
  <c r="M111" i="51"/>
  <c r="M26" i="50"/>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I31" i="51"/>
  <c r="N34" i="51"/>
  <c r="M66" i="51"/>
  <c r="O65" i="51"/>
  <c r="M81" i="51"/>
  <c r="N80" i="51"/>
  <c r="O21" i="51"/>
  <c r="E31" i="51"/>
  <c r="N57" i="51"/>
  <c r="N74" i="51"/>
  <c r="O80" i="51"/>
  <c r="M11" i="51"/>
  <c r="E95" i="51"/>
  <c r="E114" i="51" s="1"/>
  <c r="I95" i="51"/>
  <c r="I114" i="51" s="1"/>
  <c r="O34" i="51"/>
  <c r="N45" i="51"/>
  <c r="M54" i="51"/>
  <c r="G62" i="51"/>
  <c r="M75" i="51"/>
  <c r="O74" i="51"/>
  <c r="G85" i="51"/>
  <c r="M86" i="51"/>
  <c r="N85" i="5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M85" i="51" l="1"/>
  <c r="M57" i="51"/>
  <c r="M45" i="51"/>
  <c r="B6" i="50"/>
  <c r="H26" i="50"/>
  <c r="H30" i="50" s="1"/>
  <c r="C40" i="50"/>
  <c r="I39" i="50"/>
  <c r="C39" i="50" s="1"/>
  <c r="J26" i="50"/>
  <c r="J30" i="50" s="1"/>
  <c r="J4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A608" i="21" l="1"/>
  <c r="F34" i="25"/>
  <c r="G16" i="25"/>
  <c r="G15" i="25" s="1"/>
  <c r="F16" i="25"/>
  <c r="F15" i="25" s="1"/>
  <c r="G101" i="25" l="1"/>
  <c r="F101" i="25"/>
  <c r="G73" i="25"/>
  <c r="F73" i="25"/>
  <c r="G67" i="25"/>
  <c r="F67" i="25"/>
  <c r="G53" i="25"/>
  <c r="F53" i="25"/>
  <c r="G47" i="25"/>
  <c r="F47" i="25"/>
  <c r="G20" i="25"/>
  <c r="F20" i="25"/>
  <c r="W47" i="12" l="1"/>
  <c r="W46" i="12" s="1"/>
  <c r="V47" i="12"/>
  <c r="V46" i="12" s="1"/>
  <c r="U47" i="12"/>
  <c r="U46" i="12" s="1"/>
  <c r="Z231" i="21"/>
  <c r="U289" i="12" s="1"/>
  <c r="AA185" i="21" l="1"/>
  <c r="AA604" i="21"/>
  <c r="AB674" i="21"/>
  <c r="AA674" i="21"/>
  <c r="AB231" i="21"/>
  <c r="W288" i="12" s="1"/>
  <c r="AA231" i="21"/>
  <c r="V289" i="12" s="1"/>
  <c r="V288" i="12" s="1"/>
  <c r="AB19" i="21"/>
  <c r="AA19" i="21"/>
  <c r="AB17" i="21"/>
  <c r="AA17" i="21"/>
  <c r="AB14" i="21"/>
  <c r="AB13" i="21" s="1"/>
  <c r="AA14" i="21"/>
  <c r="AA13" i="21" s="1"/>
  <c r="W457" i="12"/>
  <c r="V457" i="12"/>
  <c r="U457" i="12"/>
  <c r="W458" i="12"/>
  <c r="V458" i="12"/>
  <c r="U458" i="12"/>
  <c r="W459" i="12"/>
  <c r="V459" i="12"/>
  <c r="U459" i="12"/>
  <c r="AB680" i="21"/>
  <c r="AA680" i="21"/>
  <c r="Z680" i="21"/>
  <c r="AB53" i="21"/>
  <c r="AB52" i="21" s="1"/>
  <c r="AA53" i="21"/>
  <c r="AA52" i="21" s="1"/>
  <c r="Z52" i="21"/>
  <c r="AB735" i="21"/>
  <c r="AA735" i="21"/>
  <c r="AB745" i="21"/>
  <c r="K47" i="10" s="1"/>
  <c r="AA745" i="21"/>
  <c r="J47" i="10" s="1"/>
  <c r="Z745" i="21"/>
  <c r="I47" i="10" s="1"/>
  <c r="AB688" i="21"/>
  <c r="W465" i="12" s="1"/>
  <c r="W464" i="12" s="1"/>
  <c r="AA688" i="21"/>
  <c r="V465" i="12" s="1"/>
  <c r="V464" i="12" s="1"/>
  <c r="Z688" i="21"/>
  <c r="AB763" i="21"/>
  <c r="W487" i="12" s="1"/>
  <c r="W486" i="12" s="1"/>
  <c r="AA763" i="21"/>
  <c r="V487" i="12" s="1"/>
  <c r="V486" i="12" s="1"/>
  <c r="U465" i="12" l="1"/>
  <c r="U464" i="12" s="1"/>
  <c r="E12" i="53"/>
  <c r="F12" i="53"/>
  <c r="U81" i="12"/>
  <c r="U80" i="12" s="1"/>
  <c r="W416" i="12"/>
  <c r="W415" i="12" s="1"/>
  <c r="V416" i="12"/>
  <c r="V415" i="12" s="1"/>
  <c r="V81" i="12"/>
  <c r="V80" i="12" s="1"/>
  <c r="U416" i="12"/>
  <c r="U415" i="12" s="1"/>
  <c r="AB16" i="21"/>
  <c r="F13" i="53" s="1"/>
  <c r="W456" i="12"/>
  <c r="U456" i="12"/>
  <c r="V456" i="12"/>
  <c r="AA16" i="21"/>
  <c r="E13" i="53" s="1"/>
  <c r="W81" i="12"/>
  <c r="W80" i="12" s="1"/>
  <c r="Z763" i="21"/>
  <c r="U487" i="12" l="1"/>
  <c r="U486" i="12" s="1"/>
  <c r="AB734" i="21"/>
  <c r="K41" i="10" s="1"/>
  <c r="AA734" i="21"/>
  <c r="J41" i="10" s="1"/>
  <c r="Z734" i="21"/>
  <c r="AB622" i="21"/>
  <c r="AA622" i="21"/>
  <c r="Z622" i="21"/>
  <c r="AB603" i="21"/>
  <c r="AA603" i="21"/>
  <c r="Z603" i="21"/>
  <c r="U348" i="12" l="1"/>
  <c r="U347" i="12" s="1"/>
  <c r="U144" i="12"/>
  <c r="U143" i="12" s="1"/>
  <c r="I41" i="10"/>
  <c r="W367" i="12"/>
  <c r="W366" i="12" s="1"/>
  <c r="V367" i="12"/>
  <c r="V366" i="12" s="1"/>
  <c r="V348" i="12"/>
  <c r="V347" i="12" s="1"/>
  <c r="W348" i="12"/>
  <c r="W347" i="12" s="1"/>
  <c r="U367" i="12"/>
  <c r="U366" i="12" s="1"/>
  <c r="W144" i="12"/>
  <c r="W143" i="12" s="1"/>
  <c r="V144" i="12"/>
  <c r="V143" i="12" s="1"/>
  <c r="G144" i="25" l="1"/>
  <c r="F144" i="25"/>
  <c r="AB594" i="21" l="1"/>
  <c r="W579" i="12" s="1"/>
  <c r="W578" i="12" s="1"/>
  <c r="AA594" i="21"/>
  <c r="V579" i="12" s="1"/>
  <c r="V578" i="12" s="1"/>
  <c r="Z594" i="21"/>
  <c r="U579" i="12" s="1"/>
  <c r="U578" i="12" s="1"/>
  <c r="G74" i="25" l="1"/>
  <c r="F74" i="25"/>
  <c r="E18" i="25" l="1"/>
  <c r="E15" i="25" l="1"/>
  <c r="F208" i="25"/>
  <c r="E184" i="25"/>
  <c r="W369" i="12"/>
  <c r="W564" i="12"/>
  <c r="V564" i="12"/>
  <c r="W562" i="12"/>
  <c r="V562" i="12"/>
  <c r="W549" i="12"/>
  <c r="V549" i="12"/>
  <c r="AB709" i="21"/>
  <c r="AA709" i="21"/>
  <c r="W539" i="12"/>
  <c r="V539" i="12"/>
  <c r="W531" i="12"/>
  <c r="V531" i="12"/>
  <c r="W530" i="12"/>
  <c r="V530" i="12"/>
  <c r="W518" i="12"/>
  <c r="V518" i="12"/>
  <c r="W514" i="12"/>
  <c r="V514" i="12"/>
  <c r="W512" i="12"/>
  <c r="V512" i="12"/>
  <c r="W503" i="12"/>
  <c r="V503" i="12"/>
  <c r="W495" i="12"/>
  <c r="V495" i="12"/>
  <c r="W491" i="12"/>
  <c r="V491" i="12"/>
  <c r="W483" i="12"/>
  <c r="V483" i="12"/>
  <c r="W479" i="12"/>
  <c r="V479" i="12"/>
  <c r="W475" i="12"/>
  <c r="V475" i="12"/>
  <c r="W467" i="12"/>
  <c r="V467" i="12"/>
  <c r="W463" i="12"/>
  <c r="V463" i="12"/>
  <c r="W462" i="12"/>
  <c r="V462" i="12"/>
  <c r="W461" i="12"/>
  <c r="V461" i="12"/>
  <c r="W455" i="12"/>
  <c r="V455" i="12"/>
  <c r="W454" i="12"/>
  <c r="V454" i="12"/>
  <c r="W453" i="12"/>
  <c r="V453" i="12"/>
  <c r="W436" i="12"/>
  <c r="V436" i="12"/>
  <c r="W433" i="12"/>
  <c r="V433" i="12"/>
  <c r="W427" i="12"/>
  <c r="V427" i="12"/>
  <c r="W425" i="12"/>
  <c r="V425" i="12"/>
  <c r="W423" i="12"/>
  <c r="V423" i="12"/>
  <c r="W421" i="12"/>
  <c r="V421" i="12"/>
  <c r="W418" i="12"/>
  <c r="V418" i="12"/>
  <c r="W411" i="12"/>
  <c r="V411" i="12"/>
  <c r="W409" i="12"/>
  <c r="V409" i="12"/>
  <c r="W407" i="12"/>
  <c r="V407" i="12"/>
  <c r="W405" i="12"/>
  <c r="V405" i="12"/>
  <c r="W403" i="12"/>
  <c r="V403" i="12"/>
  <c r="W401" i="12"/>
  <c r="V401" i="12"/>
  <c r="W385" i="12"/>
  <c r="V385" i="12"/>
  <c r="W383" i="12"/>
  <c r="V383" i="12"/>
  <c r="W375" i="12"/>
  <c r="V375" i="12"/>
  <c r="V369" i="12"/>
  <c r="W365" i="12"/>
  <c r="V365" i="12"/>
  <c r="W358" i="12"/>
  <c r="V358" i="12"/>
  <c r="W356" i="12"/>
  <c r="V356" i="12"/>
  <c r="W350" i="12"/>
  <c r="V350" i="12"/>
  <c r="W323" i="12"/>
  <c r="V323" i="12"/>
  <c r="W319" i="12"/>
  <c r="V319" i="12"/>
  <c r="W311" i="12"/>
  <c r="V311" i="12"/>
  <c r="W307" i="12"/>
  <c r="V307" i="12"/>
  <c r="W294" i="12"/>
  <c r="V294" i="12"/>
  <c r="W283" i="12"/>
  <c r="V283" i="12"/>
  <c r="W253" i="12"/>
  <c r="V253" i="12"/>
  <c r="W249" i="12"/>
  <c r="V249" i="12"/>
  <c r="W247" i="12"/>
  <c r="V247" i="12"/>
  <c r="W232" i="12"/>
  <c r="V232" i="12"/>
  <c r="W230" i="12"/>
  <c r="V230" i="12"/>
  <c r="W171" i="12"/>
  <c r="V171" i="12"/>
  <c r="W169" i="12"/>
  <c r="V169" i="12"/>
  <c r="W167" i="12"/>
  <c r="V167" i="12"/>
  <c r="W165" i="12"/>
  <c r="V165" i="12"/>
  <c r="W154" i="12"/>
  <c r="V154" i="12"/>
  <c r="W150" i="12"/>
  <c r="V150" i="12"/>
  <c r="W148" i="12"/>
  <c r="V148" i="12"/>
  <c r="W146" i="12"/>
  <c r="W145" i="12" s="1"/>
  <c r="V146" i="12"/>
  <c r="V145" i="12" s="1"/>
  <c r="W127" i="12"/>
  <c r="V127" i="12"/>
  <c r="W125" i="12"/>
  <c r="V125" i="12"/>
  <c r="W124" i="12"/>
  <c r="V124" i="12"/>
  <c r="W119" i="12"/>
  <c r="V119" i="12"/>
  <c r="W118" i="12"/>
  <c r="V118" i="12"/>
  <c r="W83" i="12"/>
  <c r="W82" i="12" s="1"/>
  <c r="V83" i="12"/>
  <c r="V82" i="12" s="1"/>
  <c r="W72" i="12"/>
  <c r="V72" i="12"/>
  <c r="W66" i="12"/>
  <c r="V66" i="12"/>
  <c r="W64" i="12"/>
  <c r="V64" i="12"/>
  <c r="W51" i="12"/>
  <c r="V51" i="12"/>
  <c r="W49" i="12"/>
  <c r="W48" i="12" s="1"/>
  <c r="V49" i="12"/>
  <c r="V48" i="12" s="1"/>
  <c r="W43" i="12"/>
  <c r="V43" i="12"/>
  <c r="W41" i="12"/>
  <c r="V41" i="12"/>
  <c r="V38" i="12"/>
  <c r="W35" i="12"/>
  <c r="V35" i="12"/>
  <c r="W34" i="12"/>
  <c r="V34" i="12"/>
  <c r="W29" i="12"/>
  <c r="V29" i="12"/>
  <c r="W27" i="12"/>
  <c r="V27" i="12"/>
  <c r="W22" i="12"/>
  <c r="V22" i="12"/>
  <c r="W20" i="12"/>
  <c r="V20" i="12"/>
  <c r="W19" i="12"/>
  <c r="V19" i="12"/>
  <c r="W17" i="12"/>
  <c r="W16" i="12" s="1"/>
  <c r="V17" i="12"/>
  <c r="V16" i="12" s="1"/>
  <c r="W14" i="12"/>
  <c r="W13" i="12" s="1"/>
  <c r="W12" i="12" s="1"/>
  <c r="V14" i="12"/>
  <c r="V13" i="12" s="1"/>
  <c r="V12" i="12" s="1"/>
  <c r="I11" i="10"/>
  <c r="AB628" i="21"/>
  <c r="G208" i="25" l="1"/>
  <c r="F217" i="25"/>
  <c r="G217" i="25" s="1"/>
  <c r="E192" i="25"/>
  <c r="E185" i="25"/>
  <c r="W450" i="12"/>
  <c r="V450" i="12"/>
  <c r="AB707" i="21"/>
  <c r="V117" i="12"/>
  <c r="V33" i="12"/>
  <c r="V123" i="12"/>
  <c r="W33" i="12"/>
  <c r="W117" i="12"/>
  <c r="W123" i="12"/>
  <c r="V18" i="12"/>
  <c r="V15" i="12" s="1"/>
  <c r="W18" i="12"/>
  <c r="W15" i="12" s="1"/>
  <c r="Z119" i="21"/>
  <c r="Z98" i="21"/>
  <c r="AB747" i="21" l="1"/>
  <c r="AB742" i="21" s="1"/>
  <c r="F42" i="53" s="1"/>
  <c r="AA701" i="21"/>
  <c r="AA620" i="21"/>
  <c r="J42" i="10" s="1"/>
  <c r="AA601" i="21"/>
  <c r="V346" i="12" s="1"/>
  <c r="AA321" i="21"/>
  <c r="AB321" i="21"/>
  <c r="AB34" i="21" l="1"/>
  <c r="AA34" i="21"/>
  <c r="G31" i="25"/>
  <c r="F31" i="25"/>
  <c r="E74" i="25" l="1"/>
  <c r="E99" i="25" l="1"/>
  <c r="J108" i="40" l="1"/>
  <c r="J62" i="40"/>
  <c r="Z274" i="21" l="1"/>
  <c r="Z275" i="21"/>
  <c r="Z474" i="21" l="1"/>
  <c r="Z473" i="21"/>
  <c r="Z472" i="21"/>
  <c r="Z470" i="21"/>
  <c r="Z469" i="21"/>
  <c r="Z468" i="21"/>
  <c r="Z475" i="21"/>
  <c r="Z464" i="21" s="1"/>
  <c r="U277" i="12"/>
  <c r="U276" i="12" s="1"/>
  <c r="U279" i="12" l="1"/>
  <c r="U278" i="12" s="1"/>
  <c r="U300" i="12" l="1"/>
  <c r="U299" i="12" s="1"/>
  <c r="Z105" i="21"/>
  <c r="K11" i="10" l="1"/>
  <c r="Z666" i="21" l="1"/>
  <c r="E67" i="25" l="1"/>
  <c r="U273" i="12" l="1"/>
  <c r="Z465" i="21"/>
  <c r="Z135" i="21" l="1"/>
  <c r="U181" i="12" s="1"/>
  <c r="U180" i="12" s="1"/>
  <c r="Z300" i="21"/>
  <c r="U489" i="12" s="1"/>
  <c r="U488" i="12" s="1"/>
  <c r="U142" i="12" l="1"/>
  <c r="U141" i="12" s="1"/>
  <c r="Z429" i="21" l="1"/>
  <c r="Z428" i="21" s="1"/>
  <c r="Z427" i="21" s="1"/>
  <c r="E93" i="25" l="1"/>
  <c r="G87" i="25"/>
  <c r="F87" i="25"/>
  <c r="E47" i="25"/>
  <c r="Z192" i="21" l="1"/>
  <c r="Z191" i="21"/>
  <c r="Z354" i="21"/>
  <c r="U566" i="12" s="1"/>
  <c r="U565" i="12" s="1"/>
  <c r="U242" i="12" l="1"/>
  <c r="U241" i="12" s="1"/>
  <c r="U393" i="12"/>
  <c r="U392" i="12" s="1"/>
  <c r="Z272" i="21"/>
  <c r="U391" i="12" s="1"/>
  <c r="Z273" i="21"/>
  <c r="F69" i="25" l="1"/>
  <c r="G69" i="25"/>
  <c r="J129" i="40" l="1"/>
  <c r="K129" i="40"/>
  <c r="L129" i="40"/>
  <c r="V390" i="12" l="1"/>
  <c r="W390" i="12"/>
  <c r="X390" i="12"/>
  <c r="U390" i="12"/>
  <c r="AA271" i="21"/>
  <c r="AB271" i="21"/>
  <c r="Z271" i="21"/>
  <c r="U539" i="12" l="1"/>
  <c r="Z701" i="21"/>
  <c r="Z520" i="21" l="1"/>
  <c r="AB102" i="21" l="1"/>
  <c r="W140" i="12" s="1"/>
  <c r="W139" i="12" s="1"/>
  <c r="AA102" i="21"/>
  <c r="V140" i="12" s="1"/>
  <c r="V139" i="12" s="1"/>
  <c r="AB114" i="21"/>
  <c r="AA114" i="21"/>
  <c r="Z102" i="21"/>
  <c r="U140" i="12" s="1"/>
  <c r="U139" i="12" s="1"/>
  <c r="Z114" i="21"/>
  <c r="Z644" i="21" l="1"/>
  <c r="U397" i="12" l="1"/>
  <c r="U396" i="12" s="1"/>
  <c r="Z51" i="21"/>
  <c r="Z190" i="21"/>
  <c r="U240" i="12" l="1"/>
  <c r="U239" i="12" s="1"/>
  <c r="U32" i="12"/>
  <c r="Z678" i="21"/>
  <c r="Z674" i="21" s="1"/>
  <c r="Z141" i="21"/>
  <c r="U187" i="12" s="1"/>
  <c r="U186" i="12" s="1"/>
  <c r="U29"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707" i="21"/>
  <c r="L123" i="40"/>
  <c r="K123" i="40"/>
  <c r="L196" i="40"/>
  <c r="AB92" i="21"/>
  <c r="W128" i="12" s="1"/>
  <c r="W126" i="12" s="1"/>
  <c r="AA92" i="21"/>
  <c r="V128" i="12" s="1"/>
  <c r="V126" i="12" s="1"/>
  <c r="W38" i="12"/>
  <c r="W302" i="12"/>
  <c r="V302" i="12"/>
  <c r="W537" i="12"/>
  <c r="V537" i="12"/>
  <c r="L146" i="40"/>
  <c r="K146" i="40"/>
  <c r="AB717" i="21"/>
  <c r="AA717"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K206" i="40"/>
  <c r="K213" i="40" s="1"/>
  <c r="L62" i="40"/>
  <c r="J206" i="40"/>
  <c r="J196" i="40"/>
  <c r="J201" i="40" s="1"/>
  <c r="L180" i="40"/>
  <c r="K180" i="40"/>
  <c r="L213" i="40"/>
  <c r="J213" i="40" l="1"/>
  <c r="J48" i="41" l="1"/>
  <c r="W185" i="12"/>
  <c r="V185" i="12"/>
  <c r="U431" i="12" l="1"/>
  <c r="U430" i="12" s="1"/>
  <c r="Z288" i="21"/>
  <c r="U196" i="12"/>
  <c r="U195" i="12" s="1"/>
  <c r="U192" i="12" s="1"/>
  <c r="Z150" i="21"/>
  <c r="U179" i="12"/>
  <c r="U178" i="12" s="1"/>
  <c r="Z133" i="21"/>
  <c r="Z137" i="21" l="1"/>
  <c r="U183" i="12" s="1"/>
  <c r="U182" i="12" s="1"/>
  <c r="U500" i="12"/>
  <c r="Z310" i="21"/>
  <c r="U238" i="12"/>
  <c r="U237" i="12" s="1"/>
  <c r="Z188" i="21"/>
  <c r="L202" i="41" l="1"/>
  <c r="K202" i="41"/>
  <c r="J202" i="41"/>
  <c r="L201" i="41"/>
  <c r="K201" i="41"/>
  <c r="L200" i="41"/>
  <c r="K200" i="41"/>
  <c r="L199" i="41"/>
  <c r="L203" i="41" s="1"/>
  <c r="K199" i="41"/>
  <c r="K203" i="41" s="1"/>
  <c r="J199" i="41"/>
  <c r="J203" i="41" s="1"/>
  <c r="L196" i="41"/>
  <c r="K196" i="41"/>
  <c r="J196" i="41"/>
  <c r="J195" i="41"/>
  <c r="L194" i="41"/>
  <c r="L197" i="41" s="1"/>
  <c r="K194" i="41"/>
  <c r="K197" i="41" s="1"/>
  <c r="J189" i="41"/>
  <c r="J188" i="41"/>
  <c r="L187" i="41"/>
  <c r="K187" i="41"/>
  <c r="L182" i="41"/>
  <c r="L192" i="41" s="1"/>
  <c r="K182" i="41"/>
  <c r="K192" i="41" s="1"/>
  <c r="J182" i="41"/>
  <c r="L160" i="41"/>
  <c r="K160" i="41"/>
  <c r="J160" i="41"/>
  <c r="L156" i="41"/>
  <c r="K156" i="41"/>
  <c r="J156" i="41"/>
  <c r="J200" i="41" s="1"/>
  <c r="L130" i="41"/>
  <c r="K130" i="41"/>
  <c r="J130" i="41"/>
  <c r="L70" i="41"/>
  <c r="K70" i="41"/>
  <c r="L67" i="41"/>
  <c r="K67" i="41"/>
  <c r="J67" i="41"/>
  <c r="L48" i="41"/>
  <c r="K48" i="41"/>
  <c r="L26" i="41"/>
  <c r="K26" i="41"/>
  <c r="J26" i="41"/>
  <c r="J171" i="41" l="1"/>
  <c r="J187" i="41"/>
  <c r="J192" i="41" s="1"/>
  <c r="J197" i="41"/>
  <c r="L171" i="41"/>
  <c r="K171" i="41"/>
  <c r="L204" i="41"/>
  <c r="J201" i="41"/>
  <c r="Z17" i="21" l="1"/>
  <c r="U389" i="12" l="1"/>
  <c r="U388" i="12" s="1"/>
  <c r="AB642" i="21"/>
  <c r="W389" i="12" s="1"/>
  <c r="W388" i="12" s="1"/>
  <c r="AA642" i="21"/>
  <c r="V389" i="12" s="1"/>
  <c r="V388" i="12" s="1"/>
  <c r="Z642" i="21" l="1"/>
  <c r="F51" i="25" l="1"/>
  <c r="F50" i="25" s="1"/>
  <c r="G51" i="25"/>
  <c r="G50" i="25" s="1"/>
  <c r="E51" i="25"/>
  <c r="E50" i="25" s="1"/>
  <c r="F86" i="25"/>
  <c r="G86" i="25"/>
  <c r="F84" i="25"/>
  <c r="G84" i="25"/>
  <c r="E84" i="25"/>
  <c r="E83" i="25" s="1"/>
  <c r="F38" i="25"/>
  <c r="F30" i="25" s="1"/>
  <c r="G38" i="25"/>
  <c r="G30" i="25" s="1"/>
  <c r="G83" i="25" l="1"/>
  <c r="F83" i="25"/>
  <c r="AB694" i="21"/>
  <c r="AB693" i="21" s="1"/>
  <c r="AA694" i="21"/>
  <c r="V345" i="12" l="1"/>
  <c r="AA693" i="21"/>
  <c r="Z32" i="21" l="1"/>
  <c r="AA32" i="21"/>
  <c r="AB32" i="21"/>
  <c r="AC32" i="21"/>
  <c r="Z38" i="21"/>
  <c r="AA38" i="21"/>
  <c r="AB38" i="21"/>
  <c r="U38" i="12"/>
  <c r="U37" i="12" s="1"/>
  <c r="V37" i="12"/>
  <c r="W37" i="12"/>
  <c r="Z37" i="21" l="1"/>
  <c r="AB37" i="21"/>
  <c r="F15" i="53" s="1"/>
  <c r="AA37" i="21"/>
  <c r="E15" i="53" s="1"/>
  <c r="D15" i="14" l="1"/>
  <c r="D15" i="53"/>
  <c r="F15" i="14"/>
  <c r="E15" i="14"/>
  <c r="K22" i="10"/>
  <c r="J22" i="10"/>
  <c r="J11" i="10"/>
  <c r="AB29" i="21" l="1"/>
  <c r="AA29" i="21"/>
  <c r="W28" i="12" l="1"/>
  <c r="V28" i="12"/>
  <c r="Z121" i="21"/>
  <c r="AB601" i="21"/>
  <c r="W346" i="12" s="1"/>
  <c r="W345" i="12" s="1"/>
  <c r="U171" i="12" l="1"/>
  <c r="U124" i="12" l="1"/>
  <c r="AB87" i="21"/>
  <c r="AA87" i="21"/>
  <c r="U125" i="12"/>
  <c r="U119" i="12"/>
  <c r="U118" i="12"/>
  <c r="U117" i="12" l="1"/>
  <c r="U123" i="12"/>
  <c r="Z81" i="21"/>
  <c r="Z87" i="21"/>
  <c r="Z104" i="21" l="1"/>
  <c r="AB54" i="21" l="1"/>
  <c r="AA54" i="21"/>
  <c r="AB618" i="21" l="1"/>
  <c r="W363" i="12" s="1"/>
  <c r="W362" i="12" s="1"/>
  <c r="AA618" i="21"/>
  <c r="V363" i="12" s="1"/>
  <c r="V362" i="12" s="1"/>
  <c r="F43" i="25" l="1"/>
  <c r="G43" i="25"/>
  <c r="Z747" i="21" l="1"/>
  <c r="Z742" i="21" s="1"/>
  <c r="D42" i="53" s="1"/>
  <c r="Z195" i="21" l="1"/>
  <c r="Z165" i="21"/>
  <c r="E195" i="25" l="1"/>
  <c r="E194" i="25"/>
  <c r="J26" i="10" l="1"/>
  <c r="K26" i="10"/>
  <c r="U245" i="12" l="1"/>
  <c r="U244" i="12" s="1"/>
  <c r="Z443" i="21"/>
  <c r="U173" i="12" l="1"/>
  <c r="E196" i="25" l="1"/>
  <c r="U429" i="12"/>
  <c r="U428" i="12" s="1"/>
  <c r="Z286" i="21"/>
  <c r="U217" i="12"/>
  <c r="U216" i="12" s="1"/>
  <c r="Z169" i="21"/>
  <c r="U435" i="12" l="1"/>
  <c r="Z661" i="21" l="1"/>
  <c r="Z518" i="21" l="1"/>
  <c r="Z519" i="21"/>
  <c r="U315" i="12" l="1"/>
  <c r="U314" i="12" s="1"/>
  <c r="U496" i="12" l="1"/>
  <c r="U207" i="12"/>
  <c r="U206" i="12" s="1"/>
  <c r="Z159" i="21"/>
  <c r="V255" i="12" l="1"/>
  <c r="V254" i="12" s="1"/>
  <c r="W255" i="12"/>
  <c r="W254" i="12" s="1"/>
  <c r="U255" i="12"/>
  <c r="U254" i="12" s="1"/>
  <c r="AA203" i="21"/>
  <c r="AB203" i="21"/>
  <c r="Z203" i="21"/>
  <c r="V172" i="12"/>
  <c r="W172" i="12"/>
  <c r="U172" i="12"/>
  <c r="AA127" i="21"/>
  <c r="AB127" i="21"/>
  <c r="Z127" i="21"/>
  <c r="V170" i="12"/>
  <c r="W170" i="12"/>
  <c r="X170" i="12"/>
  <c r="U170" i="12"/>
  <c r="AA125" i="21"/>
  <c r="AB125" i="21"/>
  <c r="AC125" i="21"/>
  <c r="Z125" i="21"/>
  <c r="Z162" i="21"/>
  <c r="V31" i="12"/>
  <c r="W31" i="12"/>
  <c r="U31" i="12"/>
  <c r="AC24" i="21"/>
  <c r="E136" i="25" l="1"/>
  <c r="G170" i="25" l="1"/>
  <c r="F170" i="25"/>
  <c r="F176" i="25" s="1"/>
  <c r="E170" i="25"/>
  <c r="E141" i="25" s="1"/>
  <c r="E140" i="25" l="1"/>
  <c r="E176" i="25"/>
  <c r="G141" i="25"/>
  <c r="G176" i="25"/>
  <c r="F141" i="25"/>
  <c r="G181" i="25"/>
  <c r="F181" i="25"/>
  <c r="G183" i="25"/>
  <c r="F183" i="25"/>
  <c r="G182" i="25"/>
  <c r="F182" i="25"/>
  <c r="F180" i="25" l="1"/>
  <c r="F186" i="25"/>
  <c r="F188" i="25" s="1"/>
  <c r="G180" i="25"/>
  <c r="G186" i="25"/>
  <c r="G188" i="25" s="1"/>
  <c r="G40" i="25"/>
  <c r="G138" i="25" s="1"/>
  <c r="F40" i="25"/>
  <c r="F138" i="25" s="1"/>
  <c r="F184" i="25" l="1"/>
  <c r="G184" i="25"/>
  <c r="G185" i="25" s="1"/>
  <c r="F204" i="25"/>
  <c r="G204" i="25"/>
  <c r="E20" i="25"/>
  <c r="E14" i="25"/>
  <c r="E13" i="25" s="1"/>
  <c r="K195" i="55" s="1"/>
  <c r="F14" i="25"/>
  <c r="G14" i="25"/>
  <c r="E138" i="25" l="1"/>
  <c r="G13" i="25"/>
  <c r="F13" i="25"/>
  <c r="F177" i="25" s="1"/>
  <c r="F185" i="25"/>
  <c r="E177" i="25" l="1"/>
  <c r="K189" i="40" s="1"/>
  <c r="K181" i="41"/>
  <c r="K247" i="39"/>
  <c r="K218" i="54"/>
  <c r="K192" i="54"/>
  <c r="K216" i="54"/>
  <c r="E204" i="25"/>
  <c r="K218" i="39"/>
  <c r="K214" i="40"/>
  <c r="K206" i="41"/>
  <c r="K180" i="41"/>
  <c r="K216" i="40"/>
  <c r="E200" i="25"/>
  <c r="F200" i="25"/>
  <c r="G200" i="25"/>
  <c r="E197" i="25"/>
  <c r="E187" i="25"/>
  <c r="G177" i="25"/>
  <c r="G187" i="25"/>
  <c r="F187" i="25"/>
  <c r="K221" i="39" l="1"/>
  <c r="K193" i="55"/>
  <c r="Z436" i="21"/>
  <c r="G44" i="20"/>
  <c r="G42" i="20"/>
  <c r="F42" i="20"/>
  <c r="F44" i="20"/>
  <c r="Z435" i="21" l="1"/>
  <c r="Z434" i="21" s="1"/>
  <c r="U233" i="12"/>
  <c r="E42" i="20"/>
  <c r="E44" i="20"/>
  <c r="U87" i="12" l="1"/>
  <c r="U86" i="12" s="1"/>
  <c r="Z56" i="21"/>
  <c r="E20" i="20" l="1"/>
  <c r="E19" i="20"/>
  <c r="E67" i="20" l="1"/>
  <c r="W520" i="12" l="1"/>
  <c r="W519" i="12" s="1"/>
  <c r="V520" i="12"/>
  <c r="V519" i="12" s="1"/>
  <c r="U520" i="12"/>
  <c r="U519" i="12" s="1"/>
  <c r="U522" i="12"/>
  <c r="U521" i="12" s="1"/>
  <c r="AB328" i="21"/>
  <c r="AA328" i="21"/>
  <c r="Z328" i="21"/>
  <c r="AB333" i="21"/>
  <c r="AA333" i="21"/>
  <c r="Z330" i="21"/>
  <c r="U227" i="12" l="1"/>
  <c r="U226" i="12" s="1"/>
  <c r="Z237" i="21" l="1"/>
  <c r="Z179" i="21" l="1"/>
  <c r="U455" i="12" l="1"/>
  <c r="W282" i="12"/>
  <c r="V282" i="12"/>
  <c r="AB222" i="21"/>
  <c r="AA222" i="21"/>
  <c r="Z225" i="21"/>
  <c r="AB225" i="21"/>
  <c r="AA225" i="21"/>
  <c r="W440" i="12"/>
  <c r="V440" i="12"/>
  <c r="U440" i="12"/>
  <c r="W441" i="12"/>
  <c r="V441" i="12"/>
  <c r="U441" i="12"/>
  <c r="AB670" i="21"/>
  <c r="AA670" i="21"/>
  <c r="AB666" i="21"/>
  <c r="AA666" i="21"/>
  <c r="U283" i="12" l="1"/>
  <c r="U282" i="12" s="1"/>
  <c r="V439" i="12"/>
  <c r="W439" i="12"/>
  <c r="W308" i="12"/>
  <c r="V308" i="12"/>
  <c r="Z508" i="21" l="1"/>
  <c r="Z507" i="21" l="1"/>
  <c r="Z506" i="21" s="1"/>
  <c r="W149" i="12"/>
  <c r="V149" i="12"/>
  <c r="U150" i="12"/>
  <c r="U149" i="12" s="1"/>
  <c r="AB106" i="21"/>
  <c r="AA106" i="21"/>
  <c r="Z106" i="21"/>
  <c r="AB111" i="21"/>
  <c r="AA111" i="21"/>
  <c r="Z111" i="21"/>
  <c r="I20" i="10" l="1"/>
  <c r="U309" i="12"/>
  <c r="U308" i="12" s="1"/>
  <c r="W438" i="12" l="1"/>
  <c r="W437" i="12" s="1"/>
  <c r="V438" i="12"/>
  <c r="V437" i="12" s="1"/>
  <c r="U438" i="12"/>
  <c r="U437" i="12" s="1"/>
  <c r="AB664" i="21"/>
  <c r="AA664" i="21"/>
  <c r="Z664" i="21"/>
  <c r="Z660" i="21" s="1"/>
  <c r="U549" i="12"/>
  <c r="Z168" i="21"/>
  <c r="U542" i="12"/>
  <c r="Z704" i="21"/>
  <c r="U536" i="12"/>
  <c r="U514" i="12"/>
  <c r="Z694" i="21"/>
  <c r="Z693" i="21" s="1"/>
  <c r="E18" i="20"/>
  <c r="U236" i="12"/>
  <c r="U235" i="12" s="1"/>
  <c r="Z186" i="21"/>
  <c r="Z618" i="21" l="1"/>
  <c r="U363" i="12" s="1"/>
  <c r="U362" i="12" s="1"/>
  <c r="Z601" i="21"/>
  <c r="U346" i="12" s="1"/>
  <c r="U345" i="12" s="1"/>
  <c r="E14" i="20" l="1"/>
  <c r="Z95" i="21" l="1"/>
  <c r="U130" i="12"/>
  <c r="U129" i="12" s="1"/>
  <c r="AB627" i="21" l="1"/>
  <c r="AA627" i="21"/>
  <c r="Z627" i="21"/>
  <c r="Z486" i="21" l="1"/>
  <c r="I26" i="10" l="1"/>
  <c r="Z485" i="21"/>
  <c r="Z463" i="21" s="1"/>
  <c r="U296" i="12"/>
  <c r="U295" i="12" s="1"/>
  <c r="W84" i="12"/>
  <c r="V84" i="12"/>
  <c r="AB730" i="21"/>
  <c r="AA730" i="21"/>
  <c r="Z730" i="21"/>
  <c r="U75" i="12" s="1"/>
  <c r="U74" i="12" s="1"/>
  <c r="E15" i="20" l="1"/>
  <c r="U136" i="12" l="1"/>
  <c r="U135" i="12" s="1"/>
  <c r="Z233" i="21"/>
  <c r="E16" i="20"/>
  <c r="E64" i="20" s="1"/>
  <c r="Z384" i="21" l="1"/>
  <c r="Z383" i="21" s="1"/>
  <c r="W558" i="12"/>
  <c r="V558" i="12"/>
  <c r="W557" i="12"/>
  <c r="V557" i="12"/>
  <c r="U557" i="12"/>
  <c r="U558" i="12"/>
  <c r="AB715" i="21"/>
  <c r="AB714" i="21" s="1"/>
  <c r="AA715" i="21"/>
  <c r="AA714" i="21" s="1"/>
  <c r="E22" i="20"/>
  <c r="F54" i="14" l="1"/>
  <c r="F57" i="53"/>
  <c r="E54" i="14"/>
  <c r="E57" i="53"/>
  <c r="Z715" i="21"/>
  <c r="Z714" i="21" s="1"/>
  <c r="W556" i="12"/>
  <c r="W555" i="12" s="1"/>
  <c r="V556" i="12"/>
  <c r="V555" i="12" s="1"/>
  <c r="U556" i="12"/>
  <c r="U555" i="12" s="1"/>
  <c r="D57" i="53" l="1"/>
  <c r="D54" i="14"/>
  <c r="W88" i="12"/>
  <c r="V88" i="12"/>
  <c r="U89" i="12"/>
  <c r="U88" i="12" s="1"/>
  <c r="AB58" i="21"/>
  <c r="AA58" i="21"/>
  <c r="Z58" i="21"/>
  <c r="E24" i="20" l="1"/>
  <c r="E23" i="20"/>
  <c r="E21" i="20"/>
  <c r="E26" i="20"/>
  <c r="E25" i="20"/>
  <c r="Z707" i="21"/>
  <c r="W417" i="12"/>
  <c r="W412" i="12" s="1"/>
  <c r="V417" i="12"/>
  <c r="V412" i="12" s="1"/>
  <c r="U418" i="12"/>
  <c r="U417" i="12" s="1"/>
  <c r="U412" i="12" s="1"/>
  <c r="E70" i="20" l="1"/>
  <c r="E61" i="20"/>
  <c r="E72" i="20"/>
  <c r="AB741" i="21"/>
  <c r="AA741" i="21"/>
  <c r="Z741" i="21"/>
  <c r="AA747" i="21"/>
  <c r="AA742" i="21" l="1"/>
  <c r="D42" i="14"/>
  <c r="F42" i="14"/>
  <c r="E42" i="14" l="1"/>
  <c r="E42" i="53"/>
  <c r="W271" i="12"/>
  <c r="W270" i="12" s="1"/>
  <c r="V271" i="12"/>
  <c r="V270" i="12" s="1"/>
  <c r="U271" i="12"/>
  <c r="U270" i="12" s="1"/>
  <c r="AB219" i="21"/>
  <c r="AA219" i="21"/>
  <c r="Z219" i="21"/>
  <c r="Z132" i="21" l="1"/>
  <c r="Z130" i="21"/>
  <c r="C18" i="11" l="1"/>
  <c r="K197" i="55" s="1"/>
  <c r="K198" i="55" s="1"/>
  <c r="K218" i="40" l="1"/>
  <c r="K220" i="54"/>
  <c r="K221" i="54" s="1"/>
  <c r="K249" i="39"/>
  <c r="K250" i="39" s="1"/>
  <c r="K219" i="40"/>
  <c r="K208" i="41"/>
  <c r="K209" i="41" s="1"/>
  <c r="C21" i="11"/>
  <c r="Z768" i="21" s="1"/>
  <c r="E202" i="25"/>
  <c r="AB338" i="21"/>
  <c r="AA338" i="21"/>
  <c r="U530" i="12"/>
  <c r="AA108" i="21"/>
  <c r="Z767" i="21" l="1"/>
  <c r="Z164" i="21"/>
  <c r="Z153" i="21"/>
  <c r="Z338" i="21" l="1"/>
  <c r="AA117" i="21" l="1"/>
  <c r="Z221" i="21" l="1"/>
  <c r="AB357" i="21" l="1"/>
  <c r="AB326" i="21"/>
  <c r="K14" i="10" s="1"/>
  <c r="G71" i="20" l="1"/>
  <c r="F71" i="20"/>
  <c r="E71" i="20"/>
  <c r="G68" i="20"/>
  <c r="F68" i="20"/>
  <c r="E68" i="20"/>
  <c r="G67" i="20"/>
  <c r="F67" i="20"/>
  <c r="G65" i="20"/>
  <c r="F65" i="20"/>
  <c r="E65" i="20"/>
  <c r="E75" i="20" l="1"/>
  <c r="W443" i="12"/>
  <c r="W442" i="12" s="1"/>
  <c r="V443" i="12"/>
  <c r="V442" i="12" s="1"/>
  <c r="U443" i="12"/>
  <c r="U439" i="12" s="1"/>
  <c r="AB247" i="21" l="1"/>
  <c r="D18" i="11"/>
  <c r="E18" i="11" l="1"/>
  <c r="E21" i="11" s="1"/>
  <c r="AB767" i="21" s="1"/>
  <c r="D21" i="11"/>
  <c r="AA767" i="21" s="1"/>
  <c r="AB669" i="21"/>
  <c r="Z14" i="21" l="1"/>
  <c r="Z13" i="21" s="1"/>
  <c r="Z25" i="21"/>
  <c r="AA25" i="21"/>
  <c r="AB25" i="21"/>
  <c r="Z27" i="21"/>
  <c r="AA31" i="21"/>
  <c r="AA27" i="21" s="1"/>
  <c r="AB31" i="21"/>
  <c r="AB27" i="21" s="1"/>
  <c r="Z34" i="21"/>
  <c r="Z41" i="21"/>
  <c r="Z40" i="21" s="1"/>
  <c r="AA41" i="21"/>
  <c r="AA40" i="21" s="1"/>
  <c r="AB41" i="21"/>
  <c r="AB40" i="21" s="1"/>
  <c r="Z44" i="21"/>
  <c r="AA44" i="21"/>
  <c r="AB44" i="21"/>
  <c r="Z47" i="21"/>
  <c r="AA47" i="21"/>
  <c r="AA46" i="21" s="1"/>
  <c r="E18" i="53" s="1"/>
  <c r="AB47" i="21"/>
  <c r="AB46" i="21" s="1"/>
  <c r="F18" i="53" s="1"/>
  <c r="Z50" i="21"/>
  <c r="AA50" i="21"/>
  <c r="AB50" i="21"/>
  <c r="Z54" i="21"/>
  <c r="Z90" i="21"/>
  <c r="AA90" i="21"/>
  <c r="AB90" i="21"/>
  <c r="AA98" i="21"/>
  <c r="AB98" i="21"/>
  <c r="AA104" i="21"/>
  <c r="AB104" i="21"/>
  <c r="Z108" i="21"/>
  <c r="AB108" i="21"/>
  <c r="AB110" i="21"/>
  <c r="Z110" i="21"/>
  <c r="AA110" i="21"/>
  <c r="AB113" i="21"/>
  <c r="Z113" i="21"/>
  <c r="AA113" i="21"/>
  <c r="Z117" i="21"/>
  <c r="AB117" i="21"/>
  <c r="AA119" i="21"/>
  <c r="AB119" i="21"/>
  <c r="AA121" i="21"/>
  <c r="AB121" i="21"/>
  <c r="Z123" i="21"/>
  <c r="I12" i="10" s="1"/>
  <c r="AA123" i="21"/>
  <c r="AB123" i="21"/>
  <c r="Z129" i="21"/>
  <c r="AA129" i="21"/>
  <c r="AB129" i="21"/>
  <c r="Z131" i="21"/>
  <c r="AA131" i="21"/>
  <c r="AB131" i="21"/>
  <c r="Z139" i="21"/>
  <c r="AA139" i="21"/>
  <c r="AB139" i="21"/>
  <c r="Z143" i="21"/>
  <c r="AA143" i="21"/>
  <c r="AB143" i="21"/>
  <c r="Z145" i="21"/>
  <c r="AA145" i="21"/>
  <c r="AB145" i="21"/>
  <c r="Z148" i="21"/>
  <c r="AA148" i="21"/>
  <c r="AB148" i="21"/>
  <c r="Z152" i="21"/>
  <c r="AA152" i="21"/>
  <c r="AB152" i="21"/>
  <c r="Z155" i="21"/>
  <c r="AA155" i="21"/>
  <c r="AB155" i="21"/>
  <c r="Z157" i="21"/>
  <c r="AA157" i="21"/>
  <c r="AB157" i="21"/>
  <c r="Z161" i="21"/>
  <c r="AA161" i="21"/>
  <c r="AB161" i="21"/>
  <c r="Z163" i="21"/>
  <c r="AA163" i="21"/>
  <c r="AB163" i="21"/>
  <c r="AA165" i="21"/>
  <c r="AB165" i="21"/>
  <c r="Z167" i="21"/>
  <c r="AA167" i="21"/>
  <c r="AB167" i="21"/>
  <c r="Z173" i="21"/>
  <c r="AA173" i="21"/>
  <c r="AB173" i="21"/>
  <c r="Z177" i="21"/>
  <c r="AA177" i="21"/>
  <c r="AB177" i="21"/>
  <c r="Z182" i="21"/>
  <c r="AA182" i="21"/>
  <c r="AB182" i="21"/>
  <c r="Z184" i="21"/>
  <c r="AA184" i="21"/>
  <c r="AB184" i="21"/>
  <c r="AA195" i="21"/>
  <c r="AB195" i="21"/>
  <c r="Z197" i="21"/>
  <c r="AA197" i="21"/>
  <c r="AB197" i="21"/>
  <c r="Z201" i="21"/>
  <c r="AA201" i="21"/>
  <c r="AB201" i="21"/>
  <c r="AA221" i="21"/>
  <c r="AB221" i="21"/>
  <c r="Z223" i="21"/>
  <c r="Z218" i="21" s="1"/>
  <c r="AA223" i="21"/>
  <c r="AB223" i="21"/>
  <c r="AA233" i="21"/>
  <c r="AB233" i="21"/>
  <c r="Z236" i="21"/>
  <c r="AA236" i="21"/>
  <c r="AB236" i="21"/>
  <c r="AB238" i="21"/>
  <c r="K24" i="10" s="1"/>
  <c r="Z238" i="21"/>
  <c r="AA238" i="21"/>
  <c r="J24" i="10" s="1"/>
  <c r="Z240" i="21"/>
  <c r="Z770" i="21" s="1"/>
  <c r="AA240" i="21"/>
  <c r="AB240" i="21"/>
  <c r="Z245" i="21"/>
  <c r="AA245" i="21"/>
  <c r="AB245" i="21"/>
  <c r="Z247" i="21"/>
  <c r="AA247" i="21"/>
  <c r="Z249" i="21"/>
  <c r="AA249" i="21"/>
  <c r="AB249" i="21"/>
  <c r="Z251" i="21"/>
  <c r="AA251" i="21"/>
  <c r="AB251" i="21"/>
  <c r="Z253" i="21"/>
  <c r="AA253" i="21"/>
  <c r="AB253" i="21"/>
  <c r="Z255" i="21"/>
  <c r="I55" i="10" s="1"/>
  <c r="AA255" i="21"/>
  <c r="AB255" i="21"/>
  <c r="Z261" i="21"/>
  <c r="AA261" i="21"/>
  <c r="AB261" i="21"/>
  <c r="Z263" i="21"/>
  <c r="AA263" i="21"/>
  <c r="AB263" i="21"/>
  <c r="Z269" i="21"/>
  <c r="AA269" i="21"/>
  <c r="AA268" i="21" s="1"/>
  <c r="AB269" i="21"/>
  <c r="AB268" i="21" s="1"/>
  <c r="Z278" i="21"/>
  <c r="AA278" i="21"/>
  <c r="J28" i="10" s="1"/>
  <c r="AB278" i="21"/>
  <c r="K28" i="10" s="1"/>
  <c r="Z280" i="21"/>
  <c r="AA280" i="21"/>
  <c r="AB280" i="21"/>
  <c r="Z282" i="21"/>
  <c r="AA282" i="21"/>
  <c r="AB282" i="21"/>
  <c r="Z284" i="21"/>
  <c r="AA284" i="21"/>
  <c r="AB284" i="21"/>
  <c r="Z290" i="21"/>
  <c r="AA290" i="21"/>
  <c r="J48" i="10" s="1"/>
  <c r="AB290" i="21"/>
  <c r="K48" i="10" s="1"/>
  <c r="Z298" i="21"/>
  <c r="AA298" i="21"/>
  <c r="AB298" i="21"/>
  <c r="Z302" i="21"/>
  <c r="AA302" i="21"/>
  <c r="AB302" i="21"/>
  <c r="Z306" i="21"/>
  <c r="AA306" i="21"/>
  <c r="AB306" i="21"/>
  <c r="Z308" i="21"/>
  <c r="AA308" i="21"/>
  <c r="AB308" i="21"/>
  <c r="Z312" i="21"/>
  <c r="AA312" i="21"/>
  <c r="AB312" i="21"/>
  <c r="Z321" i="21"/>
  <c r="Z323" i="21"/>
  <c r="AA323" i="21"/>
  <c r="AA320" i="21" s="1"/>
  <c r="E54" i="53" s="1"/>
  <c r="AB323" i="21"/>
  <c r="AB320" i="21" s="1"/>
  <c r="F54" i="53" s="1"/>
  <c r="Z326" i="21"/>
  <c r="AA326" i="21"/>
  <c r="J14" i="10" s="1"/>
  <c r="Z332" i="21"/>
  <c r="AA332" i="21"/>
  <c r="AB332" i="21"/>
  <c r="Z334" i="21"/>
  <c r="AA334" i="21"/>
  <c r="AB334" i="21"/>
  <c r="Z341" i="21"/>
  <c r="AA341" i="21"/>
  <c r="AB341" i="21"/>
  <c r="Z344" i="21"/>
  <c r="AA344" i="21"/>
  <c r="AB344" i="21"/>
  <c r="Z346" i="21"/>
  <c r="AA346" i="21"/>
  <c r="AB346" i="21"/>
  <c r="AB350" i="21"/>
  <c r="Z350" i="21"/>
  <c r="AA350" i="21"/>
  <c r="Z352" i="21"/>
  <c r="AA352" i="21"/>
  <c r="AB352" i="21"/>
  <c r="Z357" i="21"/>
  <c r="AA357" i="21"/>
  <c r="Z359" i="21"/>
  <c r="AA359" i="21"/>
  <c r="AB359" i="21"/>
  <c r="Z361" i="21"/>
  <c r="AA361" i="21"/>
  <c r="AB361" i="21"/>
  <c r="AA364" i="21"/>
  <c r="E68" i="53" s="1"/>
  <c r="AB364" i="21"/>
  <c r="F68" i="53" s="1"/>
  <c r="AA371" i="21"/>
  <c r="AA369" i="21" s="1"/>
  <c r="AB371" i="21"/>
  <c r="AB369" i="21" s="1"/>
  <c r="Z377" i="21"/>
  <c r="AA377" i="21"/>
  <c r="AB377" i="21"/>
  <c r="AA384" i="21"/>
  <c r="AB384" i="21"/>
  <c r="Z592" i="21"/>
  <c r="AA592" i="21"/>
  <c r="AB592" i="21"/>
  <c r="Z599" i="21"/>
  <c r="AA599" i="21"/>
  <c r="AB599" i="21"/>
  <c r="Z605" i="21"/>
  <c r="AA605" i="21"/>
  <c r="AB605" i="21"/>
  <c r="Z607" i="21"/>
  <c r="AA607" i="21"/>
  <c r="AB607" i="21"/>
  <c r="Z611" i="21"/>
  <c r="AA611" i="21"/>
  <c r="AB611" i="21"/>
  <c r="Z613" i="21"/>
  <c r="AA613" i="21"/>
  <c r="AB613" i="21"/>
  <c r="Z616" i="21"/>
  <c r="AA616" i="21"/>
  <c r="AB616" i="21"/>
  <c r="Z620" i="21"/>
  <c r="I42" i="10" s="1"/>
  <c r="AB620" i="21"/>
  <c r="K42" i="10" s="1"/>
  <c r="Z624" i="21"/>
  <c r="AA624" i="21"/>
  <c r="AB624" i="21"/>
  <c r="Z626" i="21"/>
  <c r="AA626" i="21"/>
  <c r="AB626" i="21"/>
  <c r="Z628" i="21"/>
  <c r="AA628" i="21"/>
  <c r="Z636" i="21"/>
  <c r="AA636" i="21"/>
  <c r="AB636" i="21"/>
  <c r="Z638" i="21"/>
  <c r="AA638" i="21"/>
  <c r="AB638" i="21"/>
  <c r="Z648" i="21"/>
  <c r="AA648" i="21"/>
  <c r="AB648" i="21"/>
  <c r="Z650" i="21"/>
  <c r="AA650" i="21"/>
  <c r="AB650" i="21"/>
  <c r="Z652" i="21"/>
  <c r="AA652" i="21"/>
  <c r="AB652" i="21"/>
  <c r="Z654" i="21"/>
  <c r="AA654" i="21"/>
  <c r="AB654" i="21"/>
  <c r="Z656" i="21"/>
  <c r="AA656" i="21"/>
  <c r="AB656" i="21"/>
  <c r="Z658" i="21"/>
  <c r="AA658" i="21"/>
  <c r="AB658" i="21"/>
  <c r="AA661" i="21"/>
  <c r="AA660" i="21" s="1"/>
  <c r="AB661" i="21"/>
  <c r="AB660" i="21" s="1"/>
  <c r="Z684" i="21"/>
  <c r="Z671" i="21" s="1"/>
  <c r="AA684" i="21"/>
  <c r="AB684" i="21"/>
  <c r="Z690" i="21"/>
  <c r="AA690" i="21"/>
  <c r="AB690" i="21"/>
  <c r="AA698" i="21"/>
  <c r="AB698" i="21"/>
  <c r="AB701" i="21"/>
  <c r="AA704" i="21"/>
  <c r="AB704" i="21"/>
  <c r="AA723" i="21"/>
  <c r="V67" i="12" s="1"/>
  <c r="AB723" i="21"/>
  <c r="W67" i="12" s="1"/>
  <c r="Z724" i="21"/>
  <c r="Z721" i="21" s="1"/>
  <c r="AA724" i="21"/>
  <c r="V68" i="12" s="1"/>
  <c r="AB724" i="21"/>
  <c r="W68" i="12" s="1"/>
  <c r="Z727" i="21"/>
  <c r="AA729" i="21"/>
  <c r="V73" i="12" s="1"/>
  <c r="V71" i="12" s="1"/>
  <c r="AB729" i="21"/>
  <c r="W73" i="12" s="1"/>
  <c r="W71" i="12" s="1"/>
  <c r="Z736" i="21"/>
  <c r="Z733" i="21" s="1"/>
  <c r="AA736" i="21"/>
  <c r="AA733" i="21" s="1"/>
  <c r="AB736" i="21"/>
  <c r="AB733" i="21" s="1"/>
  <c r="Z740" i="21"/>
  <c r="Z739" i="21" s="1"/>
  <c r="Z738" i="21" s="1"/>
  <c r="AA740" i="21"/>
  <c r="AA739" i="21" s="1"/>
  <c r="AA738" i="21" s="1"/>
  <c r="AB740" i="21"/>
  <c r="AB739" i="21" s="1"/>
  <c r="AB738" i="21" s="1"/>
  <c r="Z753" i="21"/>
  <c r="AA753" i="21"/>
  <c r="AB753" i="21"/>
  <c r="Z757" i="21"/>
  <c r="AA757" i="21"/>
  <c r="AB757" i="21"/>
  <c r="Z761" i="21"/>
  <c r="AA761" i="21"/>
  <c r="AB761" i="21"/>
  <c r="I24" i="10" l="1"/>
  <c r="Z235" i="21"/>
  <c r="I37" i="10"/>
  <c r="AA356" i="21"/>
  <c r="J35" i="10"/>
  <c r="AA49" i="21"/>
  <c r="I48" i="10"/>
  <c r="J37" i="10"/>
  <c r="Z154" i="21"/>
  <c r="I32" i="10"/>
  <c r="Z780" i="21"/>
  <c r="Z791" i="21" s="1"/>
  <c r="Z720" i="21"/>
  <c r="Z598" i="21"/>
  <c r="D40" i="53" s="1"/>
  <c r="Z615" i="21"/>
  <c r="Z325" i="21"/>
  <c r="D55" i="53" s="1"/>
  <c r="AB368" i="21"/>
  <c r="D29" i="53"/>
  <c r="I52" i="10"/>
  <c r="AA368" i="21"/>
  <c r="Z194" i="21"/>
  <c r="AB769" i="21"/>
  <c r="Z181" i="21"/>
  <c r="D30" i="14" s="1"/>
  <c r="AA769" i="21"/>
  <c r="AB49" i="21"/>
  <c r="U395" i="12"/>
  <c r="U394" i="12" s="1"/>
  <c r="I21" i="10"/>
  <c r="I23" i="10" s="1"/>
  <c r="Z244" i="21"/>
  <c r="D35" i="14" s="1"/>
  <c r="I30" i="10"/>
  <c r="U332" i="12"/>
  <c r="U331" i="12" s="1"/>
  <c r="J25" i="10"/>
  <c r="Z369" i="21"/>
  <c r="I39" i="10" s="1"/>
  <c r="K12" i="10"/>
  <c r="Z101" i="21"/>
  <c r="AB776" i="21"/>
  <c r="AA776" i="21"/>
  <c r="AA792" i="21" s="1"/>
  <c r="I18" i="10"/>
  <c r="K39" i="10"/>
  <c r="AB383" i="21"/>
  <c r="F65" i="53" s="1"/>
  <c r="F64" i="53" s="1"/>
  <c r="J39" i="10"/>
  <c r="AA383" i="21"/>
  <c r="E65" i="53" s="1"/>
  <c r="E64" i="53" s="1"/>
  <c r="I28" i="10"/>
  <c r="Z277" i="21"/>
  <c r="D43" i="53" s="1"/>
  <c r="Z297" i="21"/>
  <c r="Z296" i="21" s="1"/>
  <c r="AB671" i="21"/>
  <c r="F44" i="53" s="1"/>
  <c r="I25" i="10"/>
  <c r="J18" i="10"/>
  <c r="AA750" i="21"/>
  <c r="AA749" i="21" s="1"/>
  <c r="J16" i="10"/>
  <c r="K21" i="10"/>
  <c r="K16" i="10"/>
  <c r="K25" i="10"/>
  <c r="J12" i="10"/>
  <c r="J21" i="10"/>
  <c r="K18" i="10"/>
  <c r="AA43" i="21"/>
  <c r="E17" i="53"/>
  <c r="AB43" i="21"/>
  <c r="F17" i="53"/>
  <c r="K37" i="10"/>
  <c r="D12" i="53"/>
  <c r="K30" i="10"/>
  <c r="J30" i="10"/>
  <c r="D44" i="53"/>
  <c r="AB297" i="21"/>
  <c r="AB296" i="21" s="1"/>
  <c r="K46" i="10"/>
  <c r="I35" i="10"/>
  <c r="I36" i="10" s="1"/>
  <c r="AA297" i="21"/>
  <c r="AA296" i="21" s="1"/>
  <c r="Z24" i="21"/>
  <c r="D14" i="53" s="1"/>
  <c r="AA671" i="21"/>
  <c r="E44" i="53" s="1"/>
  <c r="J46" i="10"/>
  <c r="I16" i="10"/>
  <c r="Z750" i="21"/>
  <c r="Z749" i="21" s="1"/>
  <c r="AB615" i="21"/>
  <c r="F41" i="53" s="1"/>
  <c r="AA615" i="21"/>
  <c r="E41" i="53" s="1"/>
  <c r="Z43" i="21"/>
  <c r="AB598" i="21"/>
  <c r="F40" i="53" s="1"/>
  <c r="J43" i="10"/>
  <c r="K55" i="10"/>
  <c r="K51" i="10"/>
  <c r="K35" i="10"/>
  <c r="J55" i="10"/>
  <c r="K52" i="10"/>
  <c r="K32" i="10"/>
  <c r="J51" i="10"/>
  <c r="J52" i="10"/>
  <c r="J32" i="10"/>
  <c r="K43" i="10"/>
  <c r="AB24" i="21"/>
  <c r="F14" i="53" s="1"/>
  <c r="W42" i="12"/>
  <c r="W40" i="12" s="1"/>
  <c r="V42" i="12"/>
  <c r="V40" i="12" s="1"/>
  <c r="AA24" i="21"/>
  <c r="E14" i="53" s="1"/>
  <c r="AB218" i="21"/>
  <c r="F33" i="53" s="1"/>
  <c r="AA218" i="21"/>
  <c r="E33" i="53" s="1"/>
  <c r="AA598" i="21"/>
  <c r="E40" i="53" s="1"/>
  <c r="Z591" i="21"/>
  <c r="AB750" i="21"/>
  <c r="AB749" i="21" s="1"/>
  <c r="W65" i="12"/>
  <c r="V30" i="12"/>
  <c r="V26" i="12" s="1"/>
  <c r="I43" i="10"/>
  <c r="I45" i="10" s="1"/>
  <c r="I51" i="10"/>
  <c r="I14" i="10"/>
  <c r="Z732" i="21"/>
  <c r="V65" i="12"/>
  <c r="W30" i="12"/>
  <c r="W26" i="12" s="1"/>
  <c r="AB591" i="21"/>
  <c r="AA591" i="21"/>
  <c r="AB181" i="21"/>
  <c r="F30" i="53" s="1"/>
  <c r="Z268" i="21"/>
  <c r="AB112" i="21"/>
  <c r="Z116" i="21"/>
  <c r="D27" i="53" s="1"/>
  <c r="AA349" i="21"/>
  <c r="E60" i="53" s="1"/>
  <c r="Z349" i="21"/>
  <c r="D60" i="53" s="1"/>
  <c r="AB194" i="21"/>
  <c r="F31" i="53" s="1"/>
  <c r="Z147" i="21"/>
  <c r="D28" i="53" s="1"/>
  <c r="AB101" i="21"/>
  <c r="F22" i="53" s="1"/>
  <c r="F20" i="53" s="1"/>
  <c r="AA101" i="21"/>
  <c r="E22" i="53" s="1"/>
  <c r="E20" i="53" s="1"/>
  <c r="AA112" i="21"/>
  <c r="AA194" i="21"/>
  <c r="E31" i="53" s="1"/>
  <c r="AB356" i="21"/>
  <c r="F63" i="53" s="1"/>
  <c r="AA181" i="21"/>
  <c r="E30" i="53" s="1"/>
  <c r="AB277" i="21"/>
  <c r="AB349" i="21"/>
  <c r="F60" i="53" s="1"/>
  <c r="AA277" i="21"/>
  <c r="E43" i="53" s="1"/>
  <c r="E63" i="53"/>
  <c r="AB244" i="21"/>
  <c r="F35" i="53" s="1"/>
  <c r="Z112" i="21"/>
  <c r="AA116" i="21"/>
  <c r="E27" i="53" s="1"/>
  <c r="AB325" i="21"/>
  <c r="F55" i="53" s="1"/>
  <c r="AA325" i="21"/>
  <c r="E55" i="53" s="1"/>
  <c r="AA244" i="21"/>
  <c r="E35" i="53" s="1"/>
  <c r="AB116" i="21"/>
  <c r="F27" i="53" s="1"/>
  <c r="AA772" i="21"/>
  <c r="AB235" i="21"/>
  <c r="F34" i="53" s="1"/>
  <c r="AA235" i="21"/>
  <c r="E34" i="53" s="1"/>
  <c r="AB732" i="21"/>
  <c r="AA732" i="21"/>
  <c r="AB727" i="21"/>
  <c r="AB343" i="21"/>
  <c r="AB770" i="21" s="1"/>
  <c r="Z320" i="21"/>
  <c r="D54" i="53" s="1"/>
  <c r="AB721" i="21"/>
  <c r="Z356" i="21"/>
  <c r="AA727" i="21"/>
  <c r="Z697" i="21"/>
  <c r="Z692" i="21" s="1"/>
  <c r="Z343" i="21"/>
  <c r="Z46" i="21"/>
  <c r="D18" i="53" s="1"/>
  <c r="AA721" i="21"/>
  <c r="I38" i="10"/>
  <c r="AA343" i="21"/>
  <c r="AA770" i="21" s="1"/>
  <c r="AA147" i="21"/>
  <c r="E28" i="53" s="1"/>
  <c r="Z16" i="21"/>
  <c r="Z769" i="21" s="1"/>
  <c r="AB147" i="21"/>
  <c r="F28" i="53" s="1"/>
  <c r="AB772" i="21"/>
  <c r="AA697" i="21"/>
  <c r="AA692" i="21" s="1"/>
  <c r="AB154" i="21"/>
  <c r="F29" i="53" s="1"/>
  <c r="AA154" i="21"/>
  <c r="E29" i="53" s="1"/>
  <c r="AB697" i="21"/>
  <c r="AB692" i="21" s="1"/>
  <c r="D19" i="14" l="1"/>
  <c r="Z368" i="21"/>
  <c r="Z367" i="21" s="1"/>
  <c r="AB720" i="21"/>
  <c r="AA720" i="21"/>
  <c r="AA719" i="21" s="1"/>
  <c r="AA718" i="21" s="1"/>
  <c r="D22" i="53"/>
  <c r="D20" i="53" s="1"/>
  <c r="D22" i="14"/>
  <c r="Z267" i="21"/>
  <c r="D41" i="14"/>
  <c r="D63" i="53"/>
  <c r="D59" i="53" s="1"/>
  <c r="D59" i="14"/>
  <c r="Z217" i="21"/>
  <c r="Z789" i="21"/>
  <c r="AB382" i="21"/>
  <c r="AA382" i="21"/>
  <c r="D56" i="53"/>
  <c r="D53" i="53" s="1"/>
  <c r="K38" i="10"/>
  <c r="F59" i="53"/>
  <c r="E56" i="53"/>
  <c r="E53" i="53" s="1"/>
  <c r="D49" i="53"/>
  <c r="D48" i="53" s="1"/>
  <c r="J38" i="10"/>
  <c r="E59" i="53"/>
  <c r="D41" i="53"/>
  <c r="D39" i="53" s="1"/>
  <c r="Z590" i="21"/>
  <c r="D67" i="53"/>
  <c r="D66" i="53" s="1"/>
  <c r="AB267" i="21"/>
  <c r="F43" i="53"/>
  <c r="F39" i="53" s="1"/>
  <c r="E39" i="53"/>
  <c r="AA590" i="21"/>
  <c r="E67" i="53"/>
  <c r="E66" i="53" s="1"/>
  <c r="F56" i="53"/>
  <c r="F53" i="53" s="1"/>
  <c r="F25" i="53"/>
  <c r="E25" i="53"/>
  <c r="D30" i="53"/>
  <c r="AB590" i="21"/>
  <c r="F67" i="53"/>
  <c r="F66" i="53" s="1"/>
  <c r="E49" i="53"/>
  <c r="E48" i="53" s="1"/>
  <c r="F49" i="53"/>
  <c r="F48" i="53" s="1"/>
  <c r="E32" i="53"/>
  <c r="F32" i="53"/>
  <c r="D35" i="53"/>
  <c r="D31" i="14"/>
  <c r="D31" i="53"/>
  <c r="D33" i="14"/>
  <c r="D33" i="53"/>
  <c r="D13" i="53"/>
  <c r="D34" i="14"/>
  <c r="D34" i="53"/>
  <c r="AA780" i="21"/>
  <c r="AA791" i="21" s="1"/>
  <c r="AB780" i="21"/>
  <c r="AB791" i="21" s="1"/>
  <c r="AB792" i="21"/>
  <c r="Z792" i="21"/>
  <c r="AB12" i="21"/>
  <c r="AA348" i="21"/>
  <c r="AA12" i="21"/>
  <c r="AA100" i="21"/>
  <c r="I13" i="10"/>
  <c r="AB100" i="21"/>
  <c r="AB348" i="21"/>
  <c r="AA789" i="21"/>
  <c r="AA267" i="21"/>
  <c r="AB217" i="21"/>
  <c r="AB789" i="21"/>
  <c r="Z100" i="21"/>
  <c r="AA597" i="21"/>
  <c r="AA596" i="21" s="1"/>
  <c r="AA115" i="21"/>
  <c r="AA217" i="21"/>
  <c r="AB115" i="21"/>
  <c r="Z115" i="21"/>
  <c r="Z12" i="21"/>
  <c r="AB597" i="21"/>
  <c r="AB596" i="21" s="1"/>
  <c r="AB319" i="21"/>
  <c r="AA319" i="21"/>
  <c r="F16" i="53"/>
  <c r="E16" i="53"/>
  <c r="D43" i="14"/>
  <c r="D46" i="14"/>
  <c r="Z319" i="21"/>
  <c r="Z597" i="21"/>
  <c r="Z596" i="21" s="1"/>
  <c r="Z348" i="21"/>
  <c r="Z363" i="21" l="1"/>
  <c r="D16" i="53"/>
  <c r="D16" i="14"/>
  <c r="D25" i="53"/>
  <c r="AB719" i="21"/>
  <c r="AB718" i="21" s="1"/>
  <c r="F19" i="53"/>
  <c r="F11" i="53" s="1"/>
  <c r="F69" i="53" s="1"/>
  <c r="E19" i="53"/>
  <c r="E11" i="53" s="1"/>
  <c r="E69" i="53" s="1"/>
  <c r="D19" i="53"/>
  <c r="D32" i="53"/>
  <c r="AB11" i="21"/>
  <c r="AA11" i="21"/>
  <c r="Z11" i="21"/>
  <c r="AB367" i="21"/>
  <c r="AB363" i="21" s="1"/>
  <c r="AA367" i="21"/>
  <c r="AA363" i="21" s="1"/>
  <c r="Z719" i="21"/>
  <c r="Z718" i="21" s="1"/>
  <c r="G23" i="20"/>
  <c r="G66" i="20" s="1"/>
  <c r="F23" i="20"/>
  <c r="F66" i="20" s="1"/>
  <c r="G15" i="20"/>
  <c r="F15" i="20"/>
  <c r="D11" i="53" l="1"/>
  <c r="D69" i="53" s="1"/>
  <c r="G61" i="20"/>
  <c r="Z765" i="21"/>
  <c r="AB765" i="21"/>
  <c r="AB774" i="21" s="1"/>
  <c r="AA765" i="21"/>
  <c r="AA774" i="21" s="1"/>
  <c r="F61" i="20"/>
  <c r="G70" i="20"/>
  <c r="G64" i="20"/>
  <c r="G69" i="20" s="1"/>
  <c r="E66" i="20"/>
  <c r="E69" i="20" s="1"/>
  <c r="F64" i="20"/>
  <c r="F69" i="20" s="1"/>
  <c r="F70" i="20"/>
  <c r="F64" i="14"/>
  <c r="E64" i="14"/>
  <c r="F63" i="14"/>
  <c r="E63" i="14"/>
  <c r="D63" i="14"/>
  <c r="F59" i="14"/>
  <c r="E59" i="14"/>
  <c r="F56" i="14"/>
  <c r="E56" i="14"/>
  <c r="D56" i="14"/>
  <c r="F53" i="14"/>
  <c r="E53" i="14"/>
  <c r="D53" i="14"/>
  <c r="F52" i="14"/>
  <c r="E52" i="14"/>
  <c r="D52" i="14"/>
  <c r="F51" i="14"/>
  <c r="E51" i="14"/>
  <c r="D51" i="14"/>
  <c r="F49" i="14"/>
  <c r="E49" i="14"/>
  <c r="D49" i="14"/>
  <c r="F46" i="14"/>
  <c r="E46" i="14"/>
  <c r="F44" i="14"/>
  <c r="E44" i="14"/>
  <c r="D44" i="14"/>
  <c r="F43" i="14"/>
  <c r="E43" i="14"/>
  <c r="F41" i="14"/>
  <c r="E41" i="14"/>
  <c r="F40" i="14"/>
  <c r="E40" i="14"/>
  <c r="D40" i="14"/>
  <c r="F35" i="14"/>
  <c r="E35" i="14"/>
  <c r="F34" i="14"/>
  <c r="E34" i="14"/>
  <c r="F33" i="14"/>
  <c r="E33" i="14"/>
  <c r="F31" i="14"/>
  <c r="E31" i="14"/>
  <c r="F30" i="14"/>
  <c r="E30" i="14"/>
  <c r="F29" i="14"/>
  <c r="E29" i="14"/>
  <c r="D29" i="14"/>
  <c r="F28" i="14"/>
  <c r="E28" i="14"/>
  <c r="F27" i="14"/>
  <c r="E27" i="14"/>
  <c r="D27" i="14"/>
  <c r="F23" i="14"/>
  <c r="E23" i="14"/>
  <c r="D23" i="14"/>
  <c r="F22" i="14"/>
  <c r="E22" i="14"/>
  <c r="F19" i="14"/>
  <c r="E19" i="14"/>
  <c r="D18" i="14"/>
  <c r="F18" i="14"/>
  <c r="E18" i="14"/>
  <c r="F17" i="14"/>
  <c r="E17" i="14"/>
  <c r="D17" i="14"/>
  <c r="W56" i="12"/>
  <c r="W55" i="12" s="1"/>
  <c r="V56" i="12"/>
  <c r="V55" i="12" s="1"/>
  <c r="U56" i="12"/>
  <c r="U55" i="12" s="1"/>
  <c r="K194" i="55" l="1"/>
  <c r="K196" i="55" s="1"/>
  <c r="Z774" i="21"/>
  <c r="K217" i="54"/>
  <c r="K219" i="54" s="1"/>
  <c r="K215" i="40"/>
  <c r="K217" i="40" s="1"/>
  <c r="K246" i="39"/>
  <c r="K248" i="39" s="1"/>
  <c r="K205" i="41"/>
  <c r="K207" i="41" s="1"/>
  <c r="E50" i="14"/>
  <c r="F50" i="14"/>
  <c r="D50" i="14"/>
  <c r="E39" i="14"/>
  <c r="F39" i="14"/>
  <c r="D39" i="14"/>
  <c r="D20" i="14"/>
  <c r="E20" i="14"/>
  <c r="F20" i="14"/>
  <c r="W406" i="12"/>
  <c r="V406" i="12"/>
  <c r="U407" i="12"/>
  <c r="U406" i="12" s="1"/>
  <c r="U453" i="12"/>
  <c r="U454" i="12"/>
  <c r="W191" i="12"/>
  <c r="W190" i="12" s="1"/>
  <c r="V191" i="12"/>
  <c r="V190" i="12" s="1"/>
  <c r="U191" i="12"/>
  <c r="U190" i="12" s="1"/>
  <c r="W189" i="12"/>
  <c r="W188" i="12" s="1"/>
  <c r="V189" i="12"/>
  <c r="V188" i="12" s="1"/>
  <c r="U189" i="12"/>
  <c r="U188" i="12" s="1"/>
  <c r="W547" i="12"/>
  <c r="W546" i="12" s="1"/>
  <c r="V547" i="12"/>
  <c r="V546" i="12" s="1"/>
  <c r="U547" i="12"/>
  <c r="U546" i="12" s="1"/>
  <c r="W545" i="12"/>
  <c r="W544" i="12" s="1"/>
  <c r="V545" i="12"/>
  <c r="V544" i="12" s="1"/>
  <c r="U545" i="12"/>
  <c r="U544" i="12" s="1"/>
  <c r="W577" i="12"/>
  <c r="W576" i="12" s="1"/>
  <c r="W575" i="12" s="1"/>
  <c r="W574" i="12" s="1"/>
  <c r="V577" i="12"/>
  <c r="V576" i="12" s="1"/>
  <c r="V575" i="12" s="1"/>
  <c r="V574" i="12" s="1"/>
  <c r="U577" i="12"/>
  <c r="U576" i="12" s="1"/>
  <c r="U575" i="12" s="1"/>
  <c r="U574" i="12" s="1"/>
  <c r="W573" i="12"/>
  <c r="W572" i="12" s="1"/>
  <c r="V573" i="12"/>
  <c r="V572" i="12" s="1"/>
  <c r="U572" i="12"/>
  <c r="W571" i="12"/>
  <c r="W570" i="12" s="1"/>
  <c r="V571" i="12"/>
  <c r="V570" i="12" s="1"/>
  <c r="U571" i="12"/>
  <c r="U570" i="12" s="1"/>
  <c r="W569" i="12"/>
  <c r="W568" i="12" s="1"/>
  <c r="V569" i="12"/>
  <c r="V568" i="12" s="1"/>
  <c r="U569" i="12"/>
  <c r="U568" i="12" s="1"/>
  <c r="W563" i="12"/>
  <c r="V563" i="12"/>
  <c r="U564" i="12"/>
  <c r="U563" i="12" s="1"/>
  <c r="U567" i="12" l="1"/>
  <c r="U450" i="12"/>
  <c r="V567" i="12"/>
  <c r="W567" i="12"/>
  <c r="W550" i="12"/>
  <c r="V550" i="12"/>
  <c r="U550" i="12"/>
  <c r="W551" i="12"/>
  <c r="V551" i="12"/>
  <c r="U551" i="12"/>
  <c r="W543" i="12"/>
  <c r="W541" i="12" s="1"/>
  <c r="V543" i="12"/>
  <c r="V541" i="12" s="1"/>
  <c r="U543" i="12"/>
  <c r="U541" i="12" s="1"/>
  <c r="W540" i="12"/>
  <c r="W538" i="12" s="1"/>
  <c r="V540" i="12"/>
  <c r="V538" i="12" s="1"/>
  <c r="U540" i="12"/>
  <c r="U538" i="12" s="1"/>
  <c r="W535" i="12"/>
  <c r="V535" i="12"/>
  <c r="U537" i="12"/>
  <c r="U535" i="12" s="1"/>
  <c r="W533" i="12"/>
  <c r="W532" i="12" s="1"/>
  <c r="V533" i="12"/>
  <c r="V532" i="12" s="1"/>
  <c r="U533" i="12"/>
  <c r="U532" i="12" s="1"/>
  <c r="W526" i="12"/>
  <c r="W525" i="12" s="1"/>
  <c r="V526" i="12"/>
  <c r="V525" i="12" s="1"/>
  <c r="U526" i="12"/>
  <c r="U525" i="12" s="1"/>
  <c r="W524" i="12"/>
  <c r="W523" i="12" s="1"/>
  <c r="V524" i="12"/>
  <c r="V523" i="12" s="1"/>
  <c r="U524" i="12"/>
  <c r="U523" i="12" s="1"/>
  <c r="W517" i="12"/>
  <c r="V517" i="12"/>
  <c r="U518" i="12"/>
  <c r="U517" i="12" s="1"/>
  <c r="W515" i="12"/>
  <c r="W513" i="12" s="1"/>
  <c r="V515" i="12"/>
  <c r="V513" i="12" s="1"/>
  <c r="U515" i="12"/>
  <c r="U513" i="12" s="1"/>
  <c r="W511" i="12"/>
  <c r="V511" i="12"/>
  <c r="U512" i="12"/>
  <c r="U511" i="12" s="1"/>
  <c r="W499" i="12"/>
  <c r="W498" i="12" s="1"/>
  <c r="V499" i="12"/>
  <c r="V498" i="12" s="1"/>
  <c r="U499" i="12"/>
  <c r="U498" i="12" s="1"/>
  <c r="W494" i="12"/>
  <c r="V494" i="12"/>
  <c r="U495" i="12"/>
  <c r="U494" i="12" s="1"/>
  <c r="W490" i="12"/>
  <c r="V490" i="12"/>
  <c r="U491" i="12"/>
  <c r="U490" i="12" s="1"/>
  <c r="W485" i="12"/>
  <c r="W484" i="12" s="1"/>
  <c r="V485" i="12"/>
  <c r="V484" i="12" s="1"/>
  <c r="U485" i="12"/>
  <c r="U484" i="12" s="1"/>
  <c r="W482" i="12"/>
  <c r="V482" i="12"/>
  <c r="U483" i="12"/>
  <c r="U482" i="12" s="1"/>
  <c r="W478" i="12"/>
  <c r="V478" i="12"/>
  <c r="U479" i="12"/>
  <c r="U478" i="12" s="1"/>
  <c r="W474" i="12"/>
  <c r="V474" i="12"/>
  <c r="U475" i="12"/>
  <c r="U474" i="12" s="1"/>
  <c r="W466" i="12"/>
  <c r="V466" i="12"/>
  <c r="U467" i="12"/>
  <c r="U466" i="12" s="1"/>
  <c r="U461" i="12"/>
  <c r="U462" i="12"/>
  <c r="U463" i="12"/>
  <c r="V548" i="12" l="1"/>
  <c r="V534" i="12" s="1"/>
  <c r="W548" i="12"/>
  <c r="W534" i="12" s="1"/>
  <c r="V510" i="12"/>
  <c r="W510" i="12"/>
  <c r="U548" i="12"/>
  <c r="U510" i="12"/>
  <c r="U460" i="12"/>
  <c r="V460" i="12"/>
  <c r="W460" i="12"/>
  <c r="W446" i="12"/>
  <c r="W447" i="12"/>
  <c r="U534" i="12" l="1"/>
  <c r="W445" i="12"/>
  <c r="W444" i="12" s="1"/>
  <c r="W434" i="12"/>
  <c r="V434" i="12"/>
  <c r="U436" i="12"/>
  <c r="U434" i="12" s="1"/>
  <c r="W432" i="12"/>
  <c r="V432" i="12"/>
  <c r="U433" i="12"/>
  <c r="U432" i="12" s="1"/>
  <c r="W426" i="12"/>
  <c r="V426" i="12"/>
  <c r="U427" i="12"/>
  <c r="U426" i="12" s="1"/>
  <c r="W424" i="12"/>
  <c r="V424" i="12"/>
  <c r="U425" i="12"/>
  <c r="U424" i="12" s="1"/>
  <c r="W422" i="12"/>
  <c r="V422" i="12"/>
  <c r="U423" i="12"/>
  <c r="U422" i="12" s="1"/>
  <c r="W420" i="12"/>
  <c r="V420" i="12"/>
  <c r="U421" i="12"/>
  <c r="U420" i="12" s="1"/>
  <c r="W371" i="12"/>
  <c r="V371" i="12"/>
  <c r="U371" i="12"/>
  <c r="W410" i="12"/>
  <c r="V410" i="12"/>
  <c r="U411" i="12"/>
  <c r="U410" i="12" s="1"/>
  <c r="W408" i="12"/>
  <c r="V408" i="12"/>
  <c r="U409" i="12"/>
  <c r="U408" i="12" s="1"/>
  <c r="W404" i="12"/>
  <c r="V404" i="12"/>
  <c r="U405" i="12"/>
  <c r="U404" i="12" s="1"/>
  <c r="W402" i="12"/>
  <c r="V402" i="12"/>
  <c r="U403" i="12"/>
  <c r="U402" i="12" s="1"/>
  <c r="W400" i="12"/>
  <c r="V400" i="12"/>
  <c r="U401" i="12"/>
  <c r="U400" i="12" s="1"/>
  <c r="W384" i="12"/>
  <c r="V384" i="12"/>
  <c r="U385" i="12"/>
  <c r="U384" i="12" s="1"/>
  <c r="U419" i="12" l="1"/>
  <c r="W419" i="12"/>
  <c r="V419" i="12"/>
  <c r="W382" i="12"/>
  <c r="V382" i="12"/>
  <c r="U383" i="12"/>
  <c r="U382" i="12" s="1"/>
  <c r="W374" i="12"/>
  <c r="V374" i="12"/>
  <c r="U374" i="12"/>
  <c r="W373" i="12"/>
  <c r="W372" i="12" s="1"/>
  <c r="V373" i="12"/>
  <c r="V372" i="12" s="1"/>
  <c r="U373" i="12"/>
  <c r="U372" i="12" s="1"/>
  <c r="W370" i="12"/>
  <c r="V370" i="12"/>
  <c r="U370" i="12"/>
  <c r="W368" i="12"/>
  <c r="V368" i="12"/>
  <c r="U369" i="12"/>
  <c r="U368" i="12" s="1"/>
  <c r="W364" i="12"/>
  <c r="V364" i="12"/>
  <c r="U365" i="12"/>
  <c r="U364" i="12" s="1"/>
  <c r="W361" i="12"/>
  <c r="W360" i="12" s="1"/>
  <c r="V361" i="12"/>
  <c r="V360" i="12" s="1"/>
  <c r="U361" i="12"/>
  <c r="U360" i="12" s="1"/>
  <c r="U359" i="12" l="1"/>
  <c r="V359" i="12"/>
  <c r="W359" i="12"/>
  <c r="W357" i="12"/>
  <c r="V357" i="12"/>
  <c r="U358" i="12"/>
  <c r="U357" i="12" s="1"/>
  <c r="W355" i="12"/>
  <c r="V355" i="12"/>
  <c r="U356" i="12"/>
  <c r="U355" i="12" s="1"/>
  <c r="W352" i="12"/>
  <c r="W351" i="12" s="1"/>
  <c r="V352" i="12"/>
  <c r="V351" i="12" s="1"/>
  <c r="U352" i="12"/>
  <c r="U351" i="12" s="1"/>
  <c r="W349" i="12"/>
  <c r="V349" i="12"/>
  <c r="U350" i="12"/>
  <c r="U349" i="12" s="1"/>
  <c r="W344" i="12"/>
  <c r="W343" i="12" s="1"/>
  <c r="V344" i="12"/>
  <c r="V343" i="12" s="1"/>
  <c r="U344" i="12"/>
  <c r="U343" i="12" s="1"/>
  <c r="U342" i="12" l="1"/>
  <c r="W342" i="12"/>
  <c r="W341" i="12" s="1"/>
  <c r="V342" i="12"/>
  <c r="W336" i="12"/>
  <c r="W335" i="12" s="1"/>
  <c r="V336" i="12"/>
  <c r="V335" i="12" s="1"/>
  <c r="U336" i="12"/>
  <c r="U335" i="12" s="1"/>
  <c r="W325" i="12"/>
  <c r="W324" i="12" s="1"/>
  <c r="V325" i="12"/>
  <c r="V324" i="12" s="1"/>
  <c r="U324" i="12"/>
  <c r="W322" i="12"/>
  <c r="V322" i="12"/>
  <c r="U323" i="12"/>
  <c r="U322" i="12" s="1"/>
  <c r="W318" i="12"/>
  <c r="V318" i="12"/>
  <c r="U319" i="12"/>
  <c r="U318" i="12" s="1"/>
  <c r="W317" i="12"/>
  <c r="W316" i="12" s="1"/>
  <c r="V317" i="12"/>
  <c r="V316" i="12" s="1"/>
  <c r="U317" i="12"/>
  <c r="U316" i="12" s="1"/>
  <c r="W313" i="12"/>
  <c r="W312" i="12" s="1"/>
  <c r="V313" i="12"/>
  <c r="V312" i="12" s="1"/>
  <c r="U313" i="12"/>
  <c r="U312" i="12" s="1"/>
  <c r="W310" i="12"/>
  <c r="V310" i="12"/>
  <c r="U311" i="12"/>
  <c r="U310" i="12" s="1"/>
  <c r="W306" i="12"/>
  <c r="V306" i="12"/>
  <c r="U307" i="12"/>
  <c r="U306" i="12" s="1"/>
  <c r="W301" i="12"/>
  <c r="V301" i="12"/>
  <c r="U302" i="12"/>
  <c r="U301" i="12" s="1"/>
  <c r="W275" i="12"/>
  <c r="W274" i="12" s="1"/>
  <c r="V275" i="12"/>
  <c r="V274" i="12" s="1"/>
  <c r="U275" i="12"/>
  <c r="U274" i="12" s="1"/>
  <c r="W285" i="12"/>
  <c r="W284" i="12" s="1"/>
  <c r="V285" i="12"/>
  <c r="V284" i="12" s="1"/>
  <c r="U284" i="12"/>
  <c r="W273" i="12"/>
  <c r="W272" i="12" s="1"/>
  <c r="V273" i="12"/>
  <c r="V272" i="12" s="1"/>
  <c r="U272" i="12"/>
  <c r="W252" i="12"/>
  <c r="V252" i="12"/>
  <c r="U253" i="12"/>
  <c r="U252" i="12" s="1"/>
  <c r="W248" i="12"/>
  <c r="V248" i="12"/>
  <c r="U249" i="12"/>
  <c r="U248" i="12" s="1"/>
  <c r="U305" i="12" l="1"/>
  <c r="U269" i="12"/>
  <c r="V269" i="12"/>
  <c r="W269" i="12"/>
  <c r="W305" i="12"/>
  <c r="V305" i="12"/>
  <c r="W246" i="12"/>
  <c r="W243" i="12" s="1"/>
  <c r="V246" i="12"/>
  <c r="V243" i="12" s="1"/>
  <c r="U247" i="12"/>
  <c r="U246" i="12" s="1"/>
  <c r="U243" i="12" s="1"/>
  <c r="W231" i="12"/>
  <c r="V231" i="12"/>
  <c r="U232" i="12"/>
  <c r="U231" i="12" s="1"/>
  <c r="W229" i="12"/>
  <c r="V229" i="12"/>
  <c r="U230" i="12"/>
  <c r="U229" i="12" s="1"/>
  <c r="U228" i="12" l="1"/>
  <c r="V228" i="12"/>
  <c r="W228" i="12"/>
  <c r="W225" i="12"/>
  <c r="W224" i="12" s="1"/>
  <c r="V225" i="12"/>
  <c r="V224" i="12" s="1"/>
  <c r="U225" i="12"/>
  <c r="U224" i="12" s="1"/>
  <c r="W221" i="12"/>
  <c r="W220" i="12" s="1"/>
  <c r="V221" i="12"/>
  <c r="V220" i="12" s="1"/>
  <c r="U221" i="12"/>
  <c r="U220" i="12" s="1"/>
  <c r="W215" i="12"/>
  <c r="W214" i="12" s="1"/>
  <c r="V215" i="12"/>
  <c r="V214" i="12" s="1"/>
  <c r="U215" i="12"/>
  <c r="U214" i="12" s="1"/>
  <c r="W213" i="12"/>
  <c r="W212" i="12" s="1"/>
  <c r="V213" i="12"/>
  <c r="V212" i="12" s="1"/>
  <c r="U213" i="12"/>
  <c r="U212" i="12" s="1"/>
  <c r="W211" i="12"/>
  <c r="W210" i="12" s="1"/>
  <c r="V211" i="12"/>
  <c r="V210" i="12" s="1"/>
  <c r="U211" i="12"/>
  <c r="U210" i="12" s="1"/>
  <c r="W209" i="12"/>
  <c r="W208" i="12" s="1"/>
  <c r="V209" i="12"/>
  <c r="V208" i="12" s="1"/>
  <c r="U209" i="12"/>
  <c r="U208" i="12" s="1"/>
  <c r="W205" i="12"/>
  <c r="W204" i="12" s="1"/>
  <c r="V205" i="12"/>
  <c r="V204" i="12" s="1"/>
  <c r="U205" i="12"/>
  <c r="U204" i="12" s="1"/>
  <c r="W203" i="12"/>
  <c r="W202" i="12" s="1"/>
  <c r="V203" i="12"/>
  <c r="V202" i="12" s="1"/>
  <c r="U203" i="12"/>
  <c r="U202" i="12" s="1"/>
  <c r="W194" i="12"/>
  <c r="W193" i="12" s="1"/>
  <c r="V194" i="12"/>
  <c r="V193" i="12" s="1"/>
  <c r="U194" i="12"/>
  <c r="U193" i="12" s="1"/>
  <c r="W184" i="12"/>
  <c r="V184" i="12"/>
  <c r="U185" i="12"/>
  <c r="U184" i="12" s="1"/>
  <c r="W177" i="12"/>
  <c r="W176" i="12" s="1"/>
  <c r="V177" i="12"/>
  <c r="V176" i="12" s="1"/>
  <c r="U177" i="12"/>
  <c r="U176" i="12" s="1"/>
  <c r="W175" i="12"/>
  <c r="W174" i="12" s="1"/>
  <c r="V175" i="12"/>
  <c r="V174" i="12" s="1"/>
  <c r="U175" i="12"/>
  <c r="U174" i="12" s="1"/>
  <c r="W168" i="12"/>
  <c r="V168" i="12"/>
  <c r="U169" i="12"/>
  <c r="U168" i="12" s="1"/>
  <c r="W166" i="12"/>
  <c r="V166" i="12"/>
  <c r="U167" i="12"/>
  <c r="U166" i="12" s="1"/>
  <c r="W164" i="12"/>
  <c r="V164" i="12"/>
  <c r="U165" i="12"/>
  <c r="U164" i="12" s="1"/>
  <c r="W163" i="12"/>
  <c r="W162" i="12" s="1"/>
  <c r="V163" i="12"/>
  <c r="V162" i="12" s="1"/>
  <c r="U163" i="12"/>
  <c r="U162" i="12" s="1"/>
  <c r="U146" i="12"/>
  <c r="U145" i="12" s="1"/>
  <c r="W147" i="12"/>
  <c r="V147" i="12"/>
  <c r="U148" i="12"/>
  <c r="U147" i="12" s="1"/>
  <c r="U128" i="12"/>
  <c r="U127" i="12"/>
  <c r="W132" i="12"/>
  <c r="W131" i="12" s="1"/>
  <c r="V132" i="12"/>
  <c r="V131" i="12" s="1"/>
  <c r="U132" i="12"/>
  <c r="U131" i="12" s="1"/>
  <c r="U83" i="12"/>
  <c r="U82" i="12" s="1"/>
  <c r="W63" i="12"/>
  <c r="W60" i="12" s="1"/>
  <c r="V63" i="12"/>
  <c r="V60" i="12" s="1"/>
  <c r="U63" i="12"/>
  <c r="U201" i="12" l="1"/>
  <c r="U161" i="12"/>
  <c r="V161" i="12"/>
  <c r="W161" i="12"/>
  <c r="W201" i="12"/>
  <c r="V201" i="12"/>
  <c r="U126" i="12"/>
  <c r="W59" i="12"/>
  <c r="W58" i="12" s="1"/>
  <c r="W57" i="12" s="1"/>
  <c r="V59" i="12"/>
  <c r="V58" i="12" s="1"/>
  <c r="V57" i="12" s="1"/>
  <c r="U59" i="12"/>
  <c r="U58" i="12" s="1"/>
  <c r="U57" i="12" s="1"/>
  <c r="U160" i="12" l="1"/>
  <c r="U49" i="12"/>
  <c r="U48" i="12" s="1"/>
  <c r="W36" i="12"/>
  <c r="V36" i="12"/>
  <c r="U36" i="12"/>
  <c r="U34" i="12"/>
  <c r="U35" i="12"/>
  <c r="W25" i="12"/>
  <c r="W24" i="12" s="1"/>
  <c r="W23" i="12" s="1"/>
  <c r="V25" i="12"/>
  <c r="V24" i="12" s="1"/>
  <c r="V23" i="12" s="1"/>
  <c r="U25" i="12"/>
  <c r="U24" i="12" s="1"/>
  <c r="U22" i="12"/>
  <c r="U17" i="12"/>
  <c r="U16" i="12" s="1"/>
  <c r="V580" i="12" l="1"/>
  <c r="W580" i="12"/>
  <c r="U33" i="12"/>
  <c r="U43" i="12" l="1"/>
  <c r="U42" i="12"/>
  <c r="U41" i="12"/>
  <c r="U40" i="12" l="1"/>
  <c r="I27" i="10"/>
  <c r="U72" i="12" l="1"/>
  <c r="U68" i="12" l="1"/>
  <c r="U67" i="12"/>
  <c r="U66" i="12"/>
  <c r="I56" i="10"/>
  <c r="V561" i="12" l="1"/>
  <c r="V560" i="12" s="1"/>
  <c r="V559" i="12" s="1"/>
  <c r="U503" i="12"/>
  <c r="U502" i="12" s="1"/>
  <c r="U471" i="12" s="1"/>
  <c r="W561" i="12"/>
  <c r="W560" i="12" s="1"/>
  <c r="W559" i="12" s="1"/>
  <c r="V502" i="12"/>
  <c r="V471" i="12" s="1"/>
  <c r="U531" i="12"/>
  <c r="U65" i="12"/>
  <c r="W502" i="12"/>
  <c r="W471" i="12" s="1"/>
  <c r="U562" i="12"/>
  <c r="U561" i="12" s="1"/>
  <c r="U73" i="12"/>
  <c r="U71" i="12" s="1"/>
  <c r="W470" i="12" l="1"/>
  <c r="V470" i="12"/>
  <c r="U560" i="12"/>
  <c r="U559" i="12" s="1"/>
  <c r="U470" i="12"/>
  <c r="V529" i="12"/>
  <c r="V516" i="12" s="1"/>
  <c r="V509" i="12" s="1"/>
  <c r="W529" i="12"/>
  <c r="W516" i="12" s="1"/>
  <c r="W509" i="12" s="1"/>
  <c r="U529" i="12"/>
  <c r="U516" i="12" s="1"/>
  <c r="W292" i="12"/>
  <c r="W291" i="12" s="1"/>
  <c r="V292" i="12"/>
  <c r="V291" i="12" s="1"/>
  <c r="U292" i="12"/>
  <c r="U291" i="12" s="1"/>
  <c r="U509" i="12" l="1"/>
  <c r="J27" i="10"/>
  <c r="V293" i="12"/>
  <c r="V290" i="12" s="1"/>
  <c r="V268" i="12" s="1"/>
  <c r="U294" i="12"/>
  <c r="U293" i="12" s="1"/>
  <c r="U290" i="12" s="1"/>
  <c r="W293" i="12"/>
  <c r="K27" i="10"/>
  <c r="W290" i="12" l="1"/>
  <c r="W268" i="12" s="1"/>
  <c r="U268" i="12"/>
  <c r="V200" i="12"/>
  <c r="V199" i="12" s="1"/>
  <c r="V192" i="12" s="1"/>
  <c r="V160" i="12" s="1"/>
  <c r="F16" i="14" l="1"/>
  <c r="W50" i="12"/>
  <c r="W200" i="12"/>
  <c r="W199" i="12" s="1"/>
  <c r="W192" i="12" s="1"/>
  <c r="W160" i="12" s="1"/>
  <c r="U51" i="12"/>
  <c r="U50" i="12" s="1"/>
  <c r="U39" i="12" s="1"/>
  <c r="E16" i="14"/>
  <c r="V50" i="12"/>
  <c r="U200" i="12"/>
  <c r="U199" i="12" s="1"/>
  <c r="W159" i="12"/>
  <c r="W158" i="12" s="1"/>
  <c r="W157" i="12" s="1"/>
  <c r="V159" i="12"/>
  <c r="V158" i="12" s="1"/>
  <c r="V157" i="12" s="1"/>
  <c r="U159" i="12"/>
  <c r="U158" i="12" s="1"/>
  <c r="U157" i="12" s="1"/>
  <c r="V39" i="12" l="1"/>
  <c r="V11" i="12" s="1"/>
  <c r="W39" i="12"/>
  <c r="W11" i="12" s="1"/>
  <c r="V153" i="12"/>
  <c r="W156" i="12"/>
  <c r="W155" i="12" s="1"/>
  <c r="U156" i="12"/>
  <c r="U155" i="12" s="1"/>
  <c r="J45" i="10"/>
  <c r="K45" i="10"/>
  <c r="W153" i="12"/>
  <c r="U154" i="12"/>
  <c r="U153" i="12" s="1"/>
  <c r="V156" i="12"/>
  <c r="V155" i="12" s="1"/>
  <c r="U30" i="12"/>
  <c r="U28" i="12"/>
  <c r="U27" i="12"/>
  <c r="K19" i="10"/>
  <c r="J19" i="10"/>
  <c r="I19" i="10"/>
  <c r="U138" i="12" l="1"/>
  <c r="U137" i="12" s="1"/>
  <c r="W138" i="12"/>
  <c r="W137" i="12" s="1"/>
  <c r="V138" i="12"/>
  <c r="V137" i="12" s="1"/>
  <c r="U26" i="12"/>
  <c r="U23"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6" i="10"/>
  <c r="G56" i="10"/>
  <c r="F56" i="10"/>
  <c r="K56" i="10"/>
  <c r="J56" i="10"/>
  <c r="H53" i="10"/>
  <c r="G53" i="10"/>
  <c r="F53" i="10"/>
  <c r="H49" i="10"/>
  <c r="G49" i="10"/>
  <c r="F49" i="10"/>
  <c r="H45" i="10"/>
  <c r="G45" i="10"/>
  <c r="F45" i="10"/>
  <c r="H40" i="10"/>
  <c r="G40" i="10"/>
  <c r="F40" i="10"/>
  <c r="H36" i="10"/>
  <c r="G36" i="10"/>
  <c r="F36" i="10"/>
  <c r="K36" i="10"/>
  <c r="J36" i="10"/>
  <c r="H33" i="10"/>
  <c r="G33" i="10"/>
  <c r="F33" i="10"/>
  <c r="K33" i="10"/>
  <c r="J33" i="10"/>
  <c r="I33" i="10"/>
  <c r="H31" i="10"/>
  <c r="G31" i="10"/>
  <c r="F31" i="10"/>
  <c r="K31" i="10"/>
  <c r="J31" i="10"/>
  <c r="I31" i="10"/>
  <c r="H29" i="10"/>
  <c r="G29" i="10"/>
  <c r="F29" i="10"/>
  <c r="K29" i="10"/>
  <c r="J29" i="10"/>
  <c r="I29" i="10"/>
  <c r="H27" i="10"/>
  <c r="G27" i="10"/>
  <c r="F27" i="10"/>
  <c r="H23" i="10"/>
  <c r="G23" i="10"/>
  <c r="F23" i="10"/>
  <c r="H19" i="10"/>
  <c r="G19" i="10"/>
  <c r="F19" i="10"/>
  <c r="H15" i="10"/>
  <c r="G15" i="10"/>
  <c r="F15" i="10"/>
  <c r="K15" i="10"/>
  <c r="J15" i="10"/>
  <c r="I15" i="10"/>
  <c r="H13" i="10"/>
  <c r="G13" i="10"/>
  <c r="F13" i="10"/>
  <c r="K13" i="10"/>
  <c r="J13" i="10"/>
  <c r="V447" i="12"/>
  <c r="V446" i="12"/>
  <c r="K53" i="10"/>
  <c r="J53" i="10"/>
  <c r="I53" i="10"/>
  <c r="D13" i="14"/>
  <c r="E11" i="11"/>
  <c r="D11" i="11"/>
  <c r="D16" i="16" l="1"/>
  <c r="D19" i="16"/>
  <c r="D11" i="14"/>
  <c r="B16" i="16"/>
  <c r="C19" i="16"/>
  <c r="B19" i="16"/>
  <c r="C16" i="16"/>
  <c r="U11" i="12"/>
  <c r="E13" i="14"/>
  <c r="E11" i="14" s="1"/>
  <c r="K23" i="10"/>
  <c r="V445" i="12"/>
  <c r="V444" i="12" s="1"/>
  <c r="J23" i="10"/>
  <c r="U447" i="12"/>
  <c r="U445" i="12" s="1"/>
  <c r="U444" i="12" s="1"/>
  <c r="H57" i="10"/>
  <c r="G57" i="10"/>
  <c r="D60" i="14"/>
  <c r="I40" i="10"/>
  <c r="F57" i="10"/>
  <c r="K40" i="10"/>
  <c r="F61" i="14"/>
  <c r="F60" i="14" s="1"/>
  <c r="E61" i="14"/>
  <c r="E60" i="14" s="1"/>
  <c r="F55" i="14"/>
  <c r="E55" i="14"/>
  <c r="K49" i="10"/>
  <c r="D55" i="14"/>
  <c r="J40" i="10"/>
  <c r="I49" i="10"/>
  <c r="J49" i="10"/>
  <c r="F11" i="14"/>
  <c r="D11" i="16" l="1"/>
  <c r="U341" i="12"/>
  <c r="U581" i="12" s="1"/>
  <c r="V341" i="12"/>
  <c r="V581" i="12" s="1"/>
  <c r="B11" i="16"/>
  <c r="D65" i="14"/>
  <c r="J57" i="10"/>
  <c r="AA771" i="21" s="1"/>
  <c r="K57" i="10"/>
  <c r="AB771" i="21" s="1"/>
  <c r="C11" i="16"/>
  <c r="W581" i="12"/>
  <c r="E65" i="14"/>
  <c r="F65" i="14"/>
  <c r="I57" i="10" l="1"/>
  <c r="Z771" i="21" s="1"/>
  <c r="Z783" i="2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<sst xmlns="http://schemas.openxmlformats.org/spreadsheetml/2006/main" count="10128" uniqueCount="1689">
  <si>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</si>
  <si>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</si>
  <si>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</si>
  <si>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</si>
  <si>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</si>
  <si>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</si>
  <si>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</si>
  <si>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</si>
  <si>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</si>
  <si>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</si>
  <si>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</si>
  <si>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</si>
  <si>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</si>
  <si>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</si>
  <si>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</si>
  <si>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</si>
  <si>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</si>
  <si>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</si>
  <si>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</si>
  <si>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</si>
  <si>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</si>
  <si>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</si>
  <si>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</si>
  <si>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</si>
  <si>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</si>
  <si>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</si>
  <si>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</si>
  <si>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</si>
  <si>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</si>
  <si>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</si>
  <si>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</si>
  <si>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</si>
  <si>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</si>
  <si>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</si>
  <si>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</si>
  <si>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</si>
  <si>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</si>
  <si>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</si>
  <si>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</si>
  <si>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</si>
  <si>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</si>
  <si>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</si>
  <si>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</si>
  <si>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</si>
  <si>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</si>
  <si>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</si>
  <si>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</si>
  <si>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</si>
  <si>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</si>
  <si>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</si>
  <si>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</si>
  <si>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</si>
  <si>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</si>
  <si>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</si>
  <si>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</si>
  <si>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</si>
  <si>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</si>
  <si>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</si>
  <si>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</si>
  <si>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</si>
  <si>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</si>
  <si>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</si>
  <si>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</si>
  <si>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</si>
  <si>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</si>
  <si>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</si>
  <si>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</si>
  <si>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</si>
  <si>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</si>
  <si>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</si>
  <si>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</si>
  <si>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</si>
  <si>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</si>
  <si>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</si>
  <si>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</si>
  <si>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</si>
  <si>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</si>
  <si>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</si>
  <si>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</si>
  <si>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</si>
  <si>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</si>
  <si>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</si>
  <si>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</si>
  <si>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</si>
  <si>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</si>
  <si>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</si>
  <si>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</si>
  <si>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</si>
  <si>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</si>
  <si>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</si>
  <si>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</si>
  <si>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</si>
  <si>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</si>
  <si>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</si>
  <si>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</si>
  <si>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</si>
  <si>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</si>
  <si>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</si>
  <si>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</si>
  <si>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</si>
  <si>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</si>
  <si>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</si>
  <si>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</si>
  <si>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</si>
  <si>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</si>
  <si>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</si>
  <si>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</si>
  <si>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</si>
  <si>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</si>
  <si>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</si>
  <si>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</si>
  <si>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</si>
  <si>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</si>
  <si>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</si>
  <si>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</si>
  <si>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</si>
  <si>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</si>
  <si>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</si>
  <si>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</si>
  <si>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</si>
  <si>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</si>
  <si>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</si>
  <si>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</si>
  <si>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</si>
  <si>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</si>
  <si>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</si>
  <si>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</si>
  <si>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</si>
  <si>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</si>
  <si>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</si>
  <si>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</si>
  <si>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</si>
  <si>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</si>
  <si>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</si>
  <si>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</si>
  <si>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</si>
  <si>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</si>
  <si>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</si>
  <si>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</si>
  <si>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</si>
  <si>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</si>
  <si>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</si>
  <si>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</si>
  <si>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</si>
  <si>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</si>
  <si>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</si>
  <si>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</si>
  <si>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</si>
  <si>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</si>
  <si>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</si>
  <si>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</si>
  <si>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</si>
  <si>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</si>
  <si>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</si>
  <si>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</si>
  <si>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</si>
  <si>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</si>
  <si>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</si>
  <si>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</si>
  <si>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</si>
  <si>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</si>
  <si>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</si>
  <si>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</si>
  <si>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</si>
  <si>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</si>
  <si>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</si>
  <si>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</si>
  <si>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</si>
  <si>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</si>
  <si>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</si>
  <si>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</si>
  <si>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</si>
  <si>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</si>
  <si>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</si>
  <si>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</si>
  <si>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</si>
  <si>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</si>
  <si>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</si>
  <si>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</si>
  <si>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</si>
  <si>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</si>
  <si>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</si>
  <si>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</si>
  <si>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</si>
  <si>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</si>
  <si>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</si>
  <si>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</si>
  <si>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</si>
  <si>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</si>
  <si>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</si>
  <si>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</si>
  <si>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</si>
  <si>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</si>
  <si>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</si>
  <si>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</si>
  <si>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</si>
  <si>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</si>
  <si>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</si>
  <si>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</si>
  <si>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</si>
  <si>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</si>
  <si>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</si>
  <si>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</si>
  <si>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</si>
  <si>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</si>
  <si>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</si>
  <si>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</si>
  <si>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</si>
  <si>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</si>
  <si>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</si>
  <si>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</si>
  <si>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</si>
  <si>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</si>
  <si>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</si>
  <si>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</si>
  <si>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</si>
  <si>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</si>
  <si>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</si>
  <si>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</si>
  <si>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</si>
  <si>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</si>
  <si>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</si>
  <si>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</si>
  <si>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</si>
  <si>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</si>
  <si>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</si>
  <si>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</si>
  <si>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</si>
  <si>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</si>
  <si>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</si>
  <si>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</si>
  <si>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</si>
  <si>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</si>
  <si>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</si>
  <si>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</si>
  <si>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</si>
  <si>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</si>
  <si>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</si>
  <si>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</si>
  <si>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</si>
  <si>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</si>
  <si>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</si>
  <si>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</si>
  <si>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</si>
  <si>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</si>
  <si>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</si>
  <si>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</si>
  <si>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</si>
  <si>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</si>
  <si>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</si>
  <si>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</si>
  <si>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</si>
  <si>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</si>
  <si>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</si>
  <si>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</si>
  <si>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</si>
  <si>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</si>
  <si>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</si>
  <si>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</si>
  <si>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</si>
  <si>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</si>
  <si>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</si>
  <si>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</si>
  <si>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</si>
  <si>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</si>
  <si>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</si>
  <si>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</si>
  <si>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</si>
  <si>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</si>
  <si>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</si>
  <si>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</si>
  <si>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</si>
  <si>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</si>
  <si>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</si>
  <si>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</si>
  <si>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</si>
  <si>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</si>
  <si>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</si>
  <si>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</si>
  <si>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</si>
  <si>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</si>
  <si>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</si>
  <si>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</si>
  <si>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</si>
  <si>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</si>
  <si>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</si>
  <si>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</si>
  <si>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</si>
  <si>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</si>
  <si>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</si>
  <si>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</si>
  <si>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</si>
  <si>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</si>
  <si>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</si>
  <si>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</si>
  <si>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</si>
  <si>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</si>
  <si>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</si>
  <si>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</si>
  <si>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</si>
  <si>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</si>
  <si>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</si>
  <si>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</si>
  <si>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</si>
  <si>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</si>
  <si>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</si>
  <si>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</si>
  <si>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</si>
  <si>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</si>
  <si>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</si>
  <si>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</si>
  <si>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</si>
  <si>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</si>
  <si>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</si>
  <si>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</si>
  <si>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</si>
  <si>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</si>
  <si>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</si>
  <si>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</si>
  <si>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</si>
  <si>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</si>
  <si>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</si>
  <si>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</si>
  <si>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</si>
  <si>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</si>
  <si>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</si>
  <si>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</si>
  <si>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</si>
  <si>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</si>
  <si>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</si>
  <si>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</si>
  <si>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</si>
  <si>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</si>
  <si>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</si>
  <si>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</si>
  <si>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</si>
  <si>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</si>
  <si>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</si>
  <si>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</si>
  <si>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</si>
  <si>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</si>
  <si>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</si>
  <si>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</si>
  <si>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</si>
  <si>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</si>
  <si>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</si>
  <si>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</si>
  <si>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</si>
  <si>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</si>
  <si>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</si>
  <si>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</si>
  <si>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</si>
  <si>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</si>
  <si>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</si>
  <si>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</si>
  <si>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</si>
  <si>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</si>
  <si>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</si>
  <si>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</si>
  <si>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</si>
  <si>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</si>
  <si>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</si>
  <si>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</si>
  <si>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</si>
  <si>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</si>
  <si>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</si>
  <si>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</si>
  <si>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</si>
  <si>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</si>
  <si>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</si>
  <si>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</si>
  <si>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</si>
  <si>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</si>
  <si>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</si>
  <si>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</si>
  <si>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</si>
  <si>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</si>
  <si>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</si>
  <si>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</si>
  <si>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</si>
  <si>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</si>
  <si>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</si>
  <si>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</si>
  <si>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</si>
  <si>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</si>
  <si>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</si>
  <si>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</si>
  <si>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</si>
  <si>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</si>
  <si>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</si>
  <si>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</si>
  <si>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</si>
  <si>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</si>
  <si>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</si>
  <si>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</si>
  <si>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</si>
  <si>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</si>
  <si>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</si>
  <si>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</si>
  <si>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</si>
  <si>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</si>
  <si>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</si>
  <si>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</si>
  <si>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</si>
  <si>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</si>
  <si>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</si>
  <si>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</si>
  <si>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</si>
  <si>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</si>
  <si>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</si>
  <si>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</si>
  <si>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</si>
  <si>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</si>
  <si>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</si>
  <si>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</si>
  <si>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</si>
  <si>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</si>
  <si>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</si>
  <si>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</si>
  <si>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</si>
  <si>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</si>
  <si>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</si>
  <si>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</si>
  <si>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</si>
  <si>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</si>
  <si>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</si>
  <si>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</si>
  <si>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</si>
  <si>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</si>
  <si>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</si>
  <si>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</si>
  <si>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</si>
  <si>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</si>
  <si>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</si>
  <si>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</si>
  <si>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</si>
  <si>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</si>
  <si>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</si>
  <si>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</si>
  <si>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</si>
  <si>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</si>
  <si>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</si>
  <si>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</si>
  <si>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</si>
  <si>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</si>
  <si>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</si>
  <si>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</si>
  <si>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</si>
  <si>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</si>
  <si>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</si>
  <si>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</si>
  <si>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</si>
  <si>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</si>
  <si>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</si>
  <si>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</si>
  <si>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</si>
  <si>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</si>
  <si>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</si>
  <si>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</si>
  <si>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</si>
  <si>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</si>
  <si>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</si>
  <si>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</si>
  <si>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</si>
  <si>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</si>
  <si>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</si>
  <si>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</si>
  <si>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</si>
  <si>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</si>
  <si>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</si>
  <si>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</si>
  <si>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</si>
  <si>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</si>
  <si>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</si>
  <si>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</si>
  <si>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</si>
  <si>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</si>
  <si>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</si>
  <si>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</si>
  <si>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</si>
  <si>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</si>
  <si>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</si>
  <si>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</si>
  <si>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</si>
  <si>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</si>
  <si>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</si>
  <si>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</si>
  <si>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</si>
  <si>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</si>
  <si>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</si>
  <si>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</si>
  <si>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</si>
  <si>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</si>
  <si>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</si>
  <si>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</si>
  <si>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</si>
  <si>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</si>
  <si>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</si>
  <si>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</si>
  <si>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</si>
  <si>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</si>
  <si>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</si>
  <si>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</si>
  <si>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</si>
  <si>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</si>
  <si>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</si>
  <si>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</si>
  <si>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</si>
  <si>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</si>
  <si>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</si>
  <si>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</si>
  <si>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</si>
  <si>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</si>
  <si>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</si>
  <si>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</si>
  <si>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</si>
  <si>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</si>
  <si>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</si>
  <si>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</si>
  <si>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</si>
  <si>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</si>
  <si>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</si>
  <si>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</si>
  <si>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</si>
  <si>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</si>
  <si>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</si>
  <si>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</si>
  <si>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</si>
  <si>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</si>
  <si>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</si>
  <si>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</si>
  <si>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</si>
  <si>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</si>
  <si>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</si>
  <si>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</si>
  <si>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</si>
  <si>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</si>
  <si>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</si>
  <si>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</si>
  <si>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</si>
  <si>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</si>
  <si>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</si>
  <si>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</si>
  <si>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</si>
  <si>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</si>
  <si>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</si>
  <si>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</si>
  <si>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</si>
  <si>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</si>
  <si>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</si>
  <si>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</si>
  <si>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</si>
  <si>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</si>
  <si>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</si>
  <si>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</si>
  <si>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</si>
  <si>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</si>
  <si>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</si>
  <si>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</si>
  <si>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</si>
  <si>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</si>
  <si>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</si>
  <si>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</si>
  <si>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</si>
  <si>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</si>
  <si>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</si>
  <si>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</si>
  <si>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</si>
  <si>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</si>
  <si>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</si>
  <si>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</si>
  <si>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</si>
  <si>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</si>
  <si>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</si>
  <si>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</si>
  <si>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</si>
  <si>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</si>
  <si>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</si>
  <si>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</si>
  <si>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</si>
  <si>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</si>
  <si>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</si>
  <si>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</si>
  <si>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</si>
  <si>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</si>
  <si>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</si>
  <si>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</si>
  <si>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</si>
  <si>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</si>
  <si>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</si>
  <si>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</si>
  <si>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</si>
  <si>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</si>
  <si>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</si>
  <si>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</si>
  <si>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</si>
  <si>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</si>
  <si>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</si>
  <si>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</si>
  <si>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</si>
  <si>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</si>
  <si>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</si>
  <si>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</si>
  <si>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</si>
  <si>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</si>
  <si>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</si>
  <si>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</si>
  <si>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</si>
  <si>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</si>
  <si>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</si>
  <si>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</si>
  <si>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</si>
  <si>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</si>
  <si>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</si>
  <si>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</si>
  <si>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</si>
  <si>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</si>
  <si>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</si>
  <si>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</si>
  <si>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</si>
  <si>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10 1 01 10030</t>
  </si>
  <si>
    <t>12 1 01 01210</t>
  </si>
  <si>
    <t>12 1 01 12010</t>
  </si>
  <si>
    <t>11 2 02 11050</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</si>
  <si>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</si>
  <si>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</si>
  <si>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</si>
  <si>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</si>
  <si>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</si>
  <si>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</si>
  <si>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</si>
  <si>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</si>
  <si>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</si>
  <si>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</si>
  <si>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</si>
  <si>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</si>
  <si>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</si>
  <si>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</si>
  <si>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</si>
  <si>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</si>
  <si>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</si>
  <si>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</si>
  <si>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</si>
  <si>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</si>
  <si>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</si>
  <si>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</si>
  <si>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</si>
  <si>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</si>
  <si>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</si>
  <si>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</si>
  <si>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</si>
  <si>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</si>
  <si>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</si>
  <si>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</si>
  <si>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</si>
  <si>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</si>
  <si>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</si>
  <si>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</si>
  <si>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</si>
  <si>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</si>
  <si>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</si>
  <si>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</si>
  <si>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</si>
  <si>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</si>
  <si>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</si>
  <si>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</si>
  <si>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</si>
  <si>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</si>
  <si>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</si>
  <si>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</si>
  <si>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</si>
  <si>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</si>
  <si>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</si>
  <si>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</si>
  <si>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</si>
  <si>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</si>
  <si>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</si>
  <si>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</si>
  <si>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</si>
  <si>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</si>
  <si>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</si>
  <si>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</si>
  <si>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</si>
  <si>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</si>
  <si>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</si>
  <si>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</si>
  <si>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</si>
  <si>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</si>
  <si>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</si>
  <si>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</si>
  <si>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</si>
  <si>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</si>
  <si>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</si>
  <si>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</si>
  <si>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</si>
  <si>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</si>
  <si>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</si>
  <si>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</si>
  <si>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</si>
  <si>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</si>
  <si>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</si>
  <si>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</si>
  <si>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</si>
  <si>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</si>
  <si>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</si>
  <si>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</si>
  <si>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</si>
  <si>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</si>
  <si>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</si>
  <si>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</si>
  <si>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</si>
  <si>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</si>
  <si>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</si>
  <si>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</si>
  <si>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</si>
  <si>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</si>
  <si>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</si>
  <si>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</si>
  <si>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</si>
  <si>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</si>
  <si>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</si>
  <si>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</si>
  <si>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</si>
  <si>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</si>
  <si>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</si>
  <si>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</si>
  <si>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</si>
  <si>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</si>
  <si>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</si>
  <si>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</si>
  <si>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</si>
  <si>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</si>
  <si>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</si>
  <si>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</si>
  <si>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</si>
  <si>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</si>
  <si>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</si>
  <si>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</si>
  <si>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</si>
  <si>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</si>
  <si>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</si>
  <si>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</si>
  <si>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</si>
  <si>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</si>
  <si>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</si>
  <si>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</si>
  <si>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</si>
  <si>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</si>
  <si>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</si>
  <si>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</si>
  <si>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</si>
  <si>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</si>
  <si>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</si>
  <si>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</si>
  <si>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</si>
  <si>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</si>
  <si>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</si>
  <si>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</si>
  <si>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</si>
  <si>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</si>
  <si>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</si>
  <si>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</si>
  <si>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</si>
  <si>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</si>
  <si>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</si>
  <si>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</si>
  <si>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</si>
  <si>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</si>
  <si>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</si>
  <si>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</si>
  <si>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</si>
  <si>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</si>
  <si>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</si>
  <si>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</si>
  <si>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</si>
  <si>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</si>
  <si>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</si>
  <si>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13 3 03 13150</t>
  </si>
  <si>
    <t>(Закупка товаров, работ и услуг для государственных (муниципальных) нужд</t>
  </si>
  <si>
    <t>п.г.т.Уруша</t>
  </si>
  <si>
    <t>12 2 02 S7500</t>
  </si>
  <si>
    <t>11 1 01 11080</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</si>
  <si>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</si>
  <si>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</si>
  <si>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</si>
  <si>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</si>
  <si>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</si>
  <si>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</si>
  <si>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</si>
  <si>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</si>
  <si>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</si>
  <si>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</si>
  <si>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</si>
  <si>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</si>
  <si>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</si>
  <si>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</si>
  <si>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</si>
  <si>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</si>
  <si>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</si>
  <si>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</si>
  <si>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</si>
  <si>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</si>
  <si>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</si>
  <si>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</si>
  <si>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</si>
  <si>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</si>
  <si>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</si>
  <si>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</si>
  <si>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</si>
  <si>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</si>
  <si>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</si>
  <si>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</si>
  <si>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</si>
  <si>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</si>
  <si>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</si>
  <si>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</si>
  <si>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</si>
  <si>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</si>
  <si>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</si>
  <si>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</si>
  <si>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</si>
  <si>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</si>
  <si>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</si>
  <si>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</si>
  <si>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</si>
  <si>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</si>
  <si>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</si>
  <si>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</si>
  <si>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</si>
  <si>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</si>
  <si>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</si>
  <si>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</si>
  <si>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</si>
  <si>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</si>
  <si>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</si>
  <si>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</si>
  <si>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</si>
  <si>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</si>
  <si>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</si>
  <si>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009</t>
  </si>
  <si>
    <t>013</t>
  </si>
  <si>
    <t>1 11 05025 05 0000 120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</si>
  <si>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</si>
  <si>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</si>
  <si>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</si>
  <si>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</si>
  <si>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</si>
  <si>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</si>
  <si>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</si>
  <si>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</si>
  <si>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</si>
  <si>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</si>
  <si>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</si>
  <si>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</si>
  <si>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</si>
  <si>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</si>
  <si>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</si>
  <si>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</si>
  <si>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</si>
  <si>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</si>
  <si>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</si>
  <si>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</si>
  <si>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</si>
  <si>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</si>
  <si>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</si>
  <si>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</si>
  <si>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</si>
  <si>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</si>
  <si>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</si>
  <si>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</si>
  <si>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</si>
  <si>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</si>
  <si>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</si>
  <si>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</si>
  <si>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</si>
  <si>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</si>
  <si>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</si>
  <si>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</si>
  <si>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</si>
  <si>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</si>
  <si>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</si>
  <si>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</si>
  <si>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</si>
  <si>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</si>
  <si>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</si>
  <si>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</si>
  <si>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</si>
  <si>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</si>
  <si>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</si>
  <si>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</si>
  <si>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</si>
  <si>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</si>
  <si>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</si>
  <si>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</si>
  <si>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</si>
  <si>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</si>
  <si>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</si>
  <si>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</si>
  <si>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</si>
  <si>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</si>
  <si>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</si>
  <si>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</si>
  <si>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</si>
  <si>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</si>
  <si>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</si>
  <si>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</si>
  <si>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</si>
  <si>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</si>
  <si>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</si>
  <si>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</si>
  <si>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</si>
  <si>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</si>
  <si>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</si>
  <si>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</si>
  <si>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</si>
  <si>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</si>
  <si>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</si>
  <si>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</si>
  <si>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</si>
  <si>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</si>
  <si>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</si>
  <si>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</si>
  <si>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</si>
  <si>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</si>
  <si>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</si>
  <si>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</si>
  <si>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</si>
  <si>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</si>
  <si>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</si>
  <si>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</si>
  <si>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</si>
  <si>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</si>
  <si>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</si>
  <si>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</si>
  <si>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</si>
  <si>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</si>
  <si>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</si>
  <si>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</si>
  <si>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</si>
  <si>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</si>
  <si>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</si>
  <si>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</si>
  <si>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</si>
  <si>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</si>
  <si>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</si>
  <si>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</si>
  <si>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</si>
  <si>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</si>
  <si>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</si>
  <si>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</si>
  <si>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</si>
  <si>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</si>
  <si>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</si>
  <si>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</si>
  <si>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</si>
  <si>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</si>
  <si>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</si>
  <si>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</si>
  <si>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</si>
  <si>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</si>
  <si>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</si>
  <si>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</si>
  <si>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</si>
  <si>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</si>
  <si>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</si>
  <si>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</si>
  <si>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</si>
  <si>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</si>
  <si>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</si>
  <si>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</si>
  <si>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</si>
  <si>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</si>
  <si>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</si>
  <si>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</si>
  <si>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13 3 03 13160</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</si>
  <si>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</si>
  <si>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</si>
  <si>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</si>
  <si>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</si>
  <si>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</si>
  <si>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</si>
  <si>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</si>
  <si>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</si>
  <si>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</si>
  <si>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</si>
  <si>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</si>
  <si>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</si>
  <si>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</si>
  <si>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</si>
  <si>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</si>
  <si>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</si>
  <si>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</si>
  <si>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</si>
  <si>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</si>
  <si>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</si>
  <si>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</si>
  <si>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</si>
  <si>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</si>
  <si>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</si>
  <si>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</si>
  <si>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</si>
  <si>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</si>
  <si>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</si>
  <si>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</si>
  <si>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</si>
  <si>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</si>
  <si>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</si>
  <si>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</si>
  <si>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</si>
  <si>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</si>
  <si>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</si>
  <si>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</si>
  <si>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</si>
  <si>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</si>
  <si>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</si>
  <si>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</si>
  <si>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</si>
  <si>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</si>
  <si>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</si>
  <si>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</si>
  <si>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</si>
  <si>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</si>
  <si>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</si>
  <si>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</si>
  <si>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</si>
  <si>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</si>
  <si>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</si>
  <si>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</si>
  <si>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</si>
  <si>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</si>
  <si>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</si>
  <si>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</si>
  <si>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</si>
  <si>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</si>
  <si>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</si>
  <si>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</si>
  <si>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</si>
  <si>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</si>
  <si>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</si>
  <si>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</si>
  <si>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</si>
  <si>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</si>
  <si>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05202</t>
  </si>
  <si>
    <t>05032</t>
  </si>
  <si>
    <t>Начальник Финансового управления</t>
  </si>
  <si>
    <t>12 1 01 S7110</t>
  </si>
  <si>
    <t>12101</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</si>
  <si>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</si>
  <si>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</si>
  <si>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</si>
  <si>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</si>
  <si>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</si>
  <si>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</si>
  <si>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</si>
  <si>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</si>
  <si>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</si>
  <si>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</si>
  <si>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</si>
  <si>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</si>
  <si>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</si>
  <si>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</si>
  <si>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</si>
  <si>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</si>
  <si>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</si>
  <si>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</si>
  <si>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</si>
  <si>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</si>
  <si>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</si>
  <si>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</si>
  <si>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</si>
  <si>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</si>
  <si>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</si>
  <si>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</si>
  <si>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</si>
  <si>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</si>
  <si>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</si>
  <si>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</si>
  <si>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</si>
  <si>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</si>
  <si>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</si>
  <si>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</si>
  <si>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</si>
  <si>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</si>
  <si>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</si>
  <si>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</si>
  <si>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</si>
  <si>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</si>
  <si>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</si>
  <si>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</si>
  <si>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Субсидии бюджетам на финансовое обеспечение отдельных полномочий</t>
  </si>
  <si>
    <t xml:space="preserve">002 </t>
  </si>
  <si>
    <t>Субвенции бюджетам муниципальных районов на выполнение переданых полномочий субъектов Российской Федерации</t>
  </si>
  <si>
    <t>10 1 01 87720</t>
  </si>
  <si>
    <t>Межбюджетные трансферты</t>
  </si>
  <si>
    <t>10 1 01 S7710</t>
  </si>
  <si>
    <t>Безвозмездные поступления</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</si>
  <si>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</si>
  <si>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</si>
  <si>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</si>
  <si>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</si>
  <si>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</si>
  <si>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</si>
  <si>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</si>
  <si>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</si>
  <si>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</si>
  <si>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</si>
  <si>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</si>
  <si>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</si>
  <si>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 xml:space="preserve">                                                     Приложение № 8</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</si>
  <si>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</si>
  <si>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</si>
  <si>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</si>
  <si>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</si>
  <si>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</si>
  <si>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</si>
  <si>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</si>
  <si>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</si>
  <si>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</si>
  <si>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</si>
  <si>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</si>
  <si>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</si>
  <si>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</si>
  <si>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</si>
  <si>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</si>
  <si>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</si>
  <si>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</si>
  <si>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</si>
  <si>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</si>
  <si>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</si>
  <si>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</si>
  <si>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</si>
  <si>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</si>
  <si>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</si>
  <si>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</si>
  <si>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</si>
  <si>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</si>
  <si>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</si>
  <si>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</si>
  <si>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</si>
  <si>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</si>
  <si>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</si>
  <si>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</si>
  <si>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</si>
  <si>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</si>
  <si>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</si>
  <si>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</si>
  <si>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</si>
  <si>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</si>
  <si>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</si>
  <si>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</si>
  <si>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</si>
  <si>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</si>
  <si>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</si>
  <si>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</si>
  <si>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</si>
  <si>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</si>
  <si>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</si>
  <si>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</si>
  <si>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</si>
  <si>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</si>
  <si>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</si>
  <si>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</si>
  <si>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</si>
  <si>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</si>
  <si>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</si>
  <si>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</si>
  <si>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</si>
  <si>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</si>
  <si>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</si>
  <si>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</si>
  <si>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</si>
  <si>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</si>
  <si>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</si>
  <si>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</si>
  <si>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</si>
  <si>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</si>
  <si>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</si>
  <si>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</si>
  <si>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</si>
  <si>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</si>
  <si>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</si>
  <si>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</si>
  <si>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</si>
  <si>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</si>
  <si>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</si>
  <si>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</si>
  <si>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</si>
  <si>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</si>
  <si>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</si>
  <si>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</si>
  <si>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</si>
  <si>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</si>
  <si>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</si>
  <si>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</si>
  <si>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</si>
  <si>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</si>
  <si>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</si>
  <si>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</si>
  <si>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</si>
  <si>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</si>
  <si>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</si>
  <si>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</si>
  <si>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</si>
  <si>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</si>
  <si>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</si>
  <si>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</si>
  <si>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</si>
  <si>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</si>
  <si>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</si>
  <si>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</si>
  <si>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</si>
  <si>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</si>
  <si>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</si>
  <si>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</si>
  <si>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</si>
  <si>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</si>
  <si>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</si>
  <si>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</si>
  <si>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</si>
  <si>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</si>
  <si>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</si>
  <si>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</si>
  <si>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</si>
  <si>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</si>
  <si>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</si>
  <si>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</si>
  <si>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</si>
  <si>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</si>
  <si>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</si>
  <si>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</si>
  <si>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</si>
  <si>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</si>
  <si>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</si>
  <si>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</si>
  <si>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</si>
  <si>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</si>
  <si>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</si>
  <si>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</si>
  <si>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</si>
  <si>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</si>
  <si>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</si>
  <si>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</si>
  <si>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</si>
  <si>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</si>
  <si>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</si>
  <si>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</si>
  <si>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</si>
  <si>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</si>
  <si>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</si>
  <si>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</si>
  <si>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</si>
  <si>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</si>
  <si>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</si>
  <si>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</si>
  <si>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</si>
  <si>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</si>
  <si>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</si>
  <si>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</si>
  <si>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</si>
  <si>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</si>
  <si>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</si>
  <si>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</si>
  <si>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</si>
  <si>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</si>
  <si>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</si>
  <si>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</si>
  <si>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</si>
  <si>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</si>
  <si>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</si>
  <si>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</si>
  <si>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</si>
  <si>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</si>
  <si>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</si>
  <si>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</si>
  <si>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</si>
  <si>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</si>
  <si>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</si>
  <si>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</si>
  <si>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</si>
  <si>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</si>
  <si>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</si>
  <si>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</si>
  <si>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</si>
  <si>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</si>
  <si>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</si>
  <si>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</si>
  <si>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</si>
  <si>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</si>
  <si>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</si>
  <si>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</si>
  <si>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</si>
  <si>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</si>
  <si>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</si>
  <si>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</si>
  <si>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</si>
  <si>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</si>
  <si>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</si>
  <si>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</si>
  <si>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</si>
  <si>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</si>
  <si>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</si>
  <si>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</si>
  <si>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</si>
  <si>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</si>
  <si>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</si>
  <si>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</si>
  <si>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</si>
  <si>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</si>
  <si>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</si>
  <si>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</si>
  <si>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</si>
  <si>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</si>
  <si>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</si>
  <si>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</si>
  <si>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</si>
  <si>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</si>
  <si>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</si>
  <si>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</si>
  <si>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</si>
  <si>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</si>
  <si>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</si>
  <si>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</si>
  <si>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</si>
  <si>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</si>
  <si>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</si>
  <si>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</si>
  <si>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</si>
  <si>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</si>
  <si>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</si>
  <si>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</si>
  <si>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</si>
  <si>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</si>
  <si>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</si>
  <si>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</si>
  <si>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</si>
  <si>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</si>
  <si>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</si>
  <si>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</si>
  <si>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</si>
  <si>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</si>
  <si>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</si>
  <si>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</si>
  <si>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</si>
  <si>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</si>
  <si>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</si>
  <si>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</si>
  <si>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</si>
  <si>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</si>
  <si>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</si>
  <si>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</si>
  <si>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</si>
  <si>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</si>
  <si>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</si>
  <si>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</si>
  <si>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</si>
  <si>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</si>
  <si>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</si>
  <si>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</si>
  <si>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</si>
  <si>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</si>
  <si>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</si>
  <si>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</si>
  <si>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</si>
  <si>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</si>
  <si>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 xml:space="preserve">Финансовое обеспечение государственных полномочий по назначению и выплате денежной выплаты при передаче ребенка на воспитанию в семью, осуществлению контроля за расходованием усыновителя, опекунами (попечителями), приемными родителями денежной выплаты и возврату денежной выплаты   в рамках подпрограммы  "Охрана семьи и детства" муниципальной программы «Развитие образования Сковородинского района» </t>
  </si>
  <si>
    <t>13 2 02 S0180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</si>
  <si>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t>
  </si>
  <si>
    <t>03 7 07 S7110</t>
  </si>
  <si>
    <t>Обустройство автомобильных дорог и обеспечение условий для безопасного дорожного движения на территории Амурской области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</si>
  <si>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Субсидии бюджетам муниципальных районов на реализацию мероприятий по обеспечению жильем молодых семей</t>
  </si>
  <si>
    <t>10 4 04 01411</t>
  </si>
  <si>
    <t>10 4 04 01412</t>
  </si>
  <si>
    <t>10 4 04 01413</t>
  </si>
  <si>
    <t>2 02 15001 05 0000 150</t>
  </si>
  <si>
    <t>2 02 25497 05 0000 150</t>
  </si>
  <si>
    <t>2 02 29999 05 0000 150</t>
  </si>
  <si>
    <t>2 02 29998 05 0000 150</t>
  </si>
  <si>
    <t>2 02 35082 05 0000 150</t>
  </si>
  <si>
    <t>2 02 35120 05 0000 150</t>
  </si>
  <si>
    <t>2 02 39999 05 0000 150</t>
  </si>
  <si>
    <t>2 02 30024 05 0000 150</t>
  </si>
  <si>
    <t>2 02 30029 05 0000 150</t>
  </si>
  <si>
    <t>2 02 30027 05 0000 150</t>
  </si>
  <si>
    <t>2 02 40014 05 0000 150</t>
  </si>
  <si>
    <t>2 19 60010 05 0000 150</t>
  </si>
  <si>
    <t xml:space="preserve">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</si>
  <si>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Расходы на обеспечение деятельности (оказание услуг) муниципального учреждения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</si>
  <si>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</si>
  <si>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«Межведомственная централизованная бухгалтерия»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</si>
  <si>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от 25.12.2018 №     </t>
  </si>
  <si>
    <t>непрограммные мероприятия</t>
  </si>
  <si>
    <t>субвенции</t>
  </si>
  <si>
    <t>сумма</t>
  </si>
  <si>
    <t>программа/непрограммное направление</t>
  </si>
  <si>
    <t>субвенции/субсидии</t>
  </si>
  <si>
    <t>О внесении изменений и дополнений в проект решения о бюджете на 2019 и плановый период 2020 на  2021 годов</t>
  </si>
  <si>
    <t xml:space="preserve">Расходы на приобретение объектов недвижимого имущества в муниципальную собственность </t>
  </si>
  <si>
    <t>99 9 09 21010</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</si>
  <si>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</si>
  <si>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</si>
  <si>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</si>
  <si>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10 4 04 01930</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</si>
  <si>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</si>
  <si>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</si>
  <si>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Капитальные вложения в объекты недвижимого имущества (государственной) муниципальной собственности</t>
  </si>
  <si>
    <t>Доходы, полученые в виде арендной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</si>
  <si>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 xml:space="preserve">Расходы на приобретениеи и установку детских спортивно-игровых площадок и укрепление материально-технической базы учреждений в рамках благотворительного пожертвования </t>
  </si>
  <si>
    <t>99 3 03 91700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</si>
  <si>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</si>
  <si>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1 03 02231 01 0000 110</t>
  </si>
  <si>
    <t>1 03 02241 01 0000 110</t>
  </si>
  <si>
    <t>Приложение №1</t>
  </si>
  <si>
    <t>Приложение№3</t>
  </si>
  <si>
    <t>Приложение № 5</t>
  </si>
  <si>
    <t xml:space="preserve">                                                     Приложение № 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</si>
  <si>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</si>
  <si>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</si>
  <si>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Расходы, связанные с досудебным урегулированием споров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</si>
  <si>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г.Сковородино</t>
  </si>
  <si>
    <t>Обустройство контейнерных площадок  в рамках  муниципальной программы «Благоустройство Сковородинского района"</t>
  </si>
  <si>
    <t>14 1 01 14040</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</si>
  <si>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</si>
  <si>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</si>
  <si>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</si>
  <si>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</si>
  <si>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</si>
  <si>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1 03 02251 01 0000 110</t>
  </si>
  <si>
    <t>12 1 01 L1690</t>
  </si>
  <si>
    <t>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</si>
  <si>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05 1 01 05011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</si>
  <si>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</si>
  <si>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</si>
  <si>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</si>
  <si>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</si>
  <si>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области"(за счет средств ГК - Фонда содействия реформированию жилищно-коммунального хозяйства )</t>
  </si>
  <si>
    <t>07 2 02 09502</t>
  </si>
  <si>
    <t>10 4 04 01414</t>
  </si>
  <si>
    <t>Расходы, связанные с проведением закупок товаров и услуг МБУ "Служба заказчик"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</si>
  <si>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</si>
  <si>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Противодействие злоупотреблению наркотическими средствами и их незаконному обороту в Сковородинском районе</t>
  </si>
  <si>
    <t>Приобретение, модернизация, содержание и эксплуатация дорожной техники подпрограммы "Развитие сети автомобильных дорог общего пользования" муниципальной программы "Развитие транспортной системы Сковоородинского района"</t>
  </si>
  <si>
    <t>1 05 01021 01 0000 110</t>
  </si>
  <si>
    <t>1 06 01000 00 0000 110</t>
  </si>
  <si>
    <t>1 06 01030 05 0000 110</t>
  </si>
  <si>
    <t>1 16 30030 01 6000 140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</si>
  <si>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</si>
  <si>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</si>
  <si>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t>
  </si>
  <si>
    <t>Прочие денежные взыскания (штрафы) за правонарушения в области дорожного движения</t>
  </si>
  <si>
    <t>Субсидии субъектам малого и среднего предпринимательства по возмещению части оплаты первого взноса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</si>
  <si>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08 1 01 08061</t>
  </si>
  <si>
    <t>Субсидии субъектам малого и среднего предпринимательства по возмещению части оплаты процентов по кредитам, привлечённым в кредитных организациях на развитие производства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</si>
  <si>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08 1 01 08062</t>
  </si>
  <si>
    <t xml:space="preserve">Субсидии субъектам малого с среднего предпринимательства по возмещению части затрат, связанных с реализацией проекта в сфере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</si>
  <si>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08 1 01 08063</t>
  </si>
  <si>
    <t>Субсидии субъектам малого и среднего предпринимательства в части предоставления грантов начинающим предпринимателям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</si>
  <si>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08 1 01 08064</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</si>
  <si>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осуществляющих образовательную деятельность по программам дошкольного образования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</si>
  <si>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08 1 01 08065</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</si>
  <si>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по присмотру и уходу за детьми в соответствии с законодательством Российской Федерации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</si>
  <si>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08 1 01 08066</t>
  </si>
  <si>
    <t xml:space="preserve">Благоустройство парка культуры и отдыха г. Сковородино муниципальной программы «Благоустройство Сковородинского района» </t>
  </si>
  <si>
    <t>14 1 01 14080</t>
  </si>
  <si>
    <t>Организация и проведение мероприятий по реализации муниципальной подпрограммы «Развитие лес-ного хозяйства» муниципальной программы «Охрана окружающей среды в Сковородинском районе»</t>
  </si>
  <si>
    <t>1 1 09035 05 0000 120</t>
  </si>
  <si>
    <t>п.г.т. Ерофей Павлович</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</si>
  <si>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</si>
  <si>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</si>
  <si>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</si>
  <si>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1 06 06033 05 2100 110</t>
  </si>
  <si>
    <t>10.4.04.01810</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</si>
  <si>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</si>
  <si>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Тахтамыгдинский с/с</t>
  </si>
  <si>
    <t>пгт.Ерофей Павлович</t>
  </si>
  <si>
    <t>пгт.Уруша</t>
  </si>
  <si>
    <t>05.1.01.05011</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</si>
  <si>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</si>
  <si>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</si>
  <si>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субъектам малого и среднего предпринимательства по возмещению  уплаты первого взноса (аванса)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</si>
  <si>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Гранты (субсидии) начинающим субъектам малого и среднего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</si>
  <si>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по возмещению части затрат субъектам малого и среднего предпринимальства на уплату процентов по кредитам, привлеченным в российских кредитных организациях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</si>
  <si>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субъектам малого и среднего предпринимательства на организацию групп дневного времяпрепровождения детей дошкольного возраста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</si>
  <si>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Субсидирование части затрат субъектов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</si>
  <si>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Субсидии субъектам малого и среднего предпринимательства, осуществляющим образовательную деятельность по образовательным программам дошкольного образования, а также по присмотру и уходу за детьми в соответствии с законодательством РФ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</si>
  <si>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Оборудование коентейрных площадок для сбора твердых коммунальных отходоов в рамках подпрограммы "Благоустройство Сковородинского района"</t>
  </si>
  <si>
    <t>14 1 01 S7330</t>
  </si>
  <si>
    <t>Переданные полномочия по проведению контроля в соответствии с частью 8 ст 99 Федерального закона 44-ФЗ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</si>
  <si>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10 1 01 01670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</si>
  <si>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</si>
  <si>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</si>
  <si>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10 4 04 01415</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</si>
  <si>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</si>
  <si>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Оборудование коентейрных площадок для сбора твердых коммунальных отходов в рамках подпрограммы "Благоустройство Сковородинского района"</t>
  </si>
  <si>
    <t>14.1.01.14030</t>
  </si>
  <si>
    <t>10 1 01 10081</t>
  </si>
  <si>
    <t>Предоставление бюджетам поселений межбюджетных трансфертов на реализацию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</si>
  <si>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10 2 02 87630</t>
  </si>
  <si>
    <t>Финансовое обеспечение государственых полномочий Амурской области по постановке на учет и учету граждан, имеющих право на получение жилищных субсидий в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</si>
  <si>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12 1 01 S0920</t>
  </si>
  <si>
    <t>Модернизация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</si>
  <si>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12 1 Е1 51690</t>
  </si>
  <si>
    <t>12 1 01 S0590</t>
  </si>
  <si>
    <t>Подготовка обоснования инвестиций и проведение его технологического и ценового аудита в отношении объектов капитального строительства муниципальной собственности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</si>
  <si>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Финаенсовое обеспечение отдельных государситвенных полномочий Амурской области по осуществолению регионального государственного контроля(надзора) в области розничной алкогольной и спиртосодержащейс продукции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</si>
  <si>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10 4 04 87340</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</si>
  <si>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</si>
  <si>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</si>
  <si>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1 16 25050 01 0000 140</t>
  </si>
  <si>
    <t>Денежные взыскания (штрафы) за нарушение законодательства в области охраны окружающей среды</t>
  </si>
  <si>
    <t>08 1 01 70130</t>
  </si>
  <si>
    <t>10 4 04 10620</t>
  </si>
  <si>
    <t>Финансирование непредвиденных расходов и обязательств за счет резервного фонда Правительства Амурской области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</si>
  <si>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</si>
  <si>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</si>
  <si>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</si>
  <si>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t>
  </si>
  <si>
    <t>с/с Солнечный</t>
  </si>
  <si>
    <t>2 07 05030 05 0000 150</t>
  </si>
  <si>
    <t>Межбюджетные трансферты бюджету муниципального района из бюджета Джалиндинского сельсовета на осуществление части полномочий по решению вопросов местного значения  в соответствии с заключенным соглашением  на 2019 год и плановый период 2020-2021 гг</t>
  </si>
  <si>
    <t>95.4.04.01660</t>
  </si>
  <si>
    <t>безв</t>
  </si>
  <si>
    <t>соб</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</si>
  <si>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</si>
  <si>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13 3 03 S7480</t>
  </si>
  <si>
    <t>Субсидии бюджетам на софинансирование расходов по осуществлению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</si>
  <si>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Субвенции местным бюджетам на финансовое обеспечение государственного полномочия Амурской области по обеспечению обучающих по образовательных программах начального общего образования в муниципальных общеобразовательных организациях питанием на 2019 год</t>
  </si>
  <si>
    <t>12 1 01 80630</t>
  </si>
  <si>
    <t>Финансовое обеспечение государственных полномочий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 на 2019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</si>
  <si>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13 1 01 13180</t>
  </si>
  <si>
    <t>Осуществление регулярных перевозок пассажиров и багажа автомобильным транспортом по регулируемым тарифам на муниципальных маршрутах подпрограммы «Развитие транспортного комплекса» муниципальной программы «Развитие транспортной системы Сковородинского района»</t>
  </si>
  <si>
    <t>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</si>
  <si>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10 1 01 01530</t>
  </si>
  <si>
    <t>Выравнивание обеспеченности муниципальных образований по реализации ими отдельных расходных обязательств модернизация муниципальных систем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</si>
  <si>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модернизация муниципальных систем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</si>
  <si>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(модернизация муниципальных систем)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</si>
  <si>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(модернизация муниципальных систем)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</si>
  <si>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</si>
  <si>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КОМИТЕТ ПО УПРАВЛЕНИЮ МУНИЦИПАЛЬНЫМ ИМУЩЕСТВОМ</t>
  </si>
  <si>
    <t>2 18 05010 05 0000 150</t>
  </si>
  <si>
    <t>Доходы бюджетов муниципальных районов от возврата бюджетными учреждениями остатков субсидий прошлых лет</t>
  </si>
  <si>
    <t>161</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</si>
  <si>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</si>
  <si>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 недрах</t>
  </si>
  <si>
    <t>Приобретение и установка детских, спортивных площадок в рамках подпрограммы "Благоустройство Сковородинского района" муниципальной программы "Благоустройство Сковородинского района"</t>
  </si>
  <si>
    <t xml:space="preserve">Приобретение оборудования для регулирования и обеспечения безопасности дорожного движения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t>
  </si>
  <si>
    <t>Укрепление материально-технической базы учреждений в рамках благотворительного пожертвавания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t>
  </si>
  <si>
    <t>Сохранение, использование, популяризация и охрана объектов  исторического и культурного наследия в рамках подпрограммы "Историко-культурное наследие" муниципальной программы "Развитие и сохранение культуры и искусства Сковородинского района"</t>
  </si>
  <si>
    <t>03 3 03 03060</t>
  </si>
  <si>
    <t>10404</t>
  </si>
  <si>
    <t>Создание малых площадок для муниципальных центров тестирования ВФСК «ГТО»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</si>
  <si>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09 1 01 09080</t>
  </si>
  <si>
    <t>2 02 15002 05 0000 150</t>
  </si>
  <si>
    <t>Противодействие коррупции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</si>
  <si>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10 4 04 01940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</si>
  <si>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</si>
  <si>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88500</t>
  </si>
  <si>
    <t>99101</t>
  </si>
  <si>
    <t>01130</t>
  </si>
  <si>
    <t>Заместитель начальника Финансового управления</t>
  </si>
  <si>
    <t>Н.В. Палащенко</t>
  </si>
  <si>
    <t>расх</t>
  </si>
  <si>
    <t>88430</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</si>
  <si>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района от 06.12.2019 №28, уточнение ВР, средства ОБ)</t>
  </si>
  <si>
    <t>87360</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</si>
  <si>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района от 06.12.2019 №28, уточнение ВР, средства ОБ)</t>
  </si>
  <si>
    <t>Расходы на обеспечение функций представительных органов местного самоуправления по непрограммным расходам органов местного самоуправления(письмо администрации района от 06.12.2019 №28, уточнение ВР)</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</si>
  <si>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района»(письмо образования от 06.12.2019 №1940, уточнение ПРЗ, средства областного бюджета)</t>
  </si>
  <si>
    <t>05101</t>
  </si>
  <si>
    <t>87120</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</si>
  <si>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районе»(средства ОБ)</t>
  </si>
  <si>
    <t>39999</t>
  </si>
  <si>
    <t>150</t>
  </si>
  <si>
    <t>03707</t>
  </si>
  <si>
    <t>03040</t>
  </si>
  <si>
    <t>09060</t>
  </si>
  <si>
    <t>09010</t>
  </si>
  <si>
    <t>01412</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</si>
  <si>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уточнение ВР)</t>
  </si>
  <si>
    <t>15002</t>
  </si>
  <si>
    <r>
      <t>Дотации бюджетам муниципальных районов на поддержку мер по обеспечению сбалансированности бюджетов</t>
    </r>
    <r>
      <rPr>
        <b/>
        <sz val="12"/>
        <color rgb="FF7030A0"/>
        <rFont val="Times New Roman"/>
        <family val="1"/>
        <charset val="204"/>
      </rPr>
      <t xml:space="preserve"> (Постановление Правительства АО от 06.12.2019 №699)</t>
    </r>
  </si>
  <si>
    <t xml:space="preserve">1 </t>
  </si>
  <si>
    <t xml:space="preserve">08 </t>
  </si>
  <si>
    <t xml:space="preserve">1000 </t>
  </si>
  <si>
    <t xml:space="preserve">03010 </t>
  </si>
  <si>
    <t xml:space="preserve">01 </t>
  </si>
  <si>
    <t xml:space="preserve">02010 </t>
  </si>
  <si>
    <t xml:space="preserve">0000 </t>
  </si>
  <si>
    <r>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 </t>
    </r>
    <r>
      <rPr>
        <b/>
        <sz val="12"/>
        <color rgb="FF7030A0"/>
        <rFont val="Times New Roman"/>
        <family val="1"/>
        <charset val="204"/>
      </rPr>
      <t>(уменьшение прогнозных данных в целях обеспечения сбалансированности)</t>
    </r>
  </si>
  <si>
    <r>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r>
    <r>
      <rPr>
        <b/>
        <sz val="12"/>
        <color rgb="FF7030A0"/>
        <rFont val="Times New Roman"/>
        <family val="1"/>
        <charset val="204"/>
      </rPr>
      <t>(уменьшение прогнозных данных в целях обеспечения сбалансированности)</t>
    </r>
  </si>
  <si>
    <t xml:space="preserve">2 </t>
  </si>
  <si>
    <t xml:space="preserve">02 </t>
  </si>
  <si>
    <t xml:space="preserve">39999 </t>
  </si>
  <si>
    <t xml:space="preserve">05 </t>
  </si>
  <si>
    <t>12.1.01</t>
  </si>
  <si>
    <t>80630</t>
  </si>
  <si>
    <r>
      <t>Субвенции местным бюджетам на финансовое обеспечение государственного полномочия Амурской области по обеспечению обучающих по образовательных программах начального общего образования в муниципальных общеобразовательных организациях питанием на 2019 год</t>
    </r>
    <r>
      <rPr>
        <b/>
        <sz val="12"/>
        <color rgb="FF7030A0"/>
        <rFont val="Times New Roman"/>
        <family val="1"/>
        <charset val="204"/>
      </rPr>
      <t xml:space="preserve"> (Расходное расписание  минобразования Амурской области от 04.12.2019 № 765, письмо Управления образования от 09.12.2019 №01-22/)</t>
    </r>
  </si>
  <si>
    <r>
      <t xml:space="preserve">Финансовое обеспечение государственных полномочий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 на 2019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t>
    </r>
    <r>
      <rPr>
        <b/>
        <sz val="12"/>
        <color rgb="FF7030A0"/>
        <rFont val="Times New Roman"/>
        <family val="1"/>
        <charset val="204"/>
      </rPr>
      <t xml:space="preserve"> (Расходное расписание  минобразования Амурской области от 04.12.2019 № 765, письмо Управления образования от 09.12.2019 №01-22/)</t>
    </r>
  </si>
  <si>
    <t>99.3.03</t>
  </si>
  <si>
    <t>01640</t>
  </si>
  <si>
    <t>05.3.03</t>
  </si>
  <si>
    <t>05060</t>
  </si>
  <si>
    <t>01220</t>
  </si>
  <si>
    <r>
      <t xml:space="preserve">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 </t>
    </r>
    <r>
      <rPr>
        <b/>
        <sz val="12"/>
        <color rgb="FF7030A0"/>
        <rFont val="Times New Roman"/>
        <family val="1"/>
        <charset val="204"/>
      </rPr>
      <t>(уточнение расходов между ЦСР в связи с экономией при проведении аукциона и соц.выплате, письмо Управления образования от 09.12.2019 №01-22/)</t>
    </r>
  </si>
  <si>
    <r>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r>
    <r>
      <rPr>
        <b/>
        <sz val="12"/>
        <color rgb="FF7030A0"/>
        <rFont val="Times New Roman"/>
        <family val="1"/>
        <charset val="204"/>
      </rPr>
      <t xml:space="preserve"> (уточнение расходов между ЦСР в связи с экономией при проведении аукциона и соц.выплате, письмо Управления образования от 09.12.2019 №01-22/)</t>
    </r>
  </si>
  <si>
    <r>
      <t xml:space="preserve">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t>
    </r>
    <r>
      <rPr>
        <b/>
        <sz val="12"/>
        <color rgb="FF7030A0"/>
        <rFont val="Times New Roman"/>
        <family val="1"/>
        <charset val="204"/>
      </rPr>
      <t>(уточнение расходов между ЦСР в связи с экономией при проведении аукциона и соц.выплате, письмо Управления образования от 09.12.2019 №01-22/)</t>
    </r>
  </si>
  <si>
    <t>99303</t>
  </si>
  <si>
    <t>01610</t>
  </si>
  <si>
    <t>Расходы на проведение мероприятий в области социальной политики по прочим непрограммным расходам(письмо администрации от 13.12.2019 №30, уточнение ВР)</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</si>
  <si>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района"(письмо администрации от 13.12.2019 №30, уточнение ЦСР)</t>
  </si>
  <si>
    <t>09020</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</si>
  <si>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района"(письмо администрации от 13.12.2019 №30, уточнение ЦСР)</t>
  </si>
  <si>
    <t>01411</t>
  </si>
  <si>
    <t>Расходы на обеспечение деятельности (оказание услуг) муниципального учреждения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от 13.12.2019 №30, уточнение ЦСР)</t>
  </si>
  <si>
    <t>01415</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</si>
  <si>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от 13.12.2019 №30, уточнение ЦСР)</t>
  </si>
  <si>
    <t>S7330</t>
  </si>
  <si>
    <t>Оборудование коентейрных площадок для сбора твердых коммунальных отходов в рамках подпрограммы "Благоустройство Сковородинского района"(письмо администрации от 13.12.2019, уточнение ПРЗ, средства ОБ)</t>
  </si>
  <si>
    <t>03505</t>
  </si>
  <si>
    <t>S7710</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</si>
  <si>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района"(письмо администрации от 13.12.2019 №31, уточнение ЦСР)</t>
  </si>
  <si>
    <t>03303</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</si>
  <si>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района"(письмо администрации от 13.12.2019 №31, уточнение ЦСР)</t>
  </si>
  <si>
    <t>11101</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</si>
  <si>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района"(письмо администрации от 13.12.2019 №31, уточнение ЦСР)</t>
  </si>
  <si>
    <t>03101</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</si>
  <si>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района"(письмо администрации от 13.12.2019 №31, уточнение ЦСР)</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</si>
  <si>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района"(письмо администрации от 13.12.2019 №31, уточнение ЦСР)</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</si>
  <si>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от 13.12.2019 №31, уточнение ЦСР)</t>
  </si>
  <si>
    <t>01413</t>
  </si>
  <si>
    <t>Расходы на обеспечение деятельности муниципального казенного учреждения «Межведомственная централизованная бухгалтерия»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района»(уточнение ПРЗ, ЦСР)</t>
  </si>
  <si>
    <t>Расходы на обеспечение функций контрольно-счетной палаты района по непрограммным расходам органов местного самоуправления(уточнение ПРЗ, ЦСР)</t>
  </si>
  <si>
    <t>01150</t>
  </si>
  <si>
    <t>01120</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</si>
  <si>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самоуправления(уточнение ПРЗ, ЦСР)</t>
  </si>
  <si>
    <t>10202</t>
  </si>
  <si>
    <t>01180</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</si>
  <si>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района"(уточнение ПРЗ, ЦСР)</t>
  </si>
  <si>
    <t>Расходы на обеспечение функций представительных органов местного самоуправления по непрограммным расходам органов местного самоуправления(уточнение ПРЗ, ЦСР)</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</si>
  <si>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района»(уточнение ПРЗ, ЦСР)</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</si>
  <si>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района»(уточнение ПРЗ, ЦСР)</t>
  </si>
  <si>
    <t>12404</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</si>
  <si>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района"(письмо образования от 09.12.2019 №1958, уточнение ВР, на увеличение ФОТ, в связи с увольнением работников и выплатой компенсации за не использованный отпуск и принятием новых работников)</t>
  </si>
  <si>
    <t>05010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</si>
  <si>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районе"(письмо отдела экономики от 09.12.2019 №126, возврат МБТ Е Павлович)</t>
  </si>
  <si>
    <t>29999</t>
  </si>
  <si>
    <t>30029</t>
  </si>
  <si>
    <t>S7620</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</si>
  <si>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района"(средства ОБ)</t>
  </si>
  <si>
    <t>12505</t>
  </si>
  <si>
    <t>87250</t>
  </si>
  <si>
    <t>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(средства ОБ)</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</si>
  <si>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района"(письмо образования от 12.12.2019 №1985, уточнение ЦСР)</t>
  </si>
  <si>
    <t>40014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</si>
  <si>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соглашениями(Албазинский с/с)</t>
  </si>
  <si>
    <t>10101</t>
  </si>
  <si>
    <t>10030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</si>
  <si>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района"(Албазинский с/с)</t>
  </si>
  <si>
    <t>01930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</si>
  <si>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района"(письмо отдела экономики от 13.12.2019 №   , Неверскому с/с на установку автоматической пожарной сингализации в здании МБУК "НКДЦ")</t>
  </si>
  <si>
    <t>14030</t>
  </si>
  <si>
    <t>Приобретение и установка детских, спортивных площадок в рамках подпрограммы "Благоустройство Сковородинского района"(письмо отдела экономики от 13.12.2019 №    , на МБТ Невер 0801)</t>
  </si>
  <si>
    <t>04040</t>
  </si>
  <si>
    <t>99 4 04 01770</t>
  </si>
  <si>
    <t>Расходы на оплату членских взносов по прочим непрограммным расходам</t>
  </si>
  <si>
    <t>99404</t>
  </si>
  <si>
    <t>01770</t>
  </si>
  <si>
    <t>Расходы на оплату членских взносов по прочим непрограммным расходам(на оплату счета №83 от 23.11.2019)</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</si>
  <si>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района"(уточнение на оплату счета членские взносы)</t>
  </si>
  <si>
    <t>11020</t>
  </si>
  <si>
    <t xml:space="preserve">Финансовое обеспечение государственных полномочий по назначению и выплате денежной выплаты при передаче ребенка на воспитанию в семью, осуществлению контроля за расходованием усыновителя, опекунами (попечителями), приемными родителями денежной выплаты и возврату денежной выплаты   в рамках подпрограммы  "Охрана семьи и детства" муниципальной программы «Развитие образования Сковородинского района»(письмо образования от 16.12.2019 №2002, уточнение ВР) </t>
  </si>
  <si>
    <t>Приобретение и установка детских, спортивных площадок в рамках подпрограммы "Благоустройство Сковородинского района"(возврат МБТ г. Сковородино)</t>
  </si>
  <si>
    <t>11080</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</si>
  <si>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района»(возврат МБТ г.Сковородино)</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</si>
  <si>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районе"(возврат МБТ г.Сковородино, подтверждение потребности в 2020 году, в сумме 330750)</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</si>
  <si>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отдела экономики от 13.12.2019 №   , Неверскому с/с на ремонт системы отопления в здании администрации-18382,06; на приобретение ГСМ и запасных частей для транспортных средств-65198,42, на приобретение редуктора передачи моста на автоцистерну НЕФАЗ Тахтамыгдинскому с/с 172800)</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</si>
  <si>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районе"(возврат МБТ п.г.т. Уруша)</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</si>
  <si>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районе»(возврат МБТ п.г.т. Уруша)</t>
  </si>
  <si>
    <t>Благоустройство муниципальных образований Сковородинского района в рамках  муниципальной программы "Благоустройство Сковородинского района"(письмо отдела экономики, на МБТ Невер мероприятия по расчистки от наледи улицу Зуева)</t>
  </si>
  <si>
    <t>Прочие субсидии бюджетам муниципальных районов(питание детей с ограниченными возможностями)</t>
  </si>
  <si>
    <t>Прочие субвенции бюджетам муниципальных районов(выпадающие доходы)</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</si>
  <si>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районе»(Тахтамыгда МБТ возврат)</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</si>
  <si>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районе"(Тахтамыгда МБТ возврат)</t>
  </si>
  <si>
    <t>от 20.12.2019 №294</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</si>
  <si>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района»(МБТ Ерофей Павлович)</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</si>
  <si>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района"(МБТ Ерофей Павлович)</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</si>
  <si>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района»(уточнение ВР)</t>
  </si>
  <si>
    <t>01140</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</si>
  <si>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отдела экономики от 09.12.2019 №126, возврат МБТ в т.ч. Невер 5000, Тахтамыгда 3560, Е Павлович 332573,6, Солнечный 250000)</t>
  </si>
  <si>
    <t>Благоустройство муниципальных образований Сковородинского района в рамках  муниципальной программы "Благоустройство Сковородинского района"(МБТ Талдан)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</si>
</sst>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82"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
      <sz val="12"/>
      <color rgb="FF00B050"/>
      <name val="Arial Narrow"/>
      <family val="2"/>
      <charset val="204"/>
    </font>
    <font>
      <i/>
      <sz val="11"/>
      <color rgb="FF7030A0"/>
      <name val="Calibri"/>
      <family val="2"/>
      <scheme val="minor"/>
    </font>
    <font>
      <i/>
      <sz val="11"/>
      <color theme="1"/>
      <name val="Calibri"/>
      <family val="2"/>
      <scheme val="minor"/>
    </font>
    <font>
      <sz val="12"/>
      <color rgb="FFFF0000"/>
      <name val="Times New Roman"/>
      <family val="1"/>
      <charset val="204"/>
    </font>
    <font>
      <i/>
      <sz val="12"/>
      <color rgb="FF7030A0"/>
      <name val="Times New Roman"/>
      <family val="1"/>
      <charset val="204"/>
    </font>
    <font>
      <sz val="12"/>
      <color rgb="FF7030A0"/>
      <name val="Arial Narrow"/>
      <family val="2"/>
    </font>
    <font>
      <b/>
      <sz val="12"/>
      <color rgb="FF7030A0"/>
      <name val="Times New Roman"/>
      <family val="1"/>
      <charset val="204"/>
    </font>
    <font>
      <sz val="11"/>
      <color rgb="FF7030A0"/>
      <name val="Arial Narrow"/>
      <family val="2"/>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8"/>
      </left>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auto="1"/>
      </left>
      <right style="thin">
        <color indexed="64"/>
      </right>
      <top style="thin">
        <color indexed="64"/>
      </top>
      <bottom/>
      <diagonal/>
    </border>
    <border>
      <left style="thin">
        <color indexed="64"/>
      </left>
      <right/>
      <top style="thin">
        <color indexed="64"/>
      </top>
      <bottom/>
      <diagonal/>
    </border>
    <border>
      <left style="thin">
        <color auto="1"/>
      </left>
      <right style="thin">
        <color indexed="64"/>
      </right>
      <top/>
      <bottom style="thin">
        <color indexed="8"/>
      </bottom>
      <diagonal/>
    </border>
    <border>
      <left style="thin">
        <color indexed="64"/>
      </left>
      <right/>
      <top/>
      <bottom style="thin">
        <color indexed="64"/>
      </bottom>
      <diagonal/>
    </border>
    <border diagonalUp="1" diagonalDown="1">
      <left/>
      <right/>
      <top style="thin">
        <color indexed="8"/>
      </top>
      <bottom style="thin">
        <color indexed="8"/>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indexed="64"/>
      </right>
      <top/>
      <bottom/>
      <diagonal/>
    </border>
    <border>
      <left style="thin">
        <color indexed="64"/>
      </left>
      <right/>
      <top/>
      <bottom/>
      <diagonal/>
    </border>
  </borders>
  <cellStyleXfs count="3">
    <xf numFmtId="0" fontId="0" fillId="0" borderId="0"/>
    <xf numFmtId="0" fontId="4" fillId="0" borderId="0"/>
    <xf numFmtId="0" fontId="6" fillId="0" borderId="0"/>
  </cellStyleXfs>
  <cellXfs count="1539">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8"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3"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3"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3"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0" fontId="45" fillId="0" borderId="0" xfId="0" applyFont="1" applyAlignment="1">
      <alignment horizontal="justify"/>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39"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3"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xf numFmtId="49" fontId="45" fillId="0" borderId="33"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2"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0" fillId="0" borderId="19" xfId="0" applyNumberFormat="1" applyFont="1" applyFill="1" applyBorder="1" applyAlignment="1" applyProtection="1">
      <alignment horizontal="justify" vertical="center" wrapText="1"/>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4" xfId="0" applyNumberFormat="1" applyFont="1" applyBorder="1" applyAlignment="1" applyProtection="1">
      <alignment horizontal="center" vertical="center" wrapText="1"/>
    </xf>
    <xf numFmtId="49" fontId="8" fillId="0" borderId="44" xfId="0" applyNumberFormat="1" applyFont="1" applyBorder="1" applyAlignment="1" applyProtection="1">
      <alignment horizontal="center" vertical="center" wrapText="1"/>
    </xf>
    <xf numFmtId="49" fontId="26" fillId="0" borderId="45" xfId="0" applyNumberFormat="1" applyFont="1" applyBorder="1" applyAlignment="1" applyProtection="1">
      <alignment horizontal="center" vertical="center" wrapText="1"/>
    </xf>
    <xf numFmtId="4" fontId="23" fillId="0" borderId="42"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3" xfId="0" applyFont="1" applyBorder="1" applyAlignment="1">
      <alignment horizontal="justify"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6" xfId="0" applyNumberFormat="1" applyFont="1" applyBorder="1" applyAlignment="1" applyProtection="1">
      <alignment horizontal="justify" vertical="center" wrapText="1"/>
    </xf>
    <xf numFmtId="49" fontId="8" fillId="0" borderId="39" xfId="0" applyNumberFormat="1" applyFont="1" applyBorder="1" applyAlignment="1" applyProtection="1">
      <alignment horizontal="justify" vertical="top" wrapText="1"/>
    </xf>
    <xf numFmtId="49" fontId="28" fillId="0" borderId="44" xfId="0" applyNumberFormat="1" applyFont="1" applyBorder="1" applyAlignment="1" applyProtection="1">
      <alignment horizontal="center" vertical="center" wrapText="1"/>
    </xf>
    <xf numFmtId="49" fontId="28" fillId="0" borderId="47" xfId="0" applyNumberFormat="1" applyFont="1" applyBorder="1" applyAlignment="1" applyProtection="1">
      <alignment horizontal="center" vertical="center" wrapText="1"/>
    </xf>
    <xf numFmtId="49" fontId="20" fillId="0" borderId="44"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8" fillId="0" borderId="49" xfId="0" applyNumberFormat="1" applyFont="1" applyBorder="1" applyAlignment="1" applyProtection="1">
      <alignment horizontal="justify" vertical="center" wrapText="1"/>
    </xf>
    <xf numFmtId="49" fontId="24" fillId="0" borderId="33"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5" xfId="0" applyNumberFormat="1" applyFont="1" applyBorder="1" applyAlignment="1" applyProtection="1">
      <alignment horizontal="justify" vertical="center" wrapText="1"/>
    </xf>
    <xf numFmtId="49" fontId="26" fillId="0" borderId="34"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164" fontId="26" fillId="0" borderId="0" xfId="0" applyNumberFormat="1" applyFont="1" applyBorder="1" applyAlignment="1" applyProtection="1">
      <alignment horizontal="justify" vertical="center" wrapText="1"/>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8" fillId="0" borderId="0" xfId="0" applyFont="1"/>
    <xf numFmtId="0" fontId="64" fillId="0" borderId="0" xfId="0" applyFont="1"/>
    <xf numFmtId="0" fontId="65" fillId="0" borderId="0" xfId="0" applyFont="1" applyAlignment="1"/>
    <xf numFmtId="0" fontId="64" fillId="0" borderId="0" xfId="0" applyFont="1" applyAlignment="1">
      <alignment wrapText="1"/>
    </xf>
    <xf numFmtId="0" fontId="64" fillId="0" borderId="4" xfId="0" applyFont="1" applyBorder="1" applyAlignment="1">
      <alignment wrapText="1"/>
    </xf>
    <xf numFmtId="0" fontId="64" fillId="0" borderId="5" xfId="0" applyFont="1" applyBorder="1" applyAlignment="1">
      <alignment wrapText="1"/>
    </xf>
    <xf numFmtId="0" fontId="64" fillId="0" borderId="8" xfId="0" applyFont="1" applyBorder="1" applyAlignment="1">
      <alignment horizontal="center"/>
    </xf>
    <xf numFmtId="0" fontId="66" fillId="0" borderId="8" xfId="0" applyFont="1" applyBorder="1" applyAlignment="1">
      <alignment wrapText="1"/>
    </xf>
    <xf numFmtId="3" fontId="66" fillId="0" borderId="8" xfId="0" applyNumberFormat="1" applyFont="1" applyBorder="1"/>
    <xf numFmtId="0" fontId="64" fillId="0" borderId="8" xfId="0" applyFont="1" applyBorder="1" applyAlignment="1">
      <alignment wrapText="1"/>
    </xf>
    <xf numFmtId="3" fontId="64" fillId="0" borderId="8" xfId="0" applyNumberFormat="1" applyFont="1" applyBorder="1"/>
    <xf numFmtId="41" fontId="64" fillId="0" borderId="8" xfId="0" applyNumberFormat="1" applyFont="1" applyBorder="1"/>
    <xf numFmtId="41" fontId="64" fillId="0" borderId="8" xfId="0" applyNumberFormat="1" applyFont="1" applyBorder="1" applyAlignment="1">
      <alignment horizontal="right"/>
    </xf>
    <xf numFmtId="3" fontId="64" fillId="0" borderId="8" xfId="0" applyNumberFormat="1" applyFont="1" applyBorder="1" applyAlignment="1">
      <alignment horizontal="right"/>
    </xf>
    <xf numFmtId="41" fontId="66" fillId="0" borderId="8" xfId="0" applyNumberFormat="1" applyFont="1" applyBorder="1"/>
    <xf numFmtId="166" fontId="66" fillId="0" borderId="8" xfId="0" applyNumberFormat="1" applyFont="1" applyBorder="1"/>
    <xf numFmtId="3" fontId="66" fillId="0" borderId="8" xfId="0" applyNumberFormat="1" applyFont="1" applyBorder="1" applyAlignment="1">
      <alignment horizontal="center"/>
    </xf>
    <xf numFmtId="0" fontId="64" fillId="0" borderId="8" xfId="0" applyFont="1" applyBorder="1"/>
    <xf numFmtId="3" fontId="64" fillId="0" borderId="8" xfId="0" applyNumberFormat="1" applyFont="1" applyBorder="1" applyAlignment="1">
      <alignment horizontal="center"/>
    </xf>
    <xf numFmtId="1" fontId="64" fillId="0" borderId="8" xfId="0" applyNumberFormat="1" applyFont="1" applyBorder="1" applyAlignment="1">
      <alignment horizontal="center"/>
    </xf>
    <xf numFmtId="0" fontId="7" fillId="0" borderId="0" xfId="0" applyFont="1"/>
    <xf numFmtId="43" fontId="64" fillId="0" borderId="8" xfId="0" applyNumberFormat="1" applyFont="1" applyBorder="1"/>
    <xf numFmtId="41" fontId="6" fillId="0" borderId="8" xfId="0" applyNumberFormat="1" applyFont="1" applyBorder="1"/>
    <xf numFmtId="3" fontId="6" fillId="0" borderId="8" xfId="0" applyNumberFormat="1" applyFont="1" applyBorder="1"/>
    <xf numFmtId="49" fontId="6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69"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0"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0" fillId="0" borderId="8" xfId="0" applyFont="1" applyBorder="1" applyAlignment="1">
      <alignment wrapText="1"/>
    </xf>
    <xf numFmtId="0" fontId="71"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72"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4" fillId="0" borderId="8" xfId="0" applyFont="1" applyBorder="1" applyAlignment="1">
      <alignment horizontal="center"/>
    </xf>
    <xf numFmtId="4" fontId="58" fillId="0" borderId="0" xfId="0" applyNumberFormat="1" applyFont="1" applyBorder="1"/>
    <xf numFmtId="4" fontId="57" fillId="0" borderId="0" xfId="0" applyNumberFormat="1" applyFont="1"/>
    <xf numFmtId="4" fontId="50" fillId="0" borderId="0" xfId="0" applyNumberFormat="1" applyFont="1"/>
    <xf numFmtId="0" fontId="1" fillId="0" borderId="0" xfId="0" applyFont="1" applyAlignment="1">
      <alignment wrapText="1"/>
    </xf>
    <xf numFmtId="0" fontId="1" fillId="0" borderId="0" xfId="0" applyFont="1" applyFill="1" applyAlignment="1">
      <alignment horizontal="right"/>
    </xf>
    <xf numFmtId="0" fontId="1" fillId="0" borderId="8" xfId="0" applyFont="1" applyFill="1" applyBorder="1" applyAlignment="1">
      <alignment horizontal="center"/>
    </xf>
    <xf numFmtId="0" fontId="1" fillId="0" borderId="0" xfId="0" applyFont="1" applyAlignment="1">
      <alignment horizontal="right" wrapText="1"/>
    </xf>
    <xf numFmtId="49" fontId="8" fillId="0" borderId="0" xfId="0" applyNumberFormat="1" applyFont="1" applyBorder="1" applyAlignment="1" applyProtection="1">
      <alignment horizontal="justify" vertical="center" wrapText="1"/>
    </xf>
    <xf numFmtId="0" fontId="14" fillId="0" borderId="3" xfId="0" applyFont="1" applyBorder="1" applyAlignment="1">
      <alignment horizontal="center"/>
    </xf>
    <xf numFmtId="4" fontId="2" fillId="0" borderId="3" xfId="0" applyNumberFormat="1" applyFont="1" applyFill="1" applyBorder="1"/>
    <xf numFmtId="4" fontId="1" fillId="0" borderId="3" xfId="0" applyNumberFormat="1" applyFont="1" applyFill="1" applyBorder="1"/>
    <xf numFmtId="0" fontId="0" fillId="0" borderId="50" xfId="0" applyBorder="1"/>
    <xf numFmtId="0" fontId="0" fillId="0" borderId="51" xfId="0" applyBorder="1"/>
    <xf numFmtId="0" fontId="0" fillId="0" borderId="52" xfId="0" applyBorder="1"/>
    <xf numFmtId="0" fontId="0" fillId="0" borderId="53" xfId="0" applyBorder="1"/>
    <xf numFmtId="4" fontId="0" fillId="0" borderId="52" xfId="0" applyNumberFormat="1" applyBorder="1"/>
    <xf numFmtId="0" fontId="0" fillId="0" borderId="53" xfId="0" applyBorder="1" applyAlignment="1">
      <alignment wrapText="1"/>
    </xf>
    <xf numFmtId="0" fontId="0" fillId="0" borderId="54" xfId="0" applyBorder="1"/>
    <xf numFmtId="0" fontId="0" fillId="0" borderId="55" xfId="0" applyBorder="1"/>
    <xf numFmtId="4" fontId="3" fillId="0" borderId="3" xfId="0" applyNumberFormat="1" applyFont="1" applyBorder="1"/>
    <xf numFmtId="4" fontId="0" fillId="0" borderId="50" xfId="0" applyNumberFormat="1" applyBorder="1"/>
    <xf numFmtId="0" fontId="0" fillId="0" borderId="51" xfId="0" applyBorder="1" applyAlignment="1">
      <alignment wrapText="1"/>
    </xf>
    <xf numFmtId="4" fontId="0" fillId="0" borderId="54" xfId="0" applyNumberFormat="1" applyBorder="1"/>
    <xf numFmtId="0" fontId="0" fillId="0" borderId="55" xfId="0" applyBorder="1" applyAlignment="1">
      <alignment wrapText="1"/>
    </xf>
    <xf numFmtId="2" fontId="0" fillId="0" borderId="53" xfId="0" applyNumberFormat="1" applyBorder="1" applyAlignment="1">
      <alignment wrapText="1"/>
    </xf>
    <xf numFmtId="0" fontId="0" fillId="0" borderId="3" xfId="0" applyBorder="1"/>
    <xf numFmtId="0" fontId="0" fillId="0" borderId="52" xfId="0" applyFont="1" applyBorder="1"/>
    <xf numFmtId="0" fontId="0" fillId="0" borderId="53" xfId="0" applyFont="1" applyBorder="1"/>
    <xf numFmtId="2" fontId="3" fillId="0" borderId="3" xfId="0" applyNumberFormat="1" applyFont="1" applyBorder="1"/>
    <xf numFmtId="4" fontId="0" fillId="0" borderId="56" xfId="0" applyNumberFormat="1" applyBorder="1" applyAlignment="1">
      <alignment wrapText="1"/>
    </xf>
    <xf numFmtId="0" fontId="0" fillId="0" borderId="57" xfId="0" applyBorder="1" applyAlignment="1">
      <alignment wrapText="1"/>
    </xf>
    <xf numFmtId="4" fontId="9" fillId="0" borderId="8" xfId="0" applyNumberFormat="1" applyFont="1" applyFill="1" applyBorder="1" applyAlignment="1">
      <alignment horizontal="center" vertical="center" wrapText="1"/>
    </xf>
    <xf numFmtId="4" fontId="8" fillId="0" borderId="8" xfId="0" applyNumberFormat="1" applyFont="1" applyFill="1" applyBorder="1" applyAlignment="1">
      <alignment horizontal="right" wrapText="1"/>
    </xf>
    <xf numFmtId="4" fontId="42" fillId="0" borderId="8" xfId="0" applyNumberFormat="1" applyFont="1" applyFill="1" applyBorder="1" applyAlignment="1">
      <alignment horizontal="right" wrapText="1"/>
    </xf>
    <xf numFmtId="4" fontId="26" fillId="0" borderId="8" xfId="0" applyNumberFormat="1" applyFont="1" applyFill="1" applyBorder="1" applyAlignment="1">
      <alignment horizontal="right" wrapText="1"/>
    </xf>
    <xf numFmtId="0" fontId="1" fillId="0" borderId="8" xfId="0" applyFont="1" applyFill="1" applyBorder="1" applyAlignment="1">
      <alignment horizontal="center"/>
    </xf>
    <xf numFmtId="49" fontId="52" fillId="0" borderId="8" xfId="0" applyNumberFormat="1" applyFont="1" applyBorder="1" applyAlignment="1"/>
    <xf numFmtId="0" fontId="74" fillId="0" borderId="0" xfId="0" applyFont="1"/>
    <xf numFmtId="0" fontId="3" fillId="0" borderId="16" xfId="0" applyFont="1" applyBorder="1" applyAlignment="1">
      <alignment vertical="center"/>
    </xf>
    <xf numFmtId="164" fontId="45" fillId="0" borderId="23" xfId="0" applyNumberFormat="1" applyFont="1" applyBorder="1" applyAlignment="1" applyProtection="1">
      <alignment horizontal="justify" vertical="center" wrapText="1"/>
    </xf>
    <xf numFmtId="0" fontId="52" fillId="0" borderId="8" xfId="0" applyFont="1" applyFill="1" applyBorder="1" applyAlignment="1">
      <alignment horizontal="right"/>
    </xf>
    <xf numFmtId="0" fontId="3" fillId="0" borderId="2" xfId="0" applyFont="1" applyBorder="1" applyAlignment="1">
      <alignment vertical="center"/>
    </xf>
    <xf numFmtId="0" fontId="52" fillId="0" borderId="2" xfId="0" applyFont="1" applyFill="1" applyBorder="1" applyAlignment="1">
      <alignment horizontal="right"/>
    </xf>
    <xf numFmtId="49" fontId="52" fillId="0" borderId="15" xfId="0" applyNumberFormat="1" applyFont="1" applyBorder="1" applyAlignment="1">
      <alignment horizontal="left"/>
    </xf>
    <xf numFmtId="49" fontId="52" fillId="0" borderId="2" xfId="0" applyNumberFormat="1" applyFont="1" applyBorder="1" applyAlignment="1">
      <alignment horizontal="left"/>
    </xf>
    <xf numFmtId="49" fontId="45" fillId="0" borderId="58" xfId="0" applyNumberFormat="1" applyFont="1" applyBorder="1" applyAlignment="1" applyProtection="1">
      <alignment horizontal="justify" vertical="center" wrapText="1"/>
    </xf>
    <xf numFmtId="49" fontId="1" fillId="0" borderId="5" xfId="0" applyNumberFormat="1" applyFont="1" applyFill="1" applyBorder="1" applyAlignment="1">
      <alignment horizontal="center"/>
    </xf>
    <xf numFmtId="4" fontId="45" fillId="0" borderId="22" xfId="0" applyNumberFormat="1" applyFont="1" applyBorder="1" applyAlignment="1" applyProtection="1">
      <alignment horizontal="right"/>
    </xf>
    <xf numFmtId="49" fontId="1" fillId="0" borderId="8" xfId="0" applyNumberFormat="1" applyFont="1" applyFill="1" applyBorder="1" applyAlignment="1">
      <alignment horizontal="right"/>
    </xf>
    <xf numFmtId="0" fontId="1" fillId="0" borderId="8" xfId="0" applyFont="1" applyFill="1" applyBorder="1" applyAlignment="1">
      <alignment horizontal="left"/>
    </xf>
    <xf numFmtId="0" fontId="45" fillId="0" borderId="8" xfId="0" applyFont="1" applyFill="1" applyBorder="1" applyAlignment="1">
      <alignment horizontal="justify" vertical="center" wrapText="1"/>
    </xf>
    <xf numFmtId="0" fontId="45" fillId="0" borderId="8" xfId="0" applyFont="1" applyFill="1" applyBorder="1" applyAlignment="1">
      <alignment horizontal="justify" wrapText="1"/>
    </xf>
    <xf numFmtId="0" fontId="1" fillId="0" borderId="0" xfId="0" applyFont="1" applyAlignment="1">
      <alignment horizontal="right"/>
    </xf>
    <xf numFmtId="0" fontId="1" fillId="0" borderId="8" xfId="0"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28" fillId="0" borderId="59" xfId="0" applyNumberFormat="1" applyFont="1" applyFill="1" applyBorder="1" applyAlignment="1" applyProtection="1">
      <alignment horizontal="right"/>
    </xf>
    <xf numFmtId="4" fontId="20" fillId="0" borderId="59" xfId="0" applyNumberFormat="1" applyFont="1" applyFill="1" applyBorder="1" applyAlignment="1" applyProtection="1">
      <alignment horizontal="right"/>
    </xf>
    <xf numFmtId="49" fontId="52" fillId="0" borderId="8" xfId="0" applyNumberFormat="1" applyFont="1" applyBorder="1" applyAlignment="1">
      <alignment horizontal="center"/>
    </xf>
    <xf numFmtId="49" fontId="45" fillId="2" borderId="8" xfId="0" applyNumberFormat="1" applyFont="1" applyFill="1" applyBorder="1" applyAlignment="1" applyProtection="1">
      <alignment horizontal="justify" vertical="center" wrapText="1"/>
    </xf>
    <xf numFmtId="49" fontId="45" fillId="2" borderId="8" xfId="0" applyNumberFormat="1" applyFont="1" applyFill="1" applyBorder="1" applyAlignment="1" applyProtection="1">
      <alignment vertical="center" wrapText="1"/>
    </xf>
    <xf numFmtId="0" fontId="46" fillId="0" borderId="0" xfId="0" applyFont="1" applyAlignment="1">
      <alignment horizontal="justify" wrapText="1"/>
    </xf>
    <xf numFmtId="164" fontId="28" fillId="0" borderId="19" xfId="0" applyNumberFormat="1" applyFont="1" applyBorder="1" applyAlignment="1" applyProtection="1">
      <alignment horizontal="justify" vertical="top" wrapText="1"/>
    </xf>
    <xf numFmtId="49" fontId="8" fillId="0" borderId="8" xfId="0" applyNumberFormat="1" applyFont="1" applyBorder="1" applyAlignment="1" applyProtection="1">
      <alignment horizontal="justify" vertical="center" wrapText="1"/>
    </xf>
    <xf numFmtId="49" fontId="30" fillId="0" borderId="20" xfId="0" applyNumberFormat="1" applyFont="1" applyBorder="1" applyAlignment="1" applyProtection="1">
      <alignment horizontal="center" vertical="center" wrapText="1"/>
    </xf>
    <xf numFmtId="49" fontId="30" fillId="0" borderId="23" xfId="0" applyNumberFormat="1" applyFont="1" applyBorder="1" applyAlignment="1" applyProtection="1">
      <alignment horizontal="justify" vertical="center" wrapText="1"/>
    </xf>
    <xf numFmtId="0" fontId="52" fillId="0" borderId="8" xfId="0" applyFont="1" applyBorder="1" applyAlignment="1">
      <alignment vertical="center"/>
    </xf>
    <xf numFmtId="49" fontId="52" fillId="0" borderId="17" xfId="0" applyNumberFormat="1" applyFont="1" applyFill="1" applyBorder="1" applyAlignment="1"/>
    <xf numFmtId="49" fontId="52" fillId="0" borderId="5" xfId="0" applyNumberFormat="1" applyFont="1" applyBorder="1" applyAlignment="1"/>
    <xf numFmtId="49" fontId="52" fillId="0" borderId="2" xfId="0" applyNumberFormat="1" applyFont="1" applyBorder="1" applyAlignment="1"/>
    <xf numFmtId="0" fontId="3" fillId="0" borderId="2" xfId="0" applyFont="1" applyBorder="1" applyAlignment="1">
      <alignment horizontal="right"/>
    </xf>
    <xf numFmtId="0" fontId="3" fillId="0" borderId="17" xfId="0" applyFont="1" applyBorder="1" applyAlignment="1">
      <alignment horizontal="right"/>
    </xf>
    <xf numFmtId="49" fontId="52" fillId="0" borderId="8" xfId="0" applyNumberFormat="1" applyFont="1" applyBorder="1" applyAlignment="1">
      <alignment vertical="center"/>
    </xf>
    <xf numFmtId="49" fontId="26" fillId="0" borderId="24" xfId="0" applyNumberFormat="1" applyFont="1" applyBorder="1" applyAlignment="1" applyProtection="1">
      <alignment horizontal="center" vertical="center" wrapText="1"/>
    </xf>
    <xf numFmtId="49" fontId="26" fillId="0" borderId="25"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right" vertical="center" wrapText="1"/>
    </xf>
    <xf numFmtId="49" fontId="26" fillId="0" borderId="26" xfId="0" applyNumberFormat="1" applyFont="1" applyBorder="1" applyAlignment="1" applyProtection="1">
      <alignment horizontal="justify" vertical="center" wrapText="1"/>
    </xf>
    <xf numFmtId="4" fontId="28" fillId="2" borderId="26" xfId="0" applyNumberFormat="1" applyFont="1" applyFill="1" applyBorder="1" applyAlignment="1" applyProtection="1">
      <alignment horizontal="right"/>
    </xf>
    <xf numFmtId="49" fontId="26" fillId="0" borderId="2" xfId="0" applyNumberFormat="1" applyFont="1" applyBorder="1" applyAlignment="1" applyProtection="1">
      <alignment horizontal="center" vertical="center" wrapText="1"/>
    </xf>
    <xf numFmtId="49" fontId="26" fillId="0" borderId="2" xfId="0" applyNumberFormat="1" applyFont="1" applyBorder="1" applyAlignment="1" applyProtection="1">
      <alignment horizontal="right" vertical="center" wrapText="1"/>
    </xf>
    <xf numFmtId="49" fontId="26" fillId="0" borderId="2" xfId="0" applyNumberFormat="1" applyFont="1" applyBorder="1" applyAlignment="1" applyProtection="1">
      <alignment horizontal="justify" vertical="center" wrapText="1"/>
    </xf>
    <xf numFmtId="4" fontId="20" fillId="2" borderId="2" xfId="0" applyNumberFormat="1" applyFont="1" applyFill="1" applyBorder="1" applyAlignment="1" applyProtection="1">
      <alignment horizontal="right"/>
    </xf>
    <xf numFmtId="49" fontId="23" fillId="0" borderId="22" xfId="0" applyNumberFormat="1" applyFont="1" applyBorder="1" applyAlignment="1" applyProtection="1">
      <alignment horizontal="justify" vertical="center" wrapText="1"/>
    </xf>
    <xf numFmtId="49" fontId="28" fillId="0" borderId="42" xfId="0" applyNumberFormat="1" applyFont="1" applyBorder="1" applyAlignment="1" applyProtection="1">
      <alignment horizontal="center" vertical="center" wrapText="1"/>
    </xf>
    <xf numFmtId="49" fontId="28" fillId="0" borderId="23" xfId="0" applyNumberFormat="1" applyFont="1" applyBorder="1" applyAlignment="1" applyProtection="1">
      <alignment horizontal="center" vertical="center" wrapText="1"/>
    </xf>
    <xf numFmtId="4" fontId="23" fillId="0" borderId="23" xfId="0" applyNumberFormat="1" applyFont="1" applyBorder="1" applyAlignment="1" applyProtection="1">
      <alignment horizontal="right"/>
    </xf>
    <xf numFmtId="164" fontId="8" fillId="0" borderId="21" xfId="0" applyNumberFormat="1" applyFont="1" applyBorder="1" applyAlignment="1" applyProtection="1">
      <alignment horizontal="justify" vertical="center" wrapText="1"/>
    </xf>
    <xf numFmtId="164" fontId="26" fillId="0" borderId="23" xfId="0" applyNumberFormat="1" applyFont="1" applyBorder="1" applyAlignment="1" applyProtection="1">
      <alignment horizontal="justify" vertical="center" wrapText="1"/>
    </xf>
    <xf numFmtId="0" fontId="8" fillId="0" borderId="8" xfId="0" applyFont="1" applyBorder="1" applyAlignment="1">
      <alignment horizontal="justify"/>
    </xf>
    <xf numFmtId="164" fontId="23" fillId="0" borderId="20"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top" wrapText="1"/>
    </xf>
    <xf numFmtId="0" fontId="8" fillId="0" borderId="8" xfId="0" applyFont="1" applyFill="1" applyBorder="1" applyAlignment="1">
      <alignment horizontal="justify" vertical="center" wrapText="1"/>
    </xf>
    <xf numFmtId="0" fontId="8" fillId="2" borderId="0" xfId="0" applyFont="1" applyFill="1" applyAlignment="1">
      <alignment horizontal="justify" wrapText="1"/>
    </xf>
    <xf numFmtId="4" fontId="28" fillId="2" borderId="23" xfId="0" applyNumberFormat="1" applyFont="1" applyFill="1" applyBorder="1" applyAlignment="1" applyProtection="1">
      <alignment horizontal="right"/>
    </xf>
    <xf numFmtId="49" fontId="8" fillId="0" borderId="0" xfId="0" applyNumberFormat="1" applyFont="1" applyFill="1" applyBorder="1" applyAlignment="1">
      <alignment horizontal="justify" wrapText="1"/>
    </xf>
    <xf numFmtId="0" fontId="37" fillId="0" borderId="0" xfId="0" applyFont="1" applyAlignment="1">
      <alignment horizontal="justify"/>
    </xf>
    <xf numFmtId="4" fontId="52" fillId="0" borderId="15" xfId="0" applyNumberFormat="1" applyFont="1" applyFill="1" applyBorder="1"/>
    <xf numFmtId="49" fontId="52" fillId="0" borderId="8" xfId="0" applyNumberFormat="1" applyFont="1" applyFill="1" applyBorder="1" applyAlignment="1">
      <alignment vertical="center"/>
    </xf>
    <xf numFmtId="49" fontId="54" fillId="0" borderId="8" xfId="0" applyNumberFormat="1" applyFont="1" applyFill="1" applyBorder="1" applyAlignment="1">
      <alignment horizontal="right"/>
    </xf>
    <xf numFmtId="4" fontId="1" fillId="0" borderId="0" xfId="0" applyNumberFormat="1" applyFont="1" applyFill="1" applyAlignment="1">
      <alignment horizontal="left"/>
    </xf>
    <xf numFmtId="0" fontId="1" fillId="0" borderId="2" xfId="0" applyFont="1" applyFill="1" applyBorder="1" applyAlignment="1">
      <alignment horizontal="center" wrapText="1"/>
    </xf>
    <xf numFmtId="0" fontId="8" fillId="0" borderId="0" xfId="0" applyFont="1" applyAlignment="1">
      <alignment horizontal="justify"/>
    </xf>
    <xf numFmtId="49" fontId="36" fillId="0" borderId="3" xfId="0" applyNumberFormat="1" applyFont="1" applyFill="1" applyBorder="1" applyAlignment="1">
      <alignment horizontal="center" vertical="center" wrapText="1"/>
    </xf>
    <xf numFmtId="0" fontId="1" fillId="0" borderId="0" xfId="0" applyFont="1" applyFill="1" applyAlignment="1">
      <alignment horizontal="right"/>
    </xf>
    <xf numFmtId="0" fontId="42" fillId="0" borderId="8" xfId="0" applyFont="1" applyBorder="1"/>
    <xf numFmtId="164" fontId="42" fillId="0" borderId="8" xfId="0" applyNumberFormat="1" applyFont="1" applyFill="1" applyBorder="1" applyAlignment="1">
      <alignment horizontal="justify" wrapText="1"/>
    </xf>
    <xf numFmtId="0" fontId="57" fillId="0" borderId="0" xfId="0" applyFont="1" applyFill="1"/>
    <xf numFmtId="4" fontId="57" fillId="0" borderId="0" xfId="0" applyNumberFormat="1" applyFont="1" applyFill="1"/>
    <xf numFmtId="49" fontId="57" fillId="0" borderId="0" xfId="0" applyNumberFormat="1" applyFont="1" applyFill="1"/>
    <xf numFmtId="0" fontId="50" fillId="0" borderId="0" xfId="0" applyFont="1" applyFill="1"/>
    <xf numFmtId="164" fontId="28" fillId="0" borderId="23" xfId="0" applyNumberFormat="1" applyFont="1" applyBorder="1" applyAlignment="1" applyProtection="1">
      <alignment horizontal="justify" vertical="center" wrapText="1"/>
    </xf>
    <xf numFmtId="164" fontId="27" fillId="0" borderId="20" xfId="0" applyNumberFormat="1" applyFont="1" applyBorder="1" applyAlignment="1" applyProtection="1">
      <alignment horizontal="justify" vertical="center" wrapText="1"/>
    </xf>
    <xf numFmtId="0" fontId="75" fillId="0" borderId="0" xfId="0" applyFont="1"/>
    <xf numFmtId="49" fontId="24" fillId="0" borderId="24" xfId="0" applyNumberFormat="1" applyFont="1" applyBorder="1" applyAlignment="1" applyProtection="1">
      <alignment horizontal="center" vertical="center" wrapText="1"/>
    </xf>
    <xf numFmtId="0" fontId="8" fillId="0" borderId="17" xfId="0" applyFont="1" applyBorder="1" applyAlignment="1">
      <alignment horizontal="justify"/>
    </xf>
    <xf numFmtId="4" fontId="23" fillId="0" borderId="24" xfId="0" applyNumberFormat="1" applyFont="1" applyBorder="1" applyAlignment="1" applyProtection="1">
      <alignment horizontal="right"/>
    </xf>
    <xf numFmtId="164" fontId="26" fillId="0" borderId="8" xfId="0" applyNumberFormat="1" applyFont="1" applyBorder="1" applyAlignment="1" applyProtection="1">
      <alignment horizontal="justify" vertical="center" wrapText="1"/>
    </xf>
    <xf numFmtId="164" fontId="8" fillId="0" borderId="8" xfId="0" applyNumberFormat="1" applyFont="1" applyBorder="1" applyAlignment="1" applyProtection="1">
      <alignment horizontal="justify" vertical="center" wrapText="1"/>
    </xf>
    <xf numFmtId="164" fontId="24" fillId="0" borderId="20" xfId="0" applyNumberFormat="1" applyFont="1" applyBorder="1" applyAlignment="1" applyProtection="1">
      <alignment horizontal="justify" vertical="center" wrapText="1"/>
    </xf>
    <xf numFmtId="4" fontId="24" fillId="0" borderId="21" xfId="0" applyNumberFormat="1" applyFont="1" applyBorder="1" applyAlignment="1" applyProtection="1">
      <alignment horizontal="right"/>
    </xf>
    <xf numFmtId="0" fontId="76" fillId="0" borderId="0" xfId="0" applyFont="1"/>
    <xf numFmtId="0" fontId="52" fillId="0" borderId="8" xfId="0" applyFont="1" applyFill="1" applyBorder="1" applyAlignment="1"/>
    <xf numFmtId="49" fontId="51" fillId="0" borderId="2" xfId="0" applyNumberFormat="1" applyFont="1" applyFill="1" applyBorder="1" applyAlignment="1">
      <alignment horizontal="right"/>
    </xf>
    <xf numFmtId="49" fontId="45" fillId="2" borderId="19" xfId="0" applyNumberFormat="1" applyFont="1" applyFill="1" applyBorder="1" applyAlignment="1" applyProtection="1">
      <alignment horizontal="justify" vertical="center" wrapText="1"/>
    </xf>
    <xf numFmtId="4" fontId="77" fillId="0" borderId="8" xfId="0" applyNumberFormat="1" applyFont="1" applyFill="1" applyBorder="1"/>
    <xf numFmtId="0" fontId="72" fillId="0" borderId="0" xfId="0" applyFont="1" applyFill="1"/>
    <xf numFmtId="4" fontId="77" fillId="2" borderId="8" xfId="0" applyNumberFormat="1" applyFont="1" applyFill="1" applyBorder="1"/>
    <xf numFmtId="0" fontId="72" fillId="2" borderId="0" xfId="0" applyFont="1" applyFill="1"/>
    <xf numFmtId="49" fontId="28" fillId="0" borderId="22" xfId="0" applyNumberFormat="1" applyFont="1" applyBorder="1" applyAlignment="1" applyProtection="1">
      <alignment horizontal="center" vertical="center" wrapText="1"/>
    </xf>
    <xf numFmtId="164" fontId="28" fillId="0" borderId="26" xfId="0" applyNumberFormat="1" applyFont="1" applyBorder="1" applyAlignment="1" applyProtection="1">
      <alignment horizontal="justify" vertical="top" wrapText="1"/>
    </xf>
    <xf numFmtId="164" fontId="28" fillId="0" borderId="8" xfId="0" applyNumberFormat="1" applyFont="1" applyBorder="1" applyAlignment="1" applyProtection="1">
      <alignment horizontal="justify" vertical="center" wrapText="1"/>
    </xf>
    <xf numFmtId="164" fontId="20" fillId="0" borderId="8" xfId="0" applyNumberFormat="1" applyFont="1" applyBorder="1" applyAlignment="1" applyProtection="1">
      <alignment horizontal="justify" vertical="center" wrapText="1"/>
    </xf>
    <xf numFmtId="164" fontId="24" fillId="0" borderId="22" xfId="0" applyNumberFormat="1" applyFont="1" applyBorder="1" applyAlignment="1" applyProtection="1">
      <alignment horizontal="justify" vertical="center" wrapText="1"/>
    </xf>
    <xf numFmtId="4" fontId="23" fillId="0" borderId="25" xfId="0" applyNumberFormat="1" applyFont="1" applyBorder="1" applyAlignment="1" applyProtection="1">
      <alignment horizontal="right"/>
    </xf>
    <xf numFmtId="49" fontId="8" fillId="0" borderId="22" xfId="0" applyNumberFormat="1" applyFont="1" applyBorder="1" applyAlignment="1" applyProtection="1">
      <alignment horizontal="center" vertical="center" wrapText="1"/>
    </xf>
    <xf numFmtId="49" fontId="24" fillId="0" borderId="44" xfId="0" applyNumberFormat="1" applyFont="1" applyBorder="1" applyAlignment="1" applyProtection="1">
      <alignment horizontal="center" vertical="center" wrapText="1"/>
    </xf>
    <xf numFmtId="49" fontId="26" fillId="0" borderId="44" xfId="0" applyNumberFormat="1" applyFont="1" applyBorder="1" applyAlignment="1" applyProtection="1">
      <alignment horizontal="justify" vertical="center" wrapText="1"/>
    </xf>
    <xf numFmtId="4" fontId="23" fillId="0" borderId="44" xfId="0" applyNumberFormat="1" applyFont="1" applyBorder="1" applyAlignment="1" applyProtection="1">
      <alignment horizontal="right"/>
    </xf>
    <xf numFmtId="49" fontId="24" fillId="0" borderId="34" xfId="0" applyNumberFormat="1" applyFont="1" applyBorder="1" applyAlignment="1" applyProtection="1">
      <alignment horizontal="center" vertical="center" wrapText="1"/>
    </xf>
    <xf numFmtId="4" fontId="23" fillId="0" borderId="36" xfId="0" applyNumberFormat="1" applyFont="1" applyBorder="1" applyAlignment="1" applyProtection="1">
      <alignment horizontal="right"/>
    </xf>
    <xf numFmtId="164" fontId="26" fillId="0" borderId="39" xfId="0" applyNumberFormat="1" applyFont="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49" fontId="8" fillId="4" borderId="8" xfId="0" applyNumberFormat="1" applyFont="1" applyFill="1" applyBorder="1" applyAlignment="1">
      <alignment horizontal="justify" wrapText="1"/>
    </xf>
    <xf numFmtId="4" fontId="8" fillId="2" borderId="8" xfId="0" applyNumberFormat="1" applyFont="1" applyFill="1" applyBorder="1"/>
    <xf numFmtId="164" fontId="28" fillId="0" borderId="0" xfId="0" applyNumberFormat="1" applyFont="1" applyBorder="1" applyAlignment="1" applyProtection="1">
      <alignment horizontal="justify" vertical="center" wrapText="1"/>
    </xf>
    <xf numFmtId="49" fontId="8" fillId="0" borderId="26" xfId="0" applyNumberFormat="1" applyFont="1" applyBorder="1" applyAlignment="1" applyProtection="1">
      <alignment horizontal="right" vertical="center" wrapText="1"/>
    </xf>
    <xf numFmtId="4" fontId="28" fillId="0" borderId="26" xfId="0" applyNumberFormat="1" applyFont="1" applyBorder="1" applyAlignment="1" applyProtection="1">
      <alignment horizontal="right"/>
    </xf>
    <xf numFmtId="164" fontId="8" fillId="0" borderId="3" xfId="0" applyNumberFormat="1" applyFont="1" applyBorder="1" applyAlignment="1" applyProtection="1">
      <alignment horizontal="justify" vertical="center" wrapText="1"/>
    </xf>
    <xf numFmtId="4" fontId="24" fillId="0" borderId="8" xfId="0" applyNumberFormat="1" applyFont="1" applyBorder="1" applyAlignment="1" applyProtection="1">
      <alignment horizontal="right"/>
    </xf>
    <xf numFmtId="0" fontId="52" fillId="0" borderId="37" xfId="0" applyFont="1" applyFill="1" applyBorder="1" applyAlignment="1">
      <alignment horizontal="right"/>
    </xf>
    <xf numFmtId="164" fontId="26" fillId="0" borderId="20" xfId="0" applyNumberFormat="1" applyFont="1" applyBorder="1" applyAlignment="1" applyProtection="1">
      <alignment horizontal="justify" vertical="top" wrapText="1"/>
    </xf>
    <xf numFmtId="49" fontId="52" fillId="0" borderId="63" xfId="0" applyNumberFormat="1" applyFont="1" applyFill="1" applyBorder="1" applyAlignment="1">
      <alignment horizontal="right"/>
    </xf>
    <xf numFmtId="0" fontId="45" fillId="0" borderId="64" xfId="0" applyFont="1" applyBorder="1" applyAlignment="1">
      <alignment horizontal="justify" vertical="center" wrapText="1"/>
    </xf>
    <xf numFmtId="0" fontId="3" fillId="0" borderId="64" xfId="0" applyFont="1" applyBorder="1" applyAlignment="1">
      <alignment vertical="center"/>
    </xf>
    <xf numFmtId="49" fontId="52" fillId="0" borderId="64" xfId="0" applyNumberFormat="1" applyFont="1" applyBorder="1" applyAlignment="1">
      <alignment horizontal="left"/>
    </xf>
    <xf numFmtId="49" fontId="52" fillId="0" borderId="64" xfId="0" applyNumberFormat="1" applyFont="1" applyFill="1" applyBorder="1" applyAlignment="1">
      <alignment horizontal="right"/>
    </xf>
    <xf numFmtId="4" fontId="52" fillId="0" borderId="64" xfId="0" applyNumberFormat="1" applyFont="1" applyFill="1" applyBorder="1"/>
    <xf numFmtId="49" fontId="52" fillId="0" borderId="64" xfId="0" applyNumberFormat="1" applyFont="1" applyFill="1" applyBorder="1"/>
    <xf numFmtId="49" fontId="52" fillId="0" borderId="64" xfId="0" applyNumberFormat="1" applyFont="1" applyFill="1" applyBorder="1" applyAlignment="1">
      <alignment vertical="center"/>
    </xf>
    <xf numFmtId="0" fontId="52" fillId="0" borderId="64" xfId="0" applyFont="1" applyFill="1" applyBorder="1"/>
    <xf numFmtId="49" fontId="52" fillId="0" borderId="64" xfId="0" applyNumberFormat="1" applyFont="1" applyFill="1" applyBorder="1" applyAlignment="1">
      <alignment horizontal="right" vertical="center"/>
    </xf>
    <xf numFmtId="49" fontId="45" fillId="0" borderId="64" xfId="0" applyNumberFormat="1" applyFont="1" applyBorder="1" applyAlignment="1" applyProtection="1">
      <alignment vertical="center" wrapText="1"/>
    </xf>
    <xf numFmtId="49" fontId="52" fillId="0" borderId="64" xfId="0" applyNumberFormat="1" applyFont="1" applyBorder="1" applyAlignment="1">
      <alignment horizontal="center"/>
    </xf>
    <xf numFmtId="0" fontId="52" fillId="0" borderId="64" xfId="0" applyFont="1" applyBorder="1" applyAlignment="1">
      <alignment vertical="center"/>
    </xf>
    <xf numFmtId="4" fontId="28" fillId="0" borderId="42" xfId="0" applyNumberFormat="1" applyFont="1" applyBorder="1" applyAlignment="1" applyProtection="1">
      <alignment horizontal="right"/>
    </xf>
    <xf numFmtId="49" fontId="26" fillId="0" borderId="64" xfId="0" applyNumberFormat="1" applyFont="1" applyBorder="1" applyAlignment="1" applyProtection="1">
      <alignment horizontal="center" vertical="center" wrapText="1"/>
    </xf>
    <xf numFmtId="49" fontId="26" fillId="0" borderId="64" xfId="0" applyNumberFormat="1" applyFont="1" applyBorder="1" applyAlignment="1" applyProtection="1">
      <alignment horizontal="right" vertical="center" wrapText="1"/>
    </xf>
    <xf numFmtId="49" fontId="26" fillId="0" borderId="64" xfId="0" applyNumberFormat="1" applyFont="1" applyBorder="1" applyAlignment="1" applyProtection="1">
      <alignment horizontal="justify" vertical="center" wrapText="1"/>
    </xf>
    <xf numFmtId="4" fontId="28" fillId="2" borderId="64" xfId="0" applyNumberFormat="1" applyFont="1" applyFill="1" applyBorder="1" applyAlignment="1" applyProtection="1">
      <alignment horizontal="right"/>
    </xf>
    <xf numFmtId="49" fontId="26" fillId="0" borderId="17" xfId="0" applyNumberFormat="1" applyFont="1" applyBorder="1" applyAlignment="1" applyProtection="1">
      <alignment horizontal="justify" vertical="center" wrapText="1"/>
    </xf>
    <xf numFmtId="49" fontId="28" fillId="0" borderId="64" xfId="0" applyNumberFormat="1" applyFont="1" applyBorder="1" applyAlignment="1" applyProtection="1">
      <alignment horizontal="center" vertical="center" wrapText="1"/>
    </xf>
    <xf numFmtId="49" fontId="52" fillId="0" borderId="64" xfId="0" applyNumberFormat="1" applyFont="1" applyFill="1" applyBorder="1" applyAlignment="1"/>
    <xf numFmtId="49" fontId="8" fillId="0" borderId="64" xfId="0" applyNumberFormat="1" applyFont="1" applyBorder="1" applyAlignment="1" applyProtection="1">
      <alignment horizontal="justify" vertical="center" wrapText="1"/>
    </xf>
    <xf numFmtId="4" fontId="28" fillId="0" borderId="44" xfId="0" applyNumberFormat="1" applyFont="1" applyBorder="1" applyAlignment="1" applyProtection="1">
      <alignment horizontal="right"/>
    </xf>
    <xf numFmtId="4" fontId="52" fillId="0" borderId="64" xfId="0" applyNumberFormat="1" applyFont="1" applyBorder="1"/>
    <xf numFmtId="0" fontId="1" fillId="0" borderId="17" xfId="0" applyFont="1" applyBorder="1" applyAlignment="1">
      <alignment horizontal="right"/>
    </xf>
    <xf numFmtId="164" fontId="45" fillId="0" borderId="64" xfId="0" applyNumberFormat="1" applyFont="1" applyBorder="1" applyAlignment="1" applyProtection="1">
      <alignment horizontal="justify" vertical="center" wrapText="1"/>
    </xf>
    <xf numFmtId="0" fontId="52" fillId="0" borderId="64" xfId="0" applyFont="1" applyBorder="1" applyAlignment="1">
      <alignment horizontal="right"/>
    </xf>
    <xf numFmtId="49" fontId="42" fillId="0" borderId="64" xfId="0" applyNumberFormat="1" applyFont="1" applyFill="1" applyBorder="1" applyAlignment="1">
      <alignment horizontal="center" wrapText="1"/>
    </xf>
    <xf numFmtId="0" fontId="42" fillId="0" borderId="64" xfId="0" applyFont="1" applyFill="1" applyBorder="1" applyAlignment="1">
      <alignment horizontal="justify" wrapText="1"/>
    </xf>
    <xf numFmtId="4" fontId="42" fillId="0" borderId="63" xfId="0" applyNumberFormat="1" applyFont="1" applyFill="1" applyBorder="1" applyAlignment="1">
      <alignment horizontal="right" wrapText="1"/>
    </xf>
    <xf numFmtId="4" fontId="8" fillId="0" borderId="64" xfId="0" applyNumberFormat="1" applyFont="1" applyFill="1" applyBorder="1"/>
    <xf numFmtId="4" fontId="77" fillId="0" borderId="64" xfId="0" applyNumberFormat="1" applyFont="1" applyFill="1" applyBorder="1"/>
    <xf numFmtId="0" fontId="45" fillId="0" borderId="0" xfId="0" applyFont="1" applyAlignment="1">
      <alignment wrapText="1"/>
    </xf>
    <xf numFmtId="0" fontId="3" fillId="0" borderId="64" xfId="0" applyFont="1" applyBorder="1" applyAlignment="1">
      <alignment horizontal="right" vertical="center"/>
    </xf>
    <xf numFmtId="4" fontId="3" fillId="0" borderId="64" xfId="0" applyNumberFormat="1" applyFont="1" applyBorder="1"/>
    <xf numFmtId="0" fontId="1" fillId="0" borderId="66" xfId="0" applyFont="1" applyBorder="1" applyAlignment="1">
      <alignment horizontal="right"/>
    </xf>
    <xf numFmtId="4" fontId="1" fillId="0" borderId="66" xfId="0" applyNumberFormat="1" applyFont="1" applyFill="1" applyBorder="1"/>
    <xf numFmtId="49" fontId="51" fillId="0" borderId="64" xfId="0" applyNumberFormat="1" applyFont="1" applyBorder="1"/>
    <xf numFmtId="4" fontId="52" fillId="0" borderId="64" xfId="0" applyNumberFormat="1" applyFont="1" applyFill="1" applyBorder="1" applyAlignment="1">
      <alignment horizontal="right"/>
    </xf>
    <xf numFmtId="49" fontId="52" fillId="0" borderId="16" xfId="0" applyNumberFormat="1" applyFont="1" applyFill="1" applyBorder="1" applyAlignment="1">
      <alignment horizontal="right"/>
    </xf>
    <xf numFmtId="0" fontId="45" fillId="0" borderId="64" xfId="0" applyFont="1" applyBorder="1" applyAlignment="1">
      <alignment horizontal="justify" wrapText="1"/>
    </xf>
    <xf numFmtId="49" fontId="8" fillId="0" borderId="23" xfId="0" applyNumberFormat="1" applyFont="1" applyBorder="1" applyAlignment="1" applyProtection="1">
      <alignment horizontal="right" vertical="center" wrapText="1"/>
    </xf>
    <xf numFmtId="49" fontId="8" fillId="0" borderId="23" xfId="0" applyNumberFormat="1" applyFont="1" applyBorder="1" applyAlignment="1" applyProtection="1">
      <alignment horizontal="justify" vertical="center" wrapText="1"/>
    </xf>
    <xf numFmtId="0" fontId="45" fillId="0" borderId="64" xfId="0" applyFont="1" applyBorder="1" applyAlignment="1">
      <alignment horizontal="justify"/>
    </xf>
    <xf numFmtId="49" fontId="55" fillId="0" borderId="8" xfId="0" applyNumberFormat="1" applyFont="1" applyFill="1" applyBorder="1" applyAlignment="1">
      <alignment horizontal="right"/>
    </xf>
    <xf numFmtId="49" fontId="55" fillId="0" borderId="14" xfId="0" applyNumberFormat="1" applyFont="1" applyFill="1" applyBorder="1" applyAlignment="1">
      <alignment horizontal="right"/>
    </xf>
    <xf numFmtId="49" fontId="55" fillId="0" borderId="63" xfId="0" applyNumberFormat="1" applyFont="1" applyFill="1" applyBorder="1" applyAlignment="1">
      <alignment horizontal="right"/>
    </xf>
    <xf numFmtId="0" fontId="1" fillId="0" borderId="64" xfId="0" applyFont="1" applyBorder="1" applyAlignment="1">
      <alignment vertical="center"/>
    </xf>
    <xf numFmtId="49" fontId="52" fillId="0" borderId="2" xfId="0" applyNumberFormat="1" applyFont="1" applyFill="1" applyBorder="1" applyAlignment="1"/>
    <xf numFmtId="0" fontId="8" fillId="0" borderId="64" xfId="0" applyFont="1" applyBorder="1" applyAlignment="1">
      <alignment horizontal="justify" vertical="center" wrapText="1"/>
    </xf>
    <xf numFmtId="0" fontId="26" fillId="0" borderId="64" xfId="0" applyFont="1" applyBorder="1" applyAlignment="1">
      <alignment horizontal="justify" vertical="center" wrapText="1"/>
    </xf>
    <xf numFmtId="0" fontId="1" fillId="0" borderId="64" xfId="0" applyFont="1" applyFill="1" applyBorder="1" applyAlignment="1"/>
    <xf numFmtId="14" fontId="1" fillId="0" borderId="64" xfId="0" applyNumberFormat="1" applyFont="1" applyFill="1" applyBorder="1" applyAlignment="1">
      <alignment wrapText="1"/>
    </xf>
    <xf numFmtId="49" fontId="1" fillId="0" borderId="64" xfId="0" applyNumberFormat="1" applyFont="1" applyFill="1" applyBorder="1" applyAlignment="1">
      <alignment horizontal="right" wrapText="1"/>
    </xf>
    <xf numFmtId="4" fontId="1" fillId="0" borderId="64" xfId="0" applyNumberFormat="1" applyFont="1" applyFill="1" applyBorder="1"/>
    <xf numFmtId="49" fontId="52" fillId="0" borderId="5" xfId="0" applyNumberFormat="1" applyFont="1" applyBorder="1" applyAlignment="1">
      <alignment horizontal="center"/>
    </xf>
    <xf numFmtId="49" fontId="52" fillId="0" borderId="8" xfId="0" applyNumberFormat="1" applyFont="1" applyBorder="1" applyAlignment="1">
      <alignment horizontal="center"/>
    </xf>
    <xf numFmtId="164" fontId="28" fillId="0" borderId="20" xfId="0" applyNumberFormat="1" applyFont="1" applyBorder="1" applyAlignment="1" applyProtection="1">
      <alignment horizontal="justify" vertical="center" wrapText="1"/>
    </xf>
    <xf numFmtId="4" fontId="28" fillId="0" borderId="64" xfId="0" applyNumberFormat="1" applyFont="1" applyBorder="1" applyAlignment="1" applyProtection="1">
      <alignment horizontal="right"/>
    </xf>
    <xf numFmtId="4" fontId="28" fillId="2" borderId="2" xfId="0" applyNumberFormat="1" applyFont="1" applyFill="1" applyBorder="1" applyAlignment="1" applyProtection="1">
      <alignment horizontal="right"/>
    </xf>
    <xf numFmtId="4" fontId="20" fillId="0" borderId="23" xfId="0" applyNumberFormat="1" applyFont="1" applyBorder="1" applyAlignment="1" applyProtection="1">
      <alignment horizontal="right"/>
    </xf>
    <xf numFmtId="4" fontId="20" fillId="0" borderId="26" xfId="0" applyNumberFormat="1" applyFont="1" applyBorder="1" applyAlignment="1" applyProtection="1">
      <alignment horizontal="right"/>
    </xf>
    <xf numFmtId="0" fontId="3" fillId="0" borderId="64" xfId="0" applyFont="1" applyFill="1" applyBorder="1" applyAlignment="1">
      <alignment vertical="center"/>
    </xf>
    <xf numFmtId="49" fontId="8" fillId="2" borderId="64" xfId="0" applyNumberFormat="1" applyFont="1" applyFill="1" applyBorder="1" applyAlignment="1">
      <alignment horizontal="center" wrapText="1"/>
    </xf>
    <xf numFmtId="0" fontId="8" fillId="2" borderId="64" xfId="0" applyFont="1" applyFill="1" applyBorder="1" applyAlignment="1">
      <alignment horizontal="justify" wrapText="1"/>
    </xf>
    <xf numFmtId="4" fontId="8" fillId="2" borderId="63" xfId="0" applyNumberFormat="1" applyFont="1" applyFill="1" applyBorder="1" applyAlignment="1">
      <alignment horizontal="right" wrapText="1"/>
    </xf>
    <xf numFmtId="49" fontId="8" fillId="0" borderId="64" xfId="0" applyNumberFormat="1" applyFont="1" applyFill="1" applyBorder="1" applyAlignment="1">
      <alignment horizontal="center" wrapText="1"/>
    </xf>
    <xf numFmtId="0" fontId="8" fillId="0" borderId="64" xfId="0" applyFont="1" applyFill="1" applyBorder="1" applyAlignment="1">
      <alignment horizontal="justify" wrapText="1"/>
    </xf>
    <xf numFmtId="4" fontId="8" fillId="0" borderId="63" xfId="0" applyNumberFormat="1" applyFont="1" applyFill="1" applyBorder="1" applyAlignment="1">
      <alignment horizontal="right" wrapText="1"/>
    </xf>
    <xf numFmtId="0" fontId="52" fillId="0" borderId="64" xfId="0" applyFont="1" applyBorder="1" applyAlignment="1">
      <alignment horizontal="right" vertical="center"/>
    </xf>
    <xf numFmtId="49" fontId="20" fillId="0" borderId="20"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center" vertical="center" wrapText="1"/>
    </xf>
    <xf numFmtId="164" fontId="26" fillId="0" borderId="26" xfId="0" applyNumberFormat="1" applyFont="1" applyBorder="1" applyAlignment="1" applyProtection="1">
      <alignment horizontal="justify" vertical="center" wrapText="1"/>
    </xf>
    <xf numFmtId="0" fontId="37" fillId="0" borderId="64" xfId="0" applyFont="1" applyBorder="1" applyAlignment="1">
      <alignment horizontal="justify" vertical="center" wrapText="1"/>
    </xf>
    <xf numFmtId="0" fontId="8" fillId="0" borderId="2" xfId="0" applyFont="1" applyFill="1" applyBorder="1" applyAlignment="1">
      <alignment horizontal="justify" vertical="center" wrapText="1"/>
    </xf>
    <xf numFmtId="0" fontId="8" fillId="0" borderId="64" xfId="0" applyFont="1" applyFill="1" applyBorder="1" applyAlignment="1">
      <alignment horizontal="justify" vertical="center" wrapText="1"/>
    </xf>
    <xf numFmtId="0" fontId="26" fillId="0" borderId="64"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8" fillId="0" borderId="2" xfId="0" applyFont="1" applyFill="1" applyBorder="1" applyAlignment="1">
      <alignment horizontal="justify" wrapText="1"/>
    </xf>
    <xf numFmtId="49" fontId="28" fillId="0" borderId="62" xfId="0" applyNumberFormat="1" applyFont="1" applyBorder="1" applyAlignment="1" applyProtection="1">
      <alignment horizontal="justify" vertical="center" wrapText="1"/>
    </xf>
    <xf numFmtId="49" fontId="28" fillId="0" borderId="19" xfId="0" applyNumberFormat="1" applyFont="1" applyFill="1" applyBorder="1" applyAlignment="1" applyProtection="1">
      <alignment horizontal="justify" vertical="center" wrapText="1"/>
    </xf>
    <xf numFmtId="49" fontId="28" fillId="0" borderId="26" xfId="0" applyNumberFormat="1" applyFont="1" applyBorder="1" applyAlignment="1" applyProtection="1">
      <alignment horizontal="justify" vertical="center" wrapText="1"/>
    </xf>
    <xf numFmtId="49" fontId="28" fillId="0" borderId="19" xfId="0" applyNumberFormat="1" applyFont="1" applyBorder="1" applyAlignment="1" applyProtection="1">
      <alignment horizontal="justify" vertical="center" wrapText="1"/>
    </xf>
    <xf numFmtId="0" fontId="3" fillId="0" borderId="17" xfId="0" applyFont="1" applyBorder="1" applyAlignment="1">
      <alignment horizontal="right" vertical="center"/>
    </xf>
    <xf numFmtId="49" fontId="52" fillId="0" borderId="2" xfId="0" applyNumberFormat="1" applyFont="1" applyFill="1" applyBorder="1" applyAlignment="1">
      <alignment horizontal="center"/>
    </xf>
    <xf numFmtId="49" fontId="52" fillId="0" borderId="64" xfId="0" applyNumberFormat="1" applyFont="1" applyFill="1" applyBorder="1" applyAlignment="1">
      <alignment horizontal="center"/>
    </xf>
    <xf numFmtId="49" fontId="45" fillId="0" borderId="64" xfId="0" applyNumberFormat="1" applyFont="1" applyBorder="1" applyAlignment="1" applyProtection="1">
      <alignment horizontal="justify" vertical="center" wrapText="1"/>
    </xf>
    <xf numFmtId="49" fontId="52" fillId="0" borderId="64" xfId="0" applyNumberFormat="1" applyFont="1" applyBorder="1" applyAlignment="1"/>
    <xf numFmtId="49" fontId="52" fillId="0" borderId="64" xfId="0" applyNumberFormat="1" applyFont="1" applyBorder="1" applyAlignment="1">
      <alignment vertical="center"/>
    </xf>
    <xf numFmtId="0" fontId="3" fillId="0" borderId="64" xfId="0" applyFont="1" applyBorder="1" applyAlignment="1">
      <alignment horizontal="right"/>
    </xf>
    <xf numFmtId="4" fontId="37" fillId="0" borderId="64" xfId="0" applyNumberFormat="1" applyFont="1" applyFill="1" applyBorder="1"/>
    <xf numFmtId="0" fontId="1" fillId="0" borderId="0" xfId="0" applyFont="1" applyAlignment="1">
      <alignment horizontal="right"/>
    </xf>
    <xf numFmtId="49" fontId="45" fillId="0" borderId="64" xfId="0" applyNumberFormat="1" applyFont="1" applyBorder="1" applyAlignment="1" applyProtection="1">
      <alignment horizontal="justify" vertical="center" wrapText="1"/>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2" xfId="0" applyNumberFormat="1" applyFont="1" applyFill="1" applyBorder="1" applyAlignment="1">
      <alignment horizontal="center"/>
    </xf>
    <xf numFmtId="0" fontId="1" fillId="0" borderId="64" xfId="0" applyFont="1" applyFill="1" applyBorder="1" applyAlignment="1">
      <alignment horizontal="center"/>
    </xf>
    <xf numFmtId="0" fontId="3" fillId="0" borderId="64" xfId="0" applyFont="1" applyBorder="1" applyAlignment="1">
      <alignment horizontal="center"/>
    </xf>
    <xf numFmtId="49" fontId="51" fillId="0" borderId="64" xfId="0" applyNumberFormat="1" applyFont="1" applyFill="1" applyBorder="1"/>
    <xf numFmtId="4" fontId="45" fillId="0" borderId="64" xfId="0" applyNumberFormat="1" applyFont="1" applyFill="1" applyBorder="1"/>
    <xf numFmtId="4" fontId="1" fillId="0" borderId="64" xfId="0" applyNumberFormat="1" applyFont="1" applyBorder="1"/>
    <xf numFmtId="164" fontId="77" fillId="0" borderId="64" xfId="0" applyNumberFormat="1" applyFont="1" applyFill="1" applyBorder="1" applyAlignment="1">
      <alignment horizontal="justify" wrapText="1"/>
    </xf>
    <xf numFmtId="0" fontId="3" fillId="0" borderId="64" xfId="0" applyFont="1" applyBorder="1"/>
    <xf numFmtId="4" fontId="2" fillId="0" borderId="64" xfId="0" applyNumberFormat="1" applyFont="1" applyFill="1" applyBorder="1"/>
    <xf numFmtId="0" fontId="52" fillId="0" borderId="64" xfId="0" applyFont="1" applyBorder="1" applyAlignment="1">
      <alignment wrapText="1"/>
    </xf>
    <xf numFmtId="0" fontId="3" fillId="0" borderId="64" xfId="0" applyFont="1" applyBorder="1" applyAlignment="1">
      <alignment horizontal="center" vertical="center"/>
    </xf>
    <xf numFmtId="0" fontId="51" fillId="0" borderId="64" xfId="0" applyFont="1" applyBorder="1" applyAlignment="1">
      <alignment wrapText="1"/>
    </xf>
    <xf numFmtId="0" fontId="1" fillId="0" borderId="64" xfId="0" applyFont="1" applyBorder="1" applyAlignment="1">
      <alignment wrapText="1"/>
    </xf>
    <xf numFmtId="0" fontId="1" fillId="0" borderId="64" xfId="0" applyFont="1" applyBorder="1" applyAlignment="1">
      <alignment horizontal="right"/>
    </xf>
    <xf numFmtId="49" fontId="54" fillId="0" borderId="64" xfId="0" applyNumberFormat="1" applyFont="1" applyFill="1" applyBorder="1"/>
    <xf numFmtId="4" fontId="3" fillId="0" borderId="64" xfId="0" applyNumberFormat="1" applyFont="1" applyFill="1" applyBorder="1"/>
    <xf numFmtId="0" fontId="51" fillId="0" borderId="64" xfId="0" applyFont="1" applyFill="1" applyBorder="1" applyAlignment="1">
      <alignment wrapText="1"/>
    </xf>
    <xf numFmtId="0" fontId="1" fillId="0" borderId="64" xfId="0" applyFont="1" applyBorder="1"/>
    <xf numFmtId="0" fontId="52" fillId="0" borderId="63" xfId="0" applyFont="1" applyFill="1" applyBorder="1" applyAlignment="1">
      <alignment horizontal="right"/>
    </xf>
    <xf numFmtId="0" fontId="52" fillId="0" borderId="64" xfId="0" applyFont="1" applyFill="1" applyBorder="1" applyAlignment="1">
      <alignment horizontal="right"/>
    </xf>
    <xf numFmtId="49" fontId="52" fillId="0" borderId="64" xfId="0" applyNumberFormat="1" applyFont="1" applyBorder="1" applyAlignment="1">
      <alignment horizontal="right"/>
    </xf>
    <xf numFmtId="49" fontId="52" fillId="0" borderId="64" xfId="0" applyNumberFormat="1" applyFont="1" applyFill="1" applyBorder="1" applyAlignment="1">
      <alignment horizontal="left"/>
    </xf>
    <xf numFmtId="49" fontId="1" fillId="0" borderId="64" xfId="0" applyNumberFormat="1" applyFont="1" applyFill="1" applyBorder="1"/>
    <xf numFmtId="49" fontId="1" fillId="0" borderId="64" xfId="0" applyNumberFormat="1" applyFont="1" applyFill="1" applyBorder="1" applyAlignment="1">
      <alignment horizontal="right"/>
    </xf>
    <xf numFmtId="0" fontId="1" fillId="0" borderId="64" xfId="0" applyFont="1" applyFill="1" applyBorder="1" applyAlignment="1">
      <alignment wrapText="1"/>
    </xf>
    <xf numFmtId="0" fontId="1" fillId="0" borderId="64" xfId="0" applyFont="1" applyFill="1" applyBorder="1" applyAlignment="1">
      <alignment horizontal="left"/>
    </xf>
    <xf numFmtId="0" fontId="1" fillId="0" borderId="64" xfId="0" applyFont="1" applyFill="1" applyBorder="1"/>
    <xf numFmtId="49" fontId="1" fillId="0" borderId="64" xfId="0" applyNumberFormat="1" applyFont="1" applyFill="1" applyBorder="1" applyAlignment="1">
      <alignment horizontal="center"/>
    </xf>
    <xf numFmtId="0" fontId="3" fillId="0" borderId="64" xfId="0" applyFont="1" applyBorder="1" applyAlignment="1"/>
    <xf numFmtId="0" fontId="52" fillId="0" borderId="64" xfId="0" applyFont="1" applyBorder="1" applyAlignment="1"/>
    <xf numFmtId="49" fontId="45" fillId="2" borderId="64" xfId="0" applyNumberFormat="1" applyFont="1" applyFill="1" applyBorder="1" applyAlignment="1" applyProtection="1">
      <alignment horizontal="justify" vertical="center" wrapText="1"/>
    </xf>
    <xf numFmtId="49" fontId="45" fillId="0" borderId="64" xfId="0" applyNumberFormat="1" applyFont="1" applyBorder="1" applyAlignment="1" applyProtection="1">
      <alignment vertical="top" wrapText="1"/>
    </xf>
    <xf numFmtId="0" fontId="1" fillId="0" borderId="64" xfId="0" applyFont="1" applyBorder="1" applyAlignment="1">
      <alignment horizontal="right" vertical="center"/>
    </xf>
    <xf numFmtId="49" fontId="51" fillId="0" borderId="64" xfId="0" applyNumberFormat="1" applyFont="1" applyFill="1" applyBorder="1" applyAlignment="1">
      <alignment horizontal="right"/>
    </xf>
    <xf numFmtId="49" fontId="56" fillId="0" borderId="64" xfId="0" applyNumberFormat="1" applyFont="1" applyFill="1" applyBorder="1"/>
    <xf numFmtId="0" fontId="56" fillId="0" borderId="64" xfId="0" applyFont="1" applyFill="1" applyBorder="1" applyAlignment="1">
      <alignment wrapText="1"/>
    </xf>
    <xf numFmtId="4" fontId="56" fillId="0" borderId="64" xfId="0" applyNumberFormat="1" applyFont="1" applyFill="1" applyBorder="1"/>
    <xf numFmtId="0" fontId="1" fillId="0" borderId="64" xfId="0" applyFont="1" applyBorder="1" applyAlignment="1">
      <alignment horizontal="center" vertical="center"/>
    </xf>
    <xf numFmtId="0" fontId="3" fillId="3" borderId="64" xfId="0" applyFont="1" applyFill="1" applyBorder="1" applyAlignment="1">
      <alignment horizontal="center"/>
    </xf>
    <xf numFmtId="49" fontId="51" fillId="3" borderId="64" xfId="0" applyNumberFormat="1" applyFont="1" applyFill="1" applyBorder="1"/>
    <xf numFmtId="0" fontId="51" fillId="3" borderId="64" xfId="0" applyFont="1" applyFill="1" applyBorder="1" applyAlignment="1">
      <alignment wrapText="1"/>
    </xf>
    <xf numFmtId="4" fontId="1" fillId="3" borderId="64" xfId="0" applyNumberFormat="1" applyFont="1" applyFill="1" applyBorder="1"/>
    <xf numFmtId="4" fontId="3" fillId="3" borderId="64" xfId="0" applyNumberFormat="1" applyFont="1" applyFill="1" applyBorder="1"/>
    <xf numFmtId="49" fontId="2" fillId="0" borderId="64" xfId="0" applyNumberFormat="1" applyFont="1" applyFill="1" applyBorder="1" applyAlignment="1">
      <alignment horizontal="center"/>
    </xf>
    <xf numFmtId="4" fontId="0" fillId="0" borderId="0" xfId="0" applyNumberFormat="1" applyFont="1"/>
    <xf numFmtId="164" fontId="24" fillId="0" borderId="23" xfId="0" applyNumberFormat="1" applyFont="1" applyBorder="1" applyAlignment="1" applyProtection="1">
      <alignment horizontal="justify" vertical="center" wrapText="1"/>
    </xf>
    <xf numFmtId="49" fontId="47" fillId="0" borderId="64" xfId="0" applyNumberFormat="1" applyFont="1" applyFill="1" applyBorder="1" applyAlignment="1">
      <alignment horizontal="justify" wrapText="1"/>
    </xf>
    <xf numFmtId="4" fontId="28" fillId="0" borderId="45" xfId="0" applyNumberFormat="1" applyFont="1" applyBorder="1" applyAlignment="1" applyProtection="1">
      <alignment horizontal="right"/>
    </xf>
    <xf numFmtId="4" fontId="8" fillId="0" borderId="63" xfId="0" applyNumberFormat="1" applyFont="1" applyFill="1" applyBorder="1"/>
    <xf numFmtId="49" fontId="45" fillId="0" borderId="64" xfId="0" applyNumberFormat="1" applyFont="1" applyFill="1" applyBorder="1" applyAlignment="1">
      <alignment horizontal="justify" wrapText="1"/>
    </xf>
    <xf numFmtId="0" fontId="1" fillId="0" borderId="66" xfId="0" applyFont="1" applyBorder="1" applyAlignment="1">
      <alignment vertical="center"/>
    </xf>
    <xf numFmtId="4" fontId="1" fillId="0" borderId="66" xfId="0" applyNumberFormat="1" applyFont="1" applyBorder="1"/>
    <xf numFmtId="49" fontId="55" fillId="0" borderId="64" xfId="0" applyNumberFormat="1" applyFont="1" applyFill="1" applyBorder="1" applyAlignment="1"/>
    <xf numFmtId="49" fontId="55" fillId="0" borderId="64" xfId="0" applyNumberFormat="1" applyFont="1" applyFill="1" applyBorder="1" applyAlignment="1">
      <alignment horizontal="center"/>
    </xf>
    <xf numFmtId="49" fontId="54" fillId="0" borderId="64" xfId="0" applyNumberFormat="1" applyFont="1" applyFill="1" applyBorder="1" applyAlignment="1">
      <alignment horizontal="right"/>
    </xf>
    <xf numFmtId="49" fontId="41" fillId="0" borderId="0" xfId="0" applyNumberFormat="1" applyFont="1" applyBorder="1" applyAlignment="1" applyProtection="1">
      <alignment horizontal="justify" vertical="center" wrapText="1"/>
    </xf>
    <xf numFmtId="49" fontId="8" fillId="0" borderId="17" xfId="0" applyNumberFormat="1" applyFont="1" applyBorder="1" applyAlignment="1" applyProtection="1">
      <alignment horizontal="justify" vertical="center" wrapText="1"/>
    </xf>
    <xf numFmtId="49" fontId="28" fillId="0" borderId="49" xfId="0" applyNumberFormat="1" applyFont="1" applyBorder="1" applyAlignment="1" applyProtection="1">
      <alignment horizontal="center" vertical="center" wrapText="1"/>
    </xf>
    <xf numFmtId="49" fontId="28" fillId="0" borderId="39" xfId="0" applyNumberFormat="1" applyFont="1" applyBorder="1" applyAlignment="1" applyProtection="1">
      <alignment horizontal="center" vertical="center" wrapText="1"/>
    </xf>
    <xf numFmtId="49" fontId="20" fillId="0" borderId="39" xfId="0" applyNumberFormat="1" applyFont="1" applyBorder="1" applyAlignment="1" applyProtection="1">
      <alignment horizontal="center" vertical="center" wrapText="1"/>
    </xf>
    <xf numFmtId="0" fontId="57" fillId="0" borderId="17" xfId="0" applyFont="1" applyBorder="1"/>
    <xf numFmtId="4" fontId="58" fillId="0" borderId="17" xfId="0" applyNumberFormat="1" applyFont="1" applyBorder="1"/>
    <xf numFmtId="0" fontId="58" fillId="0" borderId="17" xfId="0" applyFont="1" applyBorder="1"/>
    <xf numFmtId="49" fontId="8" fillId="0" borderId="64" xfId="0" applyNumberFormat="1" applyFont="1" applyBorder="1" applyAlignment="1" applyProtection="1">
      <alignment horizontal="center" vertical="center" wrapText="1"/>
    </xf>
    <xf numFmtId="49" fontId="8" fillId="0" borderId="64" xfId="0" applyNumberFormat="1" applyFont="1" applyBorder="1" applyAlignment="1" applyProtection="1">
      <alignment horizontal="right" vertical="center" wrapText="1"/>
    </xf>
    <xf numFmtId="4" fontId="20" fillId="0" borderId="64" xfId="0" applyNumberFormat="1" applyFont="1" applyBorder="1" applyAlignment="1" applyProtection="1">
      <alignment horizontal="right"/>
    </xf>
    <xf numFmtId="164" fontId="8" fillId="0" borderId="19" xfId="0" applyNumberFormat="1" applyFont="1" applyBorder="1" applyAlignment="1" applyProtection="1">
      <alignment horizontal="justify" vertical="top" wrapText="1"/>
    </xf>
    <xf numFmtId="49" fontId="41" fillId="0" borderId="70" xfId="0" applyNumberFormat="1" applyFont="1" applyBorder="1" applyAlignment="1" applyProtection="1">
      <alignment horizontal="justify" vertical="center" wrapText="1"/>
    </xf>
    <xf numFmtId="164" fontId="28" fillId="0" borderId="2" xfId="0" applyNumberFormat="1" applyFont="1" applyBorder="1" applyAlignment="1" applyProtection="1">
      <alignment horizontal="justify" vertical="center" wrapText="1"/>
    </xf>
    <xf numFmtId="164" fontId="8" fillId="0" borderId="26" xfId="0" applyNumberFormat="1" applyFont="1" applyBorder="1" applyAlignment="1" applyProtection="1">
      <alignment horizontal="justify" vertical="top" wrapText="1"/>
    </xf>
    <xf numFmtId="49" fontId="8" fillId="0" borderId="17" xfId="0" applyNumberFormat="1" applyFont="1" applyBorder="1" applyAlignment="1" applyProtection="1">
      <alignment horizontal="center" vertical="center" wrapText="1"/>
    </xf>
    <xf numFmtId="49" fontId="8" fillId="0" borderId="17" xfId="0" applyNumberFormat="1" applyFont="1" applyBorder="1" applyAlignment="1" applyProtection="1">
      <alignment horizontal="right" vertical="center" wrapText="1"/>
    </xf>
    <xf numFmtId="4" fontId="20" fillId="0" borderId="17" xfId="0" applyNumberFormat="1" applyFont="1" applyBorder="1" applyAlignment="1" applyProtection="1">
      <alignment horizontal="right"/>
    </xf>
    <xf numFmtId="4" fontId="28" fillId="0" borderId="17" xfId="0" applyNumberFormat="1" applyFont="1" applyBorder="1" applyAlignment="1" applyProtection="1">
      <alignment horizontal="right"/>
    </xf>
    <xf numFmtId="49" fontId="20" fillId="0" borderId="64" xfId="0" applyNumberFormat="1" applyFont="1" applyBorder="1" applyAlignment="1" applyProtection="1">
      <alignment horizontal="center" vertical="center" wrapText="1"/>
    </xf>
    <xf numFmtId="0" fontId="8" fillId="0" borderId="64" xfId="0" applyFont="1" applyBorder="1" applyAlignment="1">
      <alignment horizontal="justify" wrapText="1"/>
    </xf>
    <xf numFmtId="49" fontId="31" fillId="0" borderId="20" xfId="0" applyNumberFormat="1" applyFont="1" applyBorder="1" applyAlignment="1" applyProtection="1">
      <alignment horizontal="center" vertical="center" wrapText="1"/>
    </xf>
    <xf numFmtId="4" fontId="26" fillId="0" borderId="64" xfId="0" applyNumberFormat="1" applyFont="1" applyFill="1" applyBorder="1"/>
    <xf numFmtId="49" fontId="52" fillId="0" borderId="8" xfId="0" applyNumberFormat="1" applyFont="1" applyBorder="1"/>
    <xf numFmtId="49" fontId="52" fillId="0" borderId="64" xfId="0" applyNumberFormat="1" applyFont="1" applyBorder="1"/>
    <xf numFmtId="0" fontId="45" fillId="0" borderId="0" xfId="0" applyFont="1" applyFill="1" applyAlignment="1">
      <alignment wrapText="1"/>
    </xf>
    <xf numFmtId="0" fontId="45" fillId="0" borderId="64" xfId="0" applyFont="1" applyFill="1" applyBorder="1" applyAlignment="1">
      <alignment horizontal="justify" wrapText="1"/>
    </xf>
    <xf numFmtId="49" fontId="52" fillId="0" borderId="17" xfId="0" applyNumberFormat="1" applyFont="1" applyFill="1" applyBorder="1" applyAlignment="1">
      <alignment horizontal="center"/>
    </xf>
    <xf numFmtId="49" fontId="26" fillId="2" borderId="23" xfId="0" applyNumberFormat="1" applyFont="1" applyFill="1" applyBorder="1" applyAlignment="1" applyProtection="1">
      <alignment horizontal="center" vertical="center" wrapText="1"/>
    </xf>
    <xf numFmtId="49" fontId="52" fillId="0" borderId="16" xfId="0" applyNumberFormat="1" applyFont="1" applyFill="1" applyBorder="1"/>
    <xf numFmtId="0" fontId="52" fillId="0" borderId="64" xfId="0" applyFont="1" applyFill="1" applyBorder="1" applyAlignment="1"/>
    <xf numFmtId="49" fontId="51" fillId="0" borderId="8" xfId="0" applyNumberFormat="1" applyFont="1" applyBorder="1" applyAlignment="1">
      <alignment horizontal="right"/>
    </xf>
    <xf numFmtId="49" fontId="8" fillId="0" borderId="20" xfId="0" applyNumberFormat="1" applyFont="1" applyBorder="1" applyAlignment="1" applyProtection="1">
      <alignment horizontal="center" vertical="center" wrapText="1"/>
    </xf>
    <xf numFmtId="164" fontId="8" fillId="0" borderId="64" xfId="0" applyNumberFormat="1" applyFont="1" applyBorder="1" applyAlignment="1" applyProtection="1">
      <alignment horizontal="justify" vertical="center" wrapText="1"/>
    </xf>
    <xf numFmtId="164" fontId="26" fillId="0" borderId="64" xfId="0" applyNumberFormat="1" applyFont="1" applyBorder="1" applyAlignment="1" applyProtection="1">
      <alignment horizontal="justify" vertical="center" wrapText="1"/>
    </xf>
    <xf numFmtId="164" fontId="23" fillId="0" borderId="22" xfId="0" applyNumberFormat="1" applyFont="1" applyBorder="1" applyAlignment="1" applyProtection="1">
      <alignment horizontal="justify" vertical="center" wrapText="1"/>
    </xf>
    <xf numFmtId="49" fontId="55" fillId="0" borderId="64" xfId="0" applyNumberFormat="1" applyFont="1" applyFill="1" applyBorder="1"/>
    <xf numFmtId="49" fontId="45" fillId="0" borderId="40" xfId="0" applyNumberFormat="1" applyFont="1" applyBorder="1" applyAlignment="1" applyProtection="1">
      <alignment vertical="center" wrapText="1"/>
    </xf>
    <xf numFmtId="49" fontId="54" fillId="0" borderId="2" xfId="0" applyNumberFormat="1" applyFont="1" applyFill="1" applyBorder="1"/>
    <xf numFmtId="49" fontId="54" fillId="0" borderId="2" xfId="0" applyNumberFormat="1" applyFont="1" applyFill="1" applyBorder="1" applyAlignment="1"/>
    <xf numFmtId="49" fontId="54" fillId="0" borderId="73" xfId="0" applyNumberFormat="1" applyFont="1" applyFill="1" applyBorder="1" applyAlignment="1"/>
    <xf numFmtId="49" fontId="54" fillId="0" borderId="15" xfId="0" applyNumberFormat="1" applyFont="1" applyFill="1" applyBorder="1" applyAlignment="1"/>
    <xf numFmtId="164" fontId="8" fillId="0" borderId="64" xfId="0" applyNumberFormat="1" applyFont="1" applyFill="1" applyBorder="1" applyAlignment="1">
      <alignment horizontal="justify" wrapText="1"/>
    </xf>
    <xf numFmtId="164" fontId="28" fillId="0" borderId="64" xfId="0" applyNumberFormat="1" applyFont="1" applyBorder="1" applyAlignment="1" applyProtection="1">
      <alignment horizontal="justify" vertical="center" wrapText="1"/>
    </xf>
    <xf numFmtId="49" fontId="28" fillId="0" borderId="23" xfId="0" applyNumberFormat="1" applyFont="1" applyFill="1" applyBorder="1" applyAlignment="1" applyProtection="1">
      <alignment horizontal="justify" vertical="center" wrapText="1"/>
    </xf>
    <xf numFmtId="49" fontId="78" fillId="0" borderId="19" xfId="0" applyNumberFormat="1" applyFont="1" applyBorder="1" applyAlignment="1" applyProtection="1">
      <alignment horizontal="justify" vertical="center" wrapText="1"/>
    </xf>
    <xf numFmtId="49" fontId="44" fillId="0" borderId="19" xfId="0" applyNumberFormat="1" applyFont="1" applyBorder="1" applyAlignment="1" applyProtection="1">
      <alignment horizontal="center" vertical="center" wrapText="1"/>
    </xf>
    <xf numFmtId="49" fontId="27" fillId="0" borderId="19" xfId="0" applyNumberFormat="1" applyFont="1" applyBorder="1" applyAlignment="1" applyProtection="1">
      <alignment horizontal="center" vertical="center" wrapText="1"/>
    </xf>
    <xf numFmtId="49" fontId="78" fillId="0" borderId="19" xfId="0" applyNumberFormat="1" applyFont="1" applyBorder="1" applyAlignment="1" applyProtection="1">
      <alignment horizontal="center" vertical="center" wrapText="1"/>
    </xf>
    <xf numFmtId="49" fontId="78" fillId="0" borderId="19" xfId="0" applyNumberFormat="1" applyFont="1" applyBorder="1" applyAlignment="1" applyProtection="1">
      <alignment horizontal="right" vertical="center" wrapText="1"/>
    </xf>
    <xf numFmtId="164" fontId="78" fillId="0" borderId="19" xfId="0" applyNumberFormat="1" applyFont="1" applyBorder="1" applyAlignment="1" applyProtection="1">
      <alignment horizontal="justify" vertical="center" wrapText="1"/>
    </xf>
    <xf numFmtId="4" fontId="44" fillId="0" borderId="19" xfId="0" applyNumberFormat="1" applyFont="1" applyBorder="1" applyAlignment="1" applyProtection="1">
      <alignment horizontal="right"/>
    </xf>
    <xf numFmtId="4" fontId="45" fillId="0" borderId="3" xfId="0" applyNumberFormat="1" applyFont="1" applyFill="1" applyBorder="1" applyAlignment="1">
      <alignment horizontal="right" wrapText="1"/>
    </xf>
    <xf numFmtId="0" fontId="58" fillId="0" borderId="0" xfId="0" applyFont="1" applyBorder="1"/>
    <xf numFmtId="4" fontId="58" fillId="2" borderId="0" xfId="0" applyNumberFormat="1" applyFont="1" applyFill="1" applyBorder="1"/>
    <xf numFmtId="4" fontId="45" fillId="0" borderId="8" xfId="0" applyNumberFormat="1" applyFont="1" applyFill="1" applyBorder="1" applyAlignment="1">
      <alignment horizontal="right"/>
    </xf>
    <xf numFmtId="49" fontId="52" fillId="0" borderId="64" xfId="0" applyNumberFormat="1" applyFont="1" applyBorder="1" applyAlignment="1">
      <alignment horizontal="center"/>
    </xf>
    <xf numFmtId="49" fontId="52" fillId="0" borderId="71" xfId="0" applyNumberFormat="1" applyFont="1" applyBorder="1" applyAlignment="1">
      <alignment horizontal="center"/>
    </xf>
    <xf numFmtId="49" fontId="52" fillId="0" borderId="71" xfId="0" applyNumberFormat="1" applyFont="1" applyFill="1" applyBorder="1" applyAlignment="1">
      <alignment horizontal="right"/>
    </xf>
    <xf numFmtId="49" fontId="52" fillId="0" borderId="5" xfId="0" applyNumberFormat="1" applyFont="1" applyBorder="1" applyAlignment="1">
      <alignment horizontal="left"/>
    </xf>
    <xf numFmtId="49" fontId="52" fillId="0" borderId="72" xfId="0" applyNumberFormat="1" applyFont="1" applyFill="1" applyBorder="1" applyAlignment="1">
      <alignment horizontal="right"/>
    </xf>
    <xf numFmtId="49" fontId="51" fillId="0" borderId="71" xfId="0" applyNumberFormat="1" applyFont="1" applyFill="1" applyBorder="1" applyAlignment="1">
      <alignment horizontal="right"/>
    </xf>
    <xf numFmtId="49" fontId="51" fillId="0" borderId="64" xfId="0" applyNumberFormat="1" applyFont="1" applyFill="1" applyBorder="1" applyAlignment="1"/>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0" fontId="26" fillId="0" borderId="8" xfId="0" applyFont="1" applyFill="1" applyBorder="1" applyAlignment="1">
      <alignment horizontal="justify" vertical="top" wrapText="1"/>
    </xf>
    <xf numFmtId="164" fontId="28" fillId="2" borderId="62" xfId="0" applyNumberFormat="1" applyFont="1" applyFill="1" applyBorder="1" applyAlignment="1" applyProtection="1">
      <alignment horizontal="justify" vertical="center" wrapText="1"/>
    </xf>
    <xf numFmtId="49" fontId="28" fillId="2" borderId="42" xfId="0" applyNumberFormat="1" applyFont="1" applyFill="1" applyBorder="1" applyAlignment="1" applyProtection="1">
      <alignment horizontal="center" vertical="center" wrapText="1"/>
    </xf>
    <xf numFmtId="49" fontId="28" fillId="2" borderId="23" xfId="0" applyNumberFormat="1" applyFont="1" applyFill="1" applyBorder="1" applyAlignment="1" applyProtection="1">
      <alignment horizontal="center" vertical="center" wrapText="1"/>
    </xf>
    <xf numFmtId="49" fontId="20" fillId="2" borderId="23" xfId="0" applyNumberFormat="1" applyFont="1" applyFill="1" applyBorder="1" applyAlignment="1" applyProtection="1">
      <alignment horizontal="center" vertical="center" wrapText="1"/>
    </xf>
    <xf numFmtId="0" fontId="26" fillId="0" borderId="27" xfId="0" applyFont="1" applyBorder="1" applyAlignment="1">
      <alignment horizontal="justify" vertical="center" wrapText="1"/>
    </xf>
    <xf numFmtId="49" fontId="52" fillId="0" borderId="64" xfId="0" applyNumberFormat="1" applyFont="1" applyFill="1" applyBorder="1" applyAlignment="1">
      <alignment horizontal="center"/>
    </xf>
    <xf numFmtId="49" fontId="52" fillId="0" borderId="38" xfId="0" applyNumberFormat="1" applyFont="1" applyBorder="1" applyAlignment="1">
      <alignment horizontal="center"/>
    </xf>
    <xf numFmtId="49" fontId="52" fillId="0" borderId="72" xfId="0" applyNumberFormat="1" applyFont="1" applyBorder="1" applyAlignment="1">
      <alignment horizontal="center"/>
    </xf>
    <xf numFmtId="0" fontId="3" fillId="0" borderId="2" xfId="0" applyFont="1" applyBorder="1" applyAlignment="1"/>
    <xf numFmtId="0" fontId="1" fillId="0" borderId="64" xfId="0" applyFont="1" applyBorder="1" applyAlignment="1"/>
    <xf numFmtId="0" fontId="3" fillId="0" borderId="64" xfId="0" applyFont="1" applyFill="1" applyBorder="1" applyAlignment="1"/>
    <xf numFmtId="0" fontId="3" fillId="0" borderId="8" xfId="0" applyFont="1" applyFill="1" applyBorder="1" applyAlignment="1">
      <alignment horizontal="right"/>
    </xf>
    <xf numFmtId="0" fontId="45" fillId="0" borderId="64" xfId="0" applyFont="1" applyBorder="1" applyAlignment="1">
      <alignment horizontal="justify" wrapText="1"/>
    </xf>
    <xf numFmtId="4" fontId="2" fillId="0" borderId="15" xfId="0" applyNumberFormat="1" applyFont="1" applyFill="1" applyBorder="1"/>
    <xf numFmtId="49" fontId="54" fillId="0" borderId="71" xfId="0" applyNumberFormat="1" applyFont="1" applyFill="1" applyBorder="1"/>
    <xf numFmtId="49" fontId="45" fillId="0" borderId="21" xfId="0" applyNumberFormat="1" applyFont="1" applyBorder="1" applyAlignment="1" applyProtection="1">
      <alignment horizontal="justify" vertical="center" wrapText="1"/>
    </xf>
    <xf numFmtId="49" fontId="55" fillId="0" borderId="64" xfId="0" applyNumberFormat="1" applyFont="1" applyFill="1" applyBorder="1" applyAlignment="1">
      <alignment horizontal="right"/>
    </xf>
    <xf numFmtId="0" fontId="45" fillId="0" borderId="64" xfId="0" applyFont="1" applyBorder="1" applyAlignment="1">
      <alignment horizontal="justify" vertical="top" wrapText="1"/>
    </xf>
    <xf numFmtId="49" fontId="53" fillId="0" borderId="64" xfId="0" applyNumberFormat="1" applyFont="1" applyFill="1" applyBorder="1" applyAlignment="1">
      <alignment horizontal="justify" wrapText="1"/>
    </xf>
    <xf numFmtId="0" fontId="45" fillId="0" borderId="72" xfId="0" applyFont="1" applyBorder="1" applyAlignment="1">
      <alignment horizontal="justify" vertical="center" wrapText="1"/>
    </xf>
    <xf numFmtId="4" fontId="2" fillId="0" borderId="72" xfId="0" applyNumberFormat="1" applyFont="1" applyFill="1" applyBorder="1"/>
    <xf numFmtId="0" fontId="1" fillId="0" borderId="71" xfId="0" applyFont="1" applyBorder="1" applyAlignment="1">
      <alignment horizontal="right"/>
    </xf>
    <xf numFmtId="164" fontId="77" fillId="2" borderId="8" xfId="0" applyNumberFormat="1" applyFont="1" applyFill="1" applyBorder="1" applyAlignment="1">
      <alignment horizontal="justify" wrapText="1"/>
    </xf>
    <xf numFmtId="0" fontId="77" fillId="0" borderId="64" xfId="0" applyFont="1" applyFill="1" applyBorder="1" applyAlignment="1">
      <alignment horizontal="justify" wrapText="1"/>
    </xf>
    <xf numFmtId="49" fontId="45" fillId="0" borderId="71" xfId="0" applyNumberFormat="1" applyFont="1" applyBorder="1" applyAlignment="1" applyProtection="1">
      <alignment horizontal="left" vertical="center" wrapText="1"/>
    </xf>
    <xf numFmtId="4" fontId="2" fillId="0" borderId="71" xfId="0" applyNumberFormat="1" applyFont="1" applyFill="1" applyBorder="1"/>
    <xf numFmtId="4" fontId="1" fillId="0" borderId="71" xfId="0" applyNumberFormat="1" applyFont="1" applyFill="1" applyBorder="1"/>
    <xf numFmtId="4" fontId="52" fillId="0" borderId="71" xfId="0" applyNumberFormat="1" applyFont="1" applyFill="1" applyBorder="1"/>
    <xf numFmtId="0" fontId="14" fillId="0" borderId="8" xfId="0" applyFont="1" applyBorder="1" applyAlignment="1">
      <alignment wrapText="1"/>
    </xf>
    <xf numFmtId="49" fontId="27" fillId="0" borderId="26" xfId="0" applyNumberFormat="1" applyFont="1" applyBorder="1" applyAlignment="1" applyProtection="1">
      <alignment horizontal="center" vertical="center" wrapText="1"/>
    </xf>
    <xf numFmtId="49" fontId="79" fillId="0" borderId="8" xfId="0" applyNumberFormat="1" applyFont="1" applyFill="1" applyBorder="1" applyAlignment="1">
      <alignment horizontal="center" wrapText="1"/>
    </xf>
    <xf numFmtId="49" fontId="44" fillId="0" borderId="19" xfId="0" applyNumberFormat="1" applyFont="1" applyFill="1" applyBorder="1" applyAlignment="1" applyProtection="1">
      <alignment horizontal="justify" vertical="center" wrapText="1"/>
    </xf>
    <xf numFmtId="49" fontId="45" fillId="0" borderId="19" xfId="0" applyNumberFormat="1" applyFont="1" applyBorder="1" applyAlignment="1" applyProtection="1">
      <alignment horizontal="center" vertical="center" wrapText="1"/>
    </xf>
    <xf numFmtId="49" fontId="45" fillId="0" borderId="19" xfId="0" applyNumberFormat="1" applyFont="1" applyBorder="1" applyAlignment="1" applyProtection="1">
      <alignment horizontal="right" vertical="center" wrapText="1"/>
    </xf>
    <xf numFmtId="4" fontId="27" fillId="0" borderId="19" xfId="0" applyNumberFormat="1" applyFont="1" applyBorder="1" applyAlignment="1" applyProtection="1">
      <alignment horizontal="right"/>
    </xf>
    <xf numFmtId="4" fontId="44" fillId="2" borderId="19" xfId="0" applyNumberFormat="1" applyFont="1" applyFill="1" applyBorder="1" applyAlignment="1" applyProtection="1">
      <alignment horizontal="right"/>
    </xf>
    <xf numFmtId="0" fontId="45" fillId="0" borderId="16" xfId="0" applyFont="1" applyBorder="1" applyAlignment="1">
      <alignment wrapText="1"/>
    </xf>
    <xf numFmtId="0" fontId="45" fillId="0" borderId="2" xfId="0" applyFont="1" applyBorder="1" applyAlignment="1">
      <alignment horizontal="justify" wrapText="1"/>
    </xf>
    <xf numFmtId="0" fontId="3" fillId="0" borderId="75" xfId="0" applyFont="1" applyBorder="1" applyAlignment="1"/>
    <xf numFmtId="49" fontId="52" fillId="0" borderId="75" xfId="0" applyNumberFormat="1" applyFont="1" applyBorder="1" applyAlignment="1">
      <alignment horizontal="left"/>
    </xf>
    <xf numFmtId="49" fontId="52" fillId="0" borderId="75" xfId="0" applyNumberFormat="1" applyFont="1" applyBorder="1" applyAlignment="1">
      <alignment horizontal="right"/>
    </xf>
    <xf numFmtId="49" fontId="45" fillId="0" borderId="45" xfId="0" applyNumberFormat="1" applyFont="1" applyBorder="1" applyAlignment="1" applyProtection="1">
      <alignment horizontal="justify" vertical="center" wrapText="1"/>
    </xf>
    <xf numFmtId="0" fontId="45" fillId="0" borderId="64" xfId="0" applyFont="1" applyBorder="1" applyAlignment="1">
      <alignment horizontal="justify" wrapText="1"/>
    </xf>
    <xf numFmtId="49" fontId="52" fillId="0" borderId="2" xfId="0" applyNumberFormat="1" applyFont="1" applyBorder="1" applyAlignment="1">
      <alignment horizontal="left" vertical="center"/>
    </xf>
    <xf numFmtId="49" fontId="45" fillId="0" borderId="8" xfId="0" applyNumberFormat="1" applyFont="1" applyFill="1" applyBorder="1" applyAlignment="1">
      <alignment horizontal="center" wrapText="1"/>
    </xf>
    <xf numFmtId="49" fontId="45" fillId="0" borderId="64" xfId="0" applyNumberFormat="1" applyFont="1" applyFill="1" applyBorder="1" applyAlignment="1">
      <alignment horizontal="center" wrapText="1"/>
    </xf>
    <xf numFmtId="4" fontId="45" fillId="0" borderId="63" xfId="0" applyNumberFormat="1" applyFont="1" applyFill="1" applyBorder="1" applyAlignment="1">
      <alignment horizontal="right" wrapText="1"/>
    </xf>
    <xf numFmtId="0" fontId="78" fillId="0" borderId="64" xfId="0" applyFont="1" applyBorder="1" applyAlignment="1">
      <alignment horizontal="justify" vertical="center" wrapText="1"/>
    </xf>
    <xf numFmtId="49" fontId="44" fillId="0" borderId="22" xfId="0" applyNumberFormat="1" applyFont="1" applyBorder="1" applyAlignment="1" applyProtection="1">
      <alignment horizontal="center" vertical="center" wrapText="1"/>
    </xf>
    <xf numFmtId="49" fontId="52" fillId="0" borderId="8" xfId="0" applyNumberFormat="1" applyFont="1" applyBorder="1" applyAlignment="1">
      <alignment horizontal="left" vertical="center"/>
    </xf>
    <xf numFmtId="164" fontId="45" fillId="0" borderId="64" xfId="0" applyNumberFormat="1" applyFont="1" applyBorder="1" applyAlignment="1" applyProtection="1">
      <alignment horizontal="justify" vertical="center" wrapText="1"/>
    </xf>
    <xf numFmtId="49" fontId="45" fillId="0" borderId="64" xfId="0" applyNumberFormat="1" applyFont="1" applyBorder="1" applyAlignment="1" applyProtection="1">
      <alignment horizontal="justify" vertical="center" wrapText="1"/>
    </xf>
    <xf numFmtId="0" fontId="45" fillId="0" borderId="64" xfId="0" applyFont="1" applyBorder="1" applyAlignment="1">
      <alignment horizontal="justify" wrapText="1"/>
    </xf>
    <xf numFmtId="4" fontId="27" fillId="2" borderId="19" xfId="0" applyNumberFormat="1" applyFont="1" applyFill="1" applyBorder="1" applyAlignment="1" applyProtection="1">
      <alignment horizontal="right"/>
    </xf>
    <xf numFmtId="49" fontId="78" fillId="0" borderId="26" xfId="0" applyNumberFormat="1" applyFont="1" applyBorder="1" applyAlignment="1" applyProtection="1">
      <alignment horizontal="justify" vertical="center" wrapText="1"/>
    </xf>
    <xf numFmtId="164" fontId="78" fillId="0" borderId="23" xfId="0" applyNumberFormat="1" applyFont="1" applyBorder="1" applyAlignment="1" applyProtection="1">
      <alignment horizontal="justify" vertical="center" wrapText="1"/>
    </xf>
    <xf numFmtId="49" fontId="78" fillId="0" borderId="22" xfId="0" applyNumberFormat="1" applyFont="1" applyBorder="1" applyAlignment="1" applyProtection="1">
      <alignment horizontal="center" vertical="center" wrapText="1"/>
    </xf>
    <xf numFmtId="49" fontId="78" fillId="0" borderId="19" xfId="0" applyNumberFormat="1" applyFont="1" applyBorder="1" applyAlignment="1" applyProtection="1">
      <alignment horizontal="center" vertical="center"/>
    </xf>
    <xf numFmtId="49" fontId="80" fillId="0" borderId="19" xfId="0" applyNumberFormat="1" applyFont="1" applyBorder="1" applyAlignment="1" applyProtection="1">
      <alignment horizontal="center" vertical="center" wrapText="1"/>
    </xf>
    <xf numFmtId="49" fontId="80" fillId="0" borderId="19" xfId="0" applyNumberFormat="1" applyFont="1" applyBorder="1" applyAlignment="1" applyProtection="1">
      <alignment horizontal="right" vertical="center" wrapText="1"/>
    </xf>
    <xf numFmtId="49" fontId="80" fillId="0" borderId="19" xfId="0" applyNumberFormat="1" applyFont="1" applyBorder="1" applyAlignment="1" applyProtection="1">
      <alignment horizontal="justify" vertical="center" wrapText="1"/>
    </xf>
    <xf numFmtId="49" fontId="52" fillId="0" borderId="72" xfId="0" applyNumberFormat="1" applyFont="1" applyFill="1" applyBorder="1" applyAlignment="1">
      <alignment horizontal="center" vertical="center"/>
    </xf>
    <xf numFmtId="49" fontId="45" fillId="0" borderId="64" xfId="0" applyNumberFormat="1" applyFont="1" applyBorder="1" applyAlignment="1" applyProtection="1">
      <alignment horizontal="justify" vertical="center" wrapText="1"/>
    </xf>
    <xf numFmtId="164" fontId="26" fillId="0" borderId="46" xfId="0" applyNumberFormat="1" applyFont="1" applyBorder="1" applyAlignment="1" applyProtection="1">
      <alignment horizontal="justify" vertical="center" wrapText="1"/>
    </xf>
    <xf numFmtId="164" fontId="45" fillId="0" borderId="26" xfId="0" applyNumberFormat="1" applyFont="1" applyBorder="1" applyAlignment="1" applyProtection="1">
      <alignment horizontal="justify" vertical="center" wrapText="1"/>
    </xf>
    <xf numFmtId="164" fontId="78" fillId="0" borderId="26" xfId="0" applyNumberFormat="1" applyFont="1" applyBorder="1" applyAlignment="1" applyProtection="1">
      <alignment horizontal="justify" vertical="center" wrapText="1"/>
    </xf>
    <xf numFmtId="0" fontId="1" fillId="0" borderId="71" xfId="0" applyFont="1" applyBorder="1" applyAlignment="1"/>
    <xf numFmtId="49" fontId="52" fillId="0" borderId="71" xfId="0" applyNumberFormat="1" applyFont="1" applyFill="1" applyBorder="1" applyAlignment="1"/>
    <xf numFmtId="0" fontId="54" fillId="0" borderId="64" xfId="0" applyFont="1" applyFill="1" applyBorder="1" applyAlignment="1">
      <alignment horizontal="right"/>
    </xf>
    <xf numFmtId="49" fontId="55" fillId="0" borderId="64" xfId="0" applyNumberFormat="1" applyFont="1" applyFill="1" applyBorder="1" applyAlignment="1">
      <alignment vertical="center"/>
    </xf>
    <xf numFmtId="0" fontId="1" fillId="0" borderId="72" xfId="0" applyFont="1" applyBorder="1" applyAlignment="1">
      <alignment horizontal="right"/>
    </xf>
    <xf numFmtId="49" fontId="45" fillId="0" borderId="64" xfId="0" applyNumberFormat="1" applyFont="1" applyBorder="1" applyAlignment="1" applyProtection="1">
      <alignment horizontal="justify" vertical="center" wrapText="1"/>
    </xf>
    <xf numFmtId="4" fontId="52" fillId="0" borderId="64" xfId="0" applyNumberFormat="1" applyFont="1" applyBorder="1" applyAlignment="1" applyProtection="1">
      <alignment horizontal="right"/>
    </xf>
    <xf numFmtId="4" fontId="52" fillId="0" borderId="42" xfId="0" applyNumberFormat="1" applyFont="1" applyBorder="1" applyAlignment="1" applyProtection="1">
      <alignment horizontal="right"/>
    </xf>
    <xf numFmtId="49" fontId="44" fillId="0" borderId="19" xfId="0" applyNumberFormat="1" applyFont="1" applyBorder="1" applyAlignment="1" applyProtection="1">
      <alignment horizontal="justify" vertical="center" wrapText="1"/>
    </xf>
    <xf numFmtId="49" fontId="44" fillId="0" borderId="26" xfId="0" applyNumberFormat="1" applyFont="1" applyBorder="1" applyAlignment="1" applyProtection="1">
      <alignment horizontal="justify" vertical="center" wrapText="1"/>
    </xf>
    <xf numFmtId="4" fontId="52" fillId="0" borderId="72" xfId="0" applyNumberFormat="1" applyFont="1" applyFill="1" applyBorder="1"/>
    <xf numFmtId="49" fontId="52" fillId="0" borderId="71" xfId="0" applyNumberFormat="1" applyFont="1" applyFill="1" applyBorder="1"/>
    <xf numFmtId="0" fontId="52" fillId="0" borderId="71" xfId="0" applyFont="1" applyFill="1" applyBorder="1" applyAlignment="1"/>
    <xf numFmtId="49" fontId="44" fillId="0" borderId="19" xfId="0" applyNumberFormat="1" applyFont="1" applyFill="1" applyBorder="1" applyAlignment="1" applyProtection="1">
      <alignment horizontal="center" vertical="center" wrapText="1"/>
    </xf>
    <xf numFmtId="49" fontId="27" fillId="0" borderId="19" xfId="0" applyNumberFormat="1" applyFont="1" applyFill="1" applyBorder="1" applyAlignment="1" applyProtection="1">
      <alignment horizontal="center" vertical="center" wrapText="1"/>
    </xf>
    <xf numFmtId="49" fontId="45" fillId="0" borderId="19" xfId="0" applyNumberFormat="1" applyFont="1" applyFill="1" applyBorder="1" applyAlignment="1" applyProtection="1">
      <alignment horizontal="center" vertical="center" wrapText="1"/>
    </xf>
    <xf numFmtId="49" fontId="45" fillId="0" borderId="19" xfId="0" applyNumberFormat="1" applyFont="1" applyFill="1" applyBorder="1" applyAlignment="1" applyProtection="1">
      <alignment horizontal="right" vertical="center" wrapText="1"/>
    </xf>
    <xf numFmtId="49" fontId="45" fillId="0" borderId="19" xfId="0" applyNumberFormat="1" applyFont="1" applyFill="1" applyBorder="1" applyAlignment="1" applyProtection="1">
      <alignment horizontal="justify" vertical="center" wrapText="1"/>
    </xf>
    <xf numFmtId="4" fontId="27" fillId="0" borderId="19" xfId="0" applyNumberFormat="1" applyFont="1" applyFill="1" applyBorder="1" applyAlignment="1" applyProtection="1">
      <alignment horizontal="right"/>
    </xf>
    <xf numFmtId="49" fontId="11" fillId="0" borderId="26" xfId="0" applyNumberFormat="1" applyFont="1" applyBorder="1" applyAlignment="1" applyProtection="1">
      <alignment horizontal="center" vertical="center" wrapText="1"/>
    </xf>
    <xf numFmtId="164" fontId="44" fillId="0" borderId="19" xfId="0" applyNumberFormat="1" applyFont="1" applyBorder="1" applyAlignment="1" applyProtection="1">
      <alignment horizontal="justify" vertical="center" wrapText="1"/>
    </xf>
    <xf numFmtId="49" fontId="44" fillId="0" borderId="0" xfId="0" applyNumberFormat="1" applyFont="1" applyBorder="1" applyAlignment="1" applyProtection="1">
      <alignment horizontal="justify" vertical="center" wrapText="1"/>
    </xf>
    <xf numFmtId="49" fontId="78" fillId="0" borderId="46" xfId="0" applyNumberFormat="1" applyFont="1" applyBorder="1" applyAlignment="1" applyProtection="1">
      <alignment horizontal="justify" vertical="center" wrapText="1"/>
    </xf>
    <xf numFmtId="49" fontId="52" fillId="0" borderId="64" xfId="0" applyNumberFormat="1" applyFont="1" applyFill="1" applyBorder="1" applyAlignment="1">
      <alignment horizontal="center"/>
    </xf>
    <xf numFmtId="164" fontId="45" fillId="0" borderId="64" xfId="0" applyNumberFormat="1" applyFont="1" applyBorder="1" applyAlignment="1" applyProtection="1">
      <alignment horizontal="justify" vertical="center" wrapText="1"/>
    </xf>
    <xf numFmtId="0" fontId="3" fillId="0" borderId="72" xfId="0" applyFont="1" applyBorder="1" applyAlignment="1">
      <alignment horizontal="right"/>
    </xf>
    <xf numFmtId="0" fontId="1" fillId="0" borderId="72" xfId="0" applyFont="1" applyBorder="1" applyAlignment="1">
      <alignment vertical="center"/>
    </xf>
    <xf numFmtId="0" fontId="52" fillId="0" borderId="72" xfId="0" applyFont="1" applyBorder="1" applyAlignment="1">
      <alignment horizontal="right" vertical="center"/>
    </xf>
    <xf numFmtId="49" fontId="52" fillId="0" borderId="64" xfId="0" applyNumberFormat="1" applyFont="1" applyFill="1" applyBorder="1" applyAlignment="1">
      <alignment horizontal="center"/>
    </xf>
    <xf numFmtId="49" fontId="52" fillId="0" borderId="72" xfId="0" applyNumberFormat="1" applyFont="1" applyBorder="1" applyAlignment="1">
      <alignment horizontal="center"/>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6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81" fillId="0" borderId="3" xfId="0" applyNumberFormat="1" applyFont="1" applyFill="1" applyBorder="1" applyAlignment="1">
      <alignment horizontal="center" wrapText="1"/>
    </xf>
    <xf numFmtId="49" fontId="81" fillId="0" borderId="5" xfId="0" applyNumberFormat="1" applyFont="1" applyFill="1" applyBorder="1" applyAlignment="1">
      <alignment horizontal="center" wrapText="1"/>
    </xf>
    <xf numFmtId="49" fontId="8" fillId="0" borderId="3" xfId="0" applyNumberFormat="1" applyFont="1" applyFill="1" applyBorder="1" applyAlignment="1">
      <alignment horizontal="center" wrapText="1"/>
    </xf>
    <xf numFmtId="49" fontId="45" fillId="0" borderId="3" xfId="0" applyNumberFormat="1" applyFont="1" applyFill="1" applyBorder="1" applyAlignment="1">
      <alignment horizontal="center" wrapText="1"/>
    </xf>
    <xf numFmtId="49" fontId="45" fillId="0" borderId="5" xfId="0" applyNumberFormat="1" applyFont="1" applyFill="1" applyBorder="1" applyAlignment="1">
      <alignment horizont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49" fontId="79" fillId="0" borderId="3" xfId="0" applyNumberFormat="1" applyFont="1" applyFill="1" applyBorder="1" applyAlignment="1">
      <alignment horizontal="center" wrapText="1"/>
    </xf>
    <xf numFmtId="49" fontId="79" fillId="0" borderId="5" xfId="0" applyNumberFormat="1" applyFont="1" applyFill="1" applyBorder="1" applyAlignment="1">
      <alignment horizont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42" fillId="0" borderId="63"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8" fillId="2" borderId="63" xfId="0" applyNumberFormat="1" applyFont="1" applyFill="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29"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49"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7"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49" fontId="30" fillId="0" borderId="31"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0" fontId="1" fillId="0" borderId="2"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16" xfId="0" applyFont="1" applyFill="1" applyBorder="1" applyAlignment="1">
      <alignment horizontal="justify" wrapText="1"/>
    </xf>
    <xf numFmtId="0" fontId="1" fillId="0" borderId="2" xfId="0" applyFont="1" applyFill="1" applyBorder="1" applyAlignment="1">
      <alignment horizontal="center" wrapText="1"/>
    </xf>
    <xf numFmtId="0" fontId="1" fillId="0" borderId="16" xfId="0" applyFont="1" applyFill="1" applyBorder="1" applyAlignment="1">
      <alignment horizontal="center"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7" xfId="0" applyFont="1" applyFill="1" applyBorder="1" applyAlignment="1">
      <alignment horizontal="center" wrapText="1"/>
    </xf>
    <xf numFmtId="0" fontId="1" fillId="0" borderId="0" xfId="0" applyFont="1" applyFill="1" applyAlignment="1">
      <alignment horizontal="right"/>
    </xf>
    <xf numFmtId="0" fontId="1" fillId="0" borderId="0" xfId="0" applyFont="1" applyFill="1" applyAlignment="1">
      <alignment horizontal="center" wrapText="1"/>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64" fillId="0" borderId="8" xfId="0" applyFont="1" applyBorder="1" applyAlignment="1">
      <alignment horizontal="center"/>
    </xf>
    <xf numFmtId="0" fontId="67" fillId="0" borderId="8" xfId="0" applyFont="1" applyBorder="1" applyAlignment="1">
      <alignment horizontal="center"/>
    </xf>
    <xf numFmtId="0" fontId="0" fillId="0" borderId="13" xfId="0" applyBorder="1" applyAlignment="1">
      <alignment horizontal="right"/>
    </xf>
    <xf numFmtId="0" fontId="64" fillId="0" borderId="8" xfId="0" applyFont="1" applyBorder="1" applyAlignment="1">
      <alignment horizontal="center" wrapText="1"/>
    </xf>
    <xf numFmtId="0" fontId="64" fillId="0" borderId="3" xfId="0" applyFont="1" applyBorder="1" applyAlignment="1">
      <alignment horizontal="left" wrapText="1"/>
    </xf>
    <xf numFmtId="0" fontId="64" fillId="0" borderId="4" xfId="0" applyFont="1" applyBorder="1" applyAlignment="1">
      <alignment horizontal="left" wrapText="1"/>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0" fontId="65"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7" xfId="0" applyNumberFormat="1" applyBorder="1" applyAlignment="1">
      <alignment horizontal="center" wrapText="1"/>
    </xf>
    <xf numFmtId="49" fontId="0" fillId="0" borderId="38"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52" fillId="0" borderId="6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16" xfId="0" applyNumberFormat="1" applyFont="1" applyFill="1" applyBorder="1" applyAlignment="1">
      <alignment horizontal="center" vertical="center"/>
    </xf>
    <xf numFmtId="49" fontId="52" fillId="0" borderId="17" xfId="0" applyNumberFormat="1" applyFont="1" applyFill="1" applyBorder="1" applyAlignment="1">
      <alignment horizontal="center" vertical="center"/>
    </xf>
    <xf numFmtId="49" fontId="52" fillId="0" borderId="14" xfId="0" applyNumberFormat="1" applyFont="1" applyBorder="1" applyAlignment="1">
      <alignment horizontal="center"/>
    </xf>
    <xf numFmtId="49" fontId="52" fillId="0" borderId="15" xfId="0" applyNumberFormat="1" applyFont="1" applyBorder="1" applyAlignment="1">
      <alignment horizontal="center"/>
    </xf>
    <xf numFmtId="49" fontId="52" fillId="0" borderId="3" xfId="0" applyNumberFormat="1" applyFont="1" applyFill="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14"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52" fillId="0" borderId="38" xfId="0" applyNumberFormat="1" applyFont="1" applyFill="1" applyBorder="1" applyAlignment="1">
      <alignment horizontal="center" vertic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49" fontId="2" fillId="0" borderId="64" xfId="0" applyNumberFormat="1" applyFont="1" applyBorder="1" applyAlignment="1">
      <alignment horizontal="center"/>
    </xf>
    <xf numFmtId="49" fontId="54" fillId="0" borderId="73" xfId="0" applyNumberFormat="1" applyFont="1" applyFill="1" applyBorder="1" applyAlignment="1">
      <alignment horizontal="center"/>
    </xf>
    <xf numFmtId="49" fontId="54" fillId="0" borderId="15" xfId="0" applyNumberFormat="1" applyFont="1" applyFill="1" applyBorder="1" applyAlignment="1">
      <alignment horizontal="center"/>
    </xf>
    <xf numFmtId="49" fontId="2" fillId="0" borderId="64" xfId="0" applyNumberFormat="1" applyFont="1" applyFill="1" applyBorder="1" applyAlignment="1">
      <alignment horizontal="center"/>
    </xf>
    <xf numFmtId="49" fontId="1" fillId="0" borderId="64" xfId="0" applyNumberFormat="1" applyFont="1" applyFill="1" applyBorder="1" applyAlignment="1">
      <alignment horizontal="center"/>
    </xf>
    <xf numFmtId="49" fontId="55" fillId="0" borderId="64" xfId="0" applyNumberFormat="1" applyFont="1" applyFill="1" applyBorder="1" applyAlignment="1">
      <alignment horizontal="center"/>
    </xf>
    <xf numFmtId="49" fontId="52" fillId="0" borderId="64" xfId="0" applyNumberFormat="1" applyFont="1" applyFill="1" applyBorder="1" applyAlignment="1">
      <alignment horizontal="center"/>
    </xf>
    <xf numFmtId="0" fontId="2" fillId="0" borderId="64" xfId="0" applyFont="1" applyBorder="1" applyAlignment="1">
      <alignment horizontal="center"/>
    </xf>
    <xf numFmtId="0" fontId="1" fillId="0" borderId="13" xfId="0" applyFont="1" applyBorder="1" applyAlignment="1">
      <alignment horizontal="center"/>
    </xf>
    <xf numFmtId="49" fontId="2" fillId="0" borderId="3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38"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0" fontId="45" fillId="0" borderId="64" xfId="0" applyFont="1" applyBorder="1" applyAlignment="1">
      <alignment horizontal="justify" wrapText="1"/>
    </xf>
    <xf numFmtId="164" fontId="45" fillId="0" borderId="71" xfId="0" applyNumberFormat="1" applyFont="1" applyBorder="1" applyAlignment="1" applyProtection="1">
      <alignment horizontal="justify" vertical="center" wrapText="1"/>
    </xf>
    <xf numFmtId="164" fontId="45" fillId="0" borderId="72" xfId="0" applyNumberFormat="1" applyFont="1" applyBorder="1" applyAlignment="1" applyProtection="1">
      <alignment horizontal="justify" vertical="center" wrapText="1"/>
    </xf>
    <xf numFmtId="49" fontId="52" fillId="0" borderId="73" xfId="0" applyNumberFormat="1" applyFont="1" applyFill="1" applyBorder="1" applyAlignment="1">
      <alignment horizontal="center"/>
    </xf>
    <xf numFmtId="49" fontId="52" fillId="0" borderId="74" xfId="0" applyNumberFormat="1" applyFont="1" applyFill="1" applyBorder="1" applyAlignment="1">
      <alignment horizontal="center"/>
    </xf>
    <xf numFmtId="49" fontId="52" fillId="0" borderId="38" xfId="0" applyNumberFormat="1" applyFont="1" applyFill="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7" xfId="0" applyNumberFormat="1" applyFont="1" applyBorder="1" applyAlignment="1">
      <alignment horizontal="center"/>
    </xf>
    <xf numFmtId="49" fontId="1" fillId="0" borderId="13" xfId="0" applyNumberFormat="1" applyFont="1" applyBorder="1" applyAlignment="1">
      <alignment horizontal="center"/>
    </xf>
    <xf numFmtId="49" fontId="1" fillId="0" borderId="38" xfId="0" applyNumberFormat="1" applyFont="1" applyBorder="1" applyAlignment="1">
      <alignment horizontal="center"/>
    </xf>
    <xf numFmtId="49" fontId="52" fillId="0" borderId="73" xfId="0" applyNumberFormat="1" applyFont="1" applyFill="1" applyBorder="1" applyAlignment="1">
      <alignment horizontal="center" vertical="center"/>
    </xf>
    <xf numFmtId="49" fontId="52" fillId="0" borderId="60" xfId="0" applyNumberFormat="1" applyFont="1" applyFill="1" applyBorder="1" applyAlignment="1">
      <alignment horizontal="center" vertical="center"/>
    </xf>
    <xf numFmtId="49" fontId="52" fillId="0" borderId="61" xfId="0" applyNumberFormat="1" applyFont="1" applyFill="1" applyBorder="1" applyAlignment="1">
      <alignment horizontal="center" vertical="center"/>
    </xf>
    <xf numFmtId="49" fontId="52" fillId="0" borderId="74" xfId="0" applyNumberFormat="1" applyFont="1" applyFill="1" applyBorder="1" applyAlignment="1">
      <alignment horizontal="center" vertical="center"/>
    </xf>
    <xf numFmtId="49" fontId="52" fillId="0" borderId="71" xfId="0" applyNumberFormat="1" applyFont="1" applyFill="1" applyBorder="1" applyAlignment="1">
      <alignment horizontal="center"/>
    </xf>
    <xf numFmtId="49" fontId="52" fillId="0" borderId="72" xfId="0" applyNumberFormat="1" applyFont="1" applyFill="1" applyBorder="1" applyAlignment="1">
      <alignment horizontal="center"/>
    </xf>
    <xf numFmtId="49" fontId="45" fillId="0" borderId="65" xfId="0" applyNumberFormat="1" applyFont="1" applyBorder="1" applyAlignment="1" applyProtection="1">
      <alignment horizontal="justify" vertical="center" wrapText="1"/>
    </xf>
    <xf numFmtId="49" fontId="45" fillId="0" borderId="32" xfId="0" applyNumberFormat="1" applyFont="1" applyBorder="1" applyAlignment="1" applyProtection="1">
      <alignment horizontal="justify" vertical="center" wrapText="1"/>
    </xf>
    <xf numFmtId="49" fontId="1" fillId="0" borderId="0" xfId="0" applyNumberFormat="1" applyFont="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52" fillId="0" borderId="8" xfId="0" applyNumberFormat="1" applyFont="1" applyBorder="1" applyAlignment="1">
      <alignment horizontal="center"/>
    </xf>
    <xf numFmtId="49" fontId="52" fillId="0" borderId="3" xfId="0" applyNumberFormat="1" applyFont="1" applyBorder="1" applyAlignment="1">
      <alignment horizontal="center"/>
    </xf>
    <xf numFmtId="49" fontId="52" fillId="0" borderId="4" xfId="0" applyNumberFormat="1" applyFont="1" applyBorder="1" applyAlignment="1">
      <alignment horizontal="center"/>
    </xf>
    <xf numFmtId="49" fontId="52"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8" xfId="0" applyFont="1" applyBorder="1" applyAlignment="1">
      <alignment horizontal="center"/>
    </xf>
    <xf numFmtId="49" fontId="45" fillId="0" borderId="64" xfId="0" applyNumberFormat="1" applyFont="1" applyBorder="1" applyAlignment="1" applyProtection="1">
      <alignment horizontal="justify" vertical="center" wrapText="1"/>
    </xf>
    <xf numFmtId="49" fontId="45" fillId="0" borderId="75" xfId="0" applyNumberFormat="1" applyFont="1" applyBorder="1" applyAlignment="1" applyProtection="1">
      <alignment horizontal="justify" vertical="center" wrapText="1"/>
    </xf>
    <xf numFmtId="49" fontId="45" fillId="0" borderId="68" xfId="0" applyNumberFormat="1" applyFont="1" applyBorder="1" applyAlignment="1" applyProtection="1">
      <alignment horizontal="justify" vertical="center" wrapText="1"/>
    </xf>
    <xf numFmtId="0" fontId="2" fillId="0" borderId="0" xfId="0" applyFont="1" applyAlignment="1">
      <alignment horizontal="right"/>
    </xf>
    <xf numFmtId="49" fontId="45" fillId="0" borderId="71" xfId="0" applyNumberFormat="1" applyFont="1" applyBorder="1" applyAlignment="1" applyProtection="1">
      <alignment horizontal="justify" vertical="center" wrapText="1"/>
    </xf>
    <xf numFmtId="49" fontId="45" fillId="0" borderId="16" xfId="0" applyNumberFormat="1" applyFont="1" applyBorder="1" applyAlignment="1" applyProtection="1">
      <alignment horizontal="justify" vertical="center" wrapText="1"/>
    </xf>
    <xf numFmtId="49" fontId="45" fillId="0" borderId="72" xfId="0" applyNumberFormat="1" applyFont="1" applyBorder="1" applyAlignment="1" applyProtection="1">
      <alignment horizontal="justify" vertical="center" wrapText="1"/>
    </xf>
    <xf numFmtId="49" fontId="52" fillId="0" borderId="2" xfId="0" applyNumberFormat="1" applyFont="1" applyBorder="1" applyAlignment="1">
      <alignment horizontal="left" vertical="center"/>
    </xf>
    <xf numFmtId="49" fontId="52" fillId="0" borderId="72" xfId="0" applyNumberFormat="1" applyFont="1" applyBorder="1" applyAlignment="1">
      <alignment horizontal="left" vertical="center"/>
    </xf>
    <xf numFmtId="49" fontId="52" fillId="0" borderId="2" xfId="0" applyNumberFormat="1" applyFont="1" applyBorder="1" applyAlignment="1">
      <alignment horizontal="center" vertical="center"/>
    </xf>
    <xf numFmtId="49" fontId="52" fillId="0" borderId="72" xfId="0" applyNumberFormat="1" applyFont="1" applyBorder="1" applyAlignment="1">
      <alignment horizontal="center" vertical="center"/>
    </xf>
    <xf numFmtId="49" fontId="52" fillId="0" borderId="60" xfId="0" applyNumberFormat="1" applyFont="1" applyBorder="1" applyAlignment="1">
      <alignment horizontal="center" vertical="center"/>
    </xf>
    <xf numFmtId="49" fontId="52" fillId="0" borderId="61" xfId="0" applyNumberFormat="1" applyFont="1" applyBorder="1" applyAlignment="1">
      <alignment horizontal="center" vertical="center"/>
    </xf>
    <xf numFmtId="49" fontId="52" fillId="0" borderId="74" xfId="0" applyNumberFormat="1" applyFont="1" applyBorder="1" applyAlignment="1">
      <alignment horizontal="center" vertical="center"/>
    </xf>
    <xf numFmtId="49" fontId="52" fillId="0" borderId="38" xfId="0" applyNumberFormat="1" applyFont="1" applyBorder="1" applyAlignment="1">
      <alignment horizontal="center" vertical="center"/>
    </xf>
    <xf numFmtId="49" fontId="51" fillId="0" borderId="71" xfId="0" applyNumberFormat="1" applyFont="1" applyFill="1" applyBorder="1" applyAlignment="1">
      <alignment horizontal="center"/>
    </xf>
    <xf numFmtId="49" fontId="51" fillId="0" borderId="72" xfId="0" applyNumberFormat="1" applyFont="1" applyFill="1" applyBorder="1" applyAlignment="1">
      <alignment horizontal="center"/>
    </xf>
    <xf numFmtId="0" fontId="3" fillId="0" borderId="71" xfId="0" applyFont="1" applyBorder="1" applyAlignment="1">
      <alignment horizontal="right"/>
    </xf>
    <xf numFmtId="0" fontId="3" fillId="0" borderId="72" xfId="0" applyFont="1" applyBorder="1" applyAlignment="1">
      <alignment horizontal="right"/>
    </xf>
    <xf numFmtId="49" fontId="52" fillId="0" borderId="71" xfId="0" applyNumberFormat="1" applyFont="1" applyFill="1" applyBorder="1" applyAlignment="1">
      <alignment horizontal="center" vertical="center"/>
    </xf>
    <xf numFmtId="49" fontId="52" fillId="0" borderId="72" xfId="0" applyNumberFormat="1" applyFont="1" applyFill="1" applyBorder="1" applyAlignment="1">
      <alignment horizontal="center" vertical="center"/>
    </xf>
    <xf numFmtId="0" fontId="3" fillId="0" borderId="66" xfId="0" applyFont="1" applyBorder="1" applyAlignment="1">
      <alignment horizontal="right"/>
    </xf>
    <xf numFmtId="0" fontId="3" fillId="0" borderId="17" xfId="0" applyFont="1" applyBorder="1" applyAlignment="1">
      <alignment horizontal="right"/>
    </xf>
    <xf numFmtId="49" fontId="52" fillId="0" borderId="66" xfId="0" applyNumberFormat="1" applyFont="1" applyFill="1" applyBorder="1" applyAlignment="1">
      <alignment horizontal="center" vertical="center"/>
    </xf>
    <xf numFmtId="0" fontId="52" fillId="0" borderId="71" xfId="0" applyFont="1" applyBorder="1" applyAlignment="1">
      <alignment horizontal="right" vertical="center"/>
    </xf>
    <xf numFmtId="0" fontId="52" fillId="0" borderId="16" xfId="0" applyFont="1" applyBorder="1" applyAlignment="1">
      <alignment horizontal="right" vertical="center"/>
    </xf>
    <xf numFmtId="0" fontId="52" fillId="0" borderId="72" xfId="0" applyFont="1" applyBorder="1" applyAlignment="1">
      <alignment horizontal="right" vertical="center"/>
    </xf>
    <xf numFmtId="0" fontId="3" fillId="0" borderId="71" xfId="0" applyFont="1" applyBorder="1" applyAlignment="1">
      <alignment horizontal="right" vertical="center"/>
    </xf>
    <xf numFmtId="0" fontId="3" fillId="0" borderId="16" xfId="0" applyFont="1" applyBorder="1" applyAlignment="1">
      <alignment horizontal="right" vertical="center"/>
    </xf>
    <xf numFmtId="0" fontId="3" fillId="0" borderId="72" xfId="0" applyFont="1" applyBorder="1" applyAlignment="1">
      <alignment horizontal="right" vertical="center"/>
    </xf>
    <xf numFmtId="49" fontId="52" fillId="0" borderId="16" xfId="0" applyNumberFormat="1" applyFont="1" applyBorder="1" applyAlignment="1">
      <alignment horizontal="center" vertical="center"/>
    </xf>
    <xf numFmtId="0" fontId="3" fillId="0" borderId="72" xfId="0" applyFont="1" applyBorder="1" applyAlignment="1">
      <alignment horizontal="center" vertical="center"/>
    </xf>
    <xf numFmtId="49" fontId="52" fillId="0" borderId="73" xfId="0" applyNumberFormat="1" applyFont="1" applyBorder="1" applyAlignment="1">
      <alignment horizontal="center"/>
    </xf>
    <xf numFmtId="49" fontId="51" fillId="0" borderId="73"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74" xfId="0" applyNumberFormat="1" applyFont="1" applyFill="1" applyBorder="1" applyAlignment="1">
      <alignment horizontal="center"/>
    </xf>
    <xf numFmtId="49" fontId="51" fillId="0" borderId="38" xfId="0" applyNumberFormat="1" applyFont="1" applyFill="1" applyBorder="1" applyAlignment="1">
      <alignment horizontal="center"/>
    </xf>
    <xf numFmtId="0" fontId="3" fillId="0" borderId="75" xfId="0" applyFont="1" applyBorder="1" applyAlignment="1">
      <alignment horizontal="right"/>
    </xf>
    <xf numFmtId="0" fontId="3" fillId="0" borderId="16" xfId="0" applyFont="1" applyBorder="1" applyAlignment="1">
      <alignment horizontal="right"/>
    </xf>
    <xf numFmtId="49" fontId="52" fillId="0" borderId="75" xfId="0" applyNumberFormat="1" applyFont="1" applyFill="1" applyBorder="1" applyAlignment="1">
      <alignment horizontal="center"/>
    </xf>
    <xf numFmtId="49" fontId="52" fillId="0" borderId="16" xfId="0" applyNumberFormat="1" applyFont="1" applyFill="1" applyBorder="1" applyAlignment="1">
      <alignment horizontal="center"/>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0" fontId="1" fillId="0" borderId="0" xfId="0" applyFont="1" applyAlignment="1">
      <alignment horizontal="left" wrapText="1"/>
    </xf>
    <xf numFmtId="0" fontId="1" fillId="0" borderId="71" xfId="0" applyFont="1" applyBorder="1" applyAlignment="1">
      <alignment horizontal="right"/>
    </xf>
    <xf numFmtId="0" fontId="1" fillId="0" borderId="72" xfId="0" applyFont="1" applyBorder="1" applyAlignment="1">
      <alignment horizontal="right"/>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52" fillId="0" borderId="76" xfId="0" applyNumberFormat="1" applyFont="1" applyFill="1" applyBorder="1" applyAlignment="1">
      <alignment horizontal="center"/>
    </xf>
    <xf numFmtId="49" fontId="52" fillId="0" borderId="61" xfId="0" applyNumberFormat="1" applyFont="1" applyFill="1" applyBorder="1" applyAlignment="1">
      <alignment horizontal="center"/>
    </xf>
    <xf numFmtId="49" fontId="52" fillId="0" borderId="60" xfId="0" applyNumberFormat="1" applyFont="1" applyFill="1" applyBorder="1" applyAlignment="1">
      <alignment horizontal="center"/>
    </xf>
    <xf numFmtId="49" fontId="52" fillId="0" borderId="63" xfId="0" applyNumberFormat="1" applyFont="1" applyBorder="1" applyAlignment="1">
      <alignment horizontal="center"/>
    </xf>
    <xf numFmtId="49" fontId="51" fillId="0" borderId="63"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1" fillId="0" borderId="3" xfId="0" applyNumberFormat="1" applyFont="1" applyFill="1" applyBorder="1" applyAlignment="1">
      <alignment horizontal="center"/>
    </xf>
    <xf numFmtId="49" fontId="1" fillId="0" borderId="5" xfId="0" applyNumberFormat="1" applyFont="1" applyFill="1" applyBorder="1" applyAlignment="1">
      <alignment horizontal="center"/>
    </xf>
    <xf numFmtId="49" fontId="52" fillId="0" borderId="69" xfId="0" applyNumberFormat="1" applyFont="1" applyFill="1" applyBorder="1" applyAlignment="1">
      <alignment horizontal="center"/>
    </xf>
    <xf numFmtId="49" fontId="45" fillId="0" borderId="17" xfId="0" applyNumberFormat="1" applyFont="1" applyBorder="1" applyAlignment="1" applyProtection="1">
      <alignment horizontal="justify" vertical="center" wrapText="1"/>
    </xf>
    <xf numFmtId="49" fontId="52" fillId="0" borderId="3" xfId="0" applyNumberFormat="1" applyFont="1" applyBorder="1" applyAlignment="1">
      <alignment horizontal="center" vertical="center"/>
    </xf>
    <xf numFmtId="49" fontId="52" fillId="0" borderId="5" xfId="0" applyNumberFormat="1" applyFont="1" applyBorder="1" applyAlignment="1">
      <alignment horizontal="center" vertical="center"/>
    </xf>
    <xf numFmtId="49" fontId="52" fillId="0" borderId="73" xfId="0" applyNumberFormat="1" applyFont="1" applyBorder="1" applyAlignment="1">
      <alignment horizontal="center" vertic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3" fillId="0" borderId="75" xfId="0" applyFont="1" applyBorder="1" applyAlignment="1">
      <alignment horizontal="right" vertical="center"/>
    </xf>
    <xf numFmtId="49" fontId="52" fillId="0" borderId="76" xfId="0" applyNumberFormat="1" applyFont="1" applyFill="1" applyBorder="1" applyAlignment="1">
      <alignment horizontal="center" vertical="center"/>
    </xf>
    <xf numFmtId="49" fontId="52" fillId="0" borderId="71" xfId="0" applyNumberFormat="1" applyFont="1" applyBorder="1" applyAlignment="1">
      <alignment horizontal="center" vertical="center"/>
    </xf>
    <xf numFmtId="49" fontId="52" fillId="0" borderId="75" xfId="0" applyNumberFormat="1" applyFont="1" applyBorder="1" applyAlignment="1">
      <alignment horizontal="center" vertical="center"/>
    </xf>
    <xf numFmtId="0" fontId="3" fillId="0" borderId="71" xfId="0" applyFont="1" applyBorder="1" applyAlignment="1">
      <alignment horizontal="center" vertical="center"/>
    </xf>
    <xf numFmtId="0" fontId="3" fillId="0" borderId="75" xfId="0" applyFont="1" applyBorder="1" applyAlignment="1">
      <alignment horizontal="center" vertical="center"/>
    </xf>
    <xf numFmtId="164" fontId="45" fillId="0" borderId="64" xfId="0" applyNumberFormat="1" applyFont="1" applyBorder="1" applyAlignment="1" applyProtection="1">
      <alignment horizontal="justify" vertical="center" wrapText="1"/>
    </xf>
    <xf numFmtId="0" fontId="52" fillId="0" borderId="73" xfId="0" applyFont="1" applyFill="1" applyBorder="1" applyAlignment="1">
      <alignment horizontal="center" vertical="center"/>
    </xf>
    <xf numFmtId="0" fontId="52" fillId="0" borderId="74" xfId="0" applyFont="1" applyFill="1" applyBorder="1" applyAlignment="1">
      <alignment horizontal="center" vertical="center"/>
    </xf>
    <xf numFmtId="0" fontId="3" fillId="0" borderId="17" xfId="0" applyFont="1" applyBorder="1" applyAlignment="1">
      <alignment horizontal="right" vertical="center"/>
    </xf>
    <xf numFmtId="0" fontId="2" fillId="0" borderId="8" xfId="0" applyFont="1" applyBorder="1" applyAlignment="1">
      <alignment horizontal="center"/>
    </xf>
    <xf numFmtId="49" fontId="52" fillId="0" borderId="74" xfId="0" applyNumberFormat="1" applyFont="1" applyBorder="1" applyAlignment="1">
      <alignment horizontal="center"/>
    </xf>
    <xf numFmtId="49" fontId="52" fillId="0" borderId="38" xfId="0" applyNumberFormat="1" applyFont="1" applyBorder="1" applyAlignment="1">
      <alignment horizontal="center"/>
    </xf>
    <xf numFmtId="49" fontId="52" fillId="0" borderId="63" xfId="0" applyNumberFormat="1" applyFont="1" applyFill="1" applyBorder="1" applyAlignment="1">
      <alignment horizontal="center" vertical="center"/>
    </xf>
    <xf numFmtId="49" fontId="52" fillId="0" borderId="5" xfId="0" applyNumberFormat="1" applyFont="1" applyFill="1" applyBorder="1" applyAlignment="1">
      <alignment horizontal="center" vertical="center"/>
    </xf>
    <xf numFmtId="0" fontId="1" fillId="0" borderId="71" xfId="0" applyFont="1" applyBorder="1" applyAlignment="1">
      <alignment horizontal="right" vertical="center"/>
    </xf>
    <xf numFmtId="0" fontId="1" fillId="0" borderId="72" xfId="0" applyFont="1" applyBorder="1" applyAlignment="1">
      <alignment horizontal="right" vertical="center"/>
    </xf>
    <xf numFmtId="0" fontId="1" fillId="0" borderId="2" xfId="0" applyFont="1" applyBorder="1" applyAlignment="1">
      <alignment vertical="center"/>
    </xf>
    <xf numFmtId="0" fontId="1" fillId="0" borderId="72" xfId="0" applyFont="1" applyBorder="1" applyAlignment="1">
      <alignment vertical="center"/>
    </xf>
    <xf numFmtId="0" fontId="3" fillId="0" borderId="2" xfId="0" applyFont="1" applyBorder="1" applyAlignment="1">
      <alignment horizontal="right"/>
    </xf>
    <xf numFmtId="49" fontId="52" fillId="0" borderId="2" xfId="0" applyNumberFormat="1" applyFont="1" applyFill="1" applyBorder="1" applyAlignment="1">
      <alignment horizontal="left" vertical="center"/>
    </xf>
    <xf numFmtId="49" fontId="52" fillId="0" borderId="72" xfId="0" applyNumberFormat="1" applyFont="1" applyFill="1" applyBorder="1" applyAlignment="1">
      <alignment horizontal="left" vertic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4" fillId="0" borderId="71" xfId="0" applyNumberFormat="1" applyFont="1" applyFill="1" applyBorder="1" applyAlignment="1">
      <alignment horizontal="center" vertical="center"/>
    </xf>
    <xf numFmtId="49" fontId="54" fillId="0" borderId="72" xfId="0" applyNumberFormat="1" applyFont="1" applyFill="1" applyBorder="1" applyAlignment="1">
      <alignment horizontal="center" vertical="center"/>
    </xf>
    <xf numFmtId="49" fontId="52" fillId="0" borderId="14" xfId="0" applyNumberFormat="1" applyFont="1" applyFill="1" applyBorder="1" applyAlignment="1">
      <alignment horizontal="left" vertical="center"/>
    </xf>
    <xf numFmtId="49" fontId="52" fillId="0" borderId="15" xfId="0" applyNumberFormat="1" applyFont="1" applyFill="1" applyBorder="1" applyAlignment="1">
      <alignment horizontal="left" vertical="center"/>
    </xf>
    <xf numFmtId="49" fontId="52" fillId="0" borderId="74" xfId="0" applyNumberFormat="1" applyFont="1" applyFill="1" applyBorder="1" applyAlignment="1">
      <alignment horizontal="left" vertical="center"/>
    </xf>
    <xf numFmtId="49" fontId="52" fillId="0" borderId="38" xfId="0" applyNumberFormat="1" applyFont="1" applyFill="1" applyBorder="1" applyAlignment="1">
      <alignment horizontal="left" vertical="center"/>
    </xf>
    <xf numFmtId="49" fontId="52" fillId="0" borderId="2" xfId="0" applyNumberFormat="1" applyFont="1" applyFill="1" applyBorder="1" applyAlignment="1">
      <alignment horizontal="center" vertical="center"/>
    </xf>
    <xf numFmtId="49" fontId="52" fillId="0" borderId="67" xfId="0" applyNumberFormat="1" applyFont="1" applyFill="1" applyBorder="1" applyAlignment="1">
      <alignment horizontal="center" vertical="center"/>
    </xf>
    <xf numFmtId="49" fontId="52" fillId="0" borderId="69" xfId="0" applyNumberFormat="1" applyFont="1" applyFill="1" applyBorder="1" applyAlignment="1">
      <alignment horizontal="center" vertic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4" fillId="0" borderId="63" xfId="0" applyNumberFormat="1" applyFont="1" applyFill="1" applyBorder="1" applyAlignment="1">
      <alignment horizontal="left"/>
    </xf>
    <xf numFmtId="49" fontId="54" fillId="0" borderId="5" xfId="0" applyNumberFormat="1" applyFont="1" applyFill="1" applyBorder="1" applyAlignment="1">
      <alignment horizontal="left"/>
    </xf>
    <xf numFmtId="49" fontId="51" fillId="0" borderId="14" xfId="0" applyNumberFormat="1" applyFont="1" applyFill="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49" fontId="2" fillId="0" borderId="74" xfId="0" applyNumberFormat="1" applyFont="1" applyFill="1" applyBorder="1" applyAlignment="1">
      <alignment horizontal="center"/>
    </xf>
    <xf numFmtId="49" fontId="55" fillId="0" borderId="63" xfId="0" applyNumberFormat="1" applyFont="1" applyFill="1" applyBorder="1" applyAlignment="1">
      <alignment horizontal="center"/>
    </xf>
    <xf numFmtId="0" fontId="1" fillId="0" borderId="2" xfId="0" applyFont="1" applyBorder="1" applyAlignment="1"/>
    <xf numFmtId="0" fontId="1" fillId="0" borderId="17" xfId="0" applyFont="1" applyBorder="1" applyAlignment="1"/>
    <xf numFmtId="0" fontId="45" fillId="0" borderId="2" xfId="0" applyFont="1" applyBorder="1" applyAlignment="1">
      <alignment horizontal="justify" vertical="center" wrapText="1"/>
    </xf>
    <xf numFmtId="0" fontId="45" fillId="0" borderId="16" xfId="0" applyFont="1" applyBorder="1" applyAlignment="1">
      <alignment horizontal="justify" vertical="center" wrapText="1"/>
    </xf>
    <xf numFmtId="0" fontId="1" fillId="0" borderId="2" xfId="0" applyFont="1" applyBorder="1" applyAlignment="1">
      <alignment horizontal="right" vertical="center"/>
    </xf>
    <xf numFmtId="0" fontId="1" fillId="0" borderId="17" xfId="0" applyFont="1" applyBorder="1" applyAlignment="1">
      <alignment horizontal="right" vertical="center"/>
    </xf>
    <xf numFmtId="49" fontId="55" fillId="0" borderId="2" xfId="0" applyNumberFormat="1" applyFont="1" applyFill="1" applyBorder="1" applyAlignment="1">
      <alignment horizontal="center"/>
    </xf>
    <xf numFmtId="0" fontId="45" fillId="0" borderId="75" xfId="0" applyFont="1" applyBorder="1" applyAlignment="1">
      <alignment horizontal="justify" vertical="center" wrapText="1"/>
    </xf>
    <xf numFmtId="0" fontId="45" fillId="0" borderId="72" xfId="0" applyFont="1" applyBorder="1" applyAlignment="1">
      <alignment horizontal="justify" vertical="center" wrapText="1"/>
    </xf>
    <xf numFmtId="49" fontId="45" fillId="0" borderId="40" xfId="0" applyNumberFormat="1" applyFont="1" applyBorder="1" applyAlignment="1" applyProtection="1">
      <alignment horizontal="justify" vertical="center" wrapText="1"/>
    </xf>
    <xf numFmtId="164" fontId="45" fillId="0" borderId="40" xfId="0" applyNumberFormat="1" applyFont="1" applyBorder="1" applyAlignment="1" applyProtection="1">
      <alignment horizontal="justify" vertical="center" wrapText="1"/>
    </xf>
    <xf numFmtId="164" fontId="45" fillId="0" borderId="75" xfId="0" applyNumberFormat="1" applyFont="1" applyBorder="1" applyAlignment="1" applyProtection="1">
      <alignment horizontal="justify" vertical="center" wrapText="1"/>
    </xf>
    <xf numFmtId="0" fontId="45" fillId="0" borderId="71" xfId="0" applyFont="1" applyBorder="1" applyAlignment="1">
      <alignment horizontal="justify" vertical="center" wrapText="1"/>
    </xf>
    <xf numFmtId="49" fontId="52" fillId="0" borderId="37" xfId="0" applyNumberFormat="1" applyFont="1" applyBorder="1" applyAlignment="1">
      <alignment horizontal="center"/>
    </xf>
    <xf numFmtId="49" fontId="52" fillId="0" borderId="37" xfId="0" applyNumberFormat="1"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164" fontId="45" fillId="0" borderId="68" xfId="0" applyNumberFormat="1" applyFont="1" applyBorder="1" applyAlignment="1" applyProtection="1">
      <alignment horizontal="justify" vertical="center" wrapText="1"/>
    </xf>
    <xf numFmtId="49" fontId="51" fillId="0" borderId="71" xfId="0" applyNumberFormat="1" applyFont="1" applyFill="1" applyBorder="1" applyAlignment="1">
      <alignment horizontal="center" vertical="center"/>
    </xf>
    <xf numFmtId="49" fontId="51" fillId="0" borderId="72" xfId="0" applyNumberFormat="1" applyFont="1" applyFill="1" applyBorder="1" applyAlignment="1">
      <alignment horizontal="center" vertical="center"/>
    </xf>
    <xf numFmtId="49" fontId="51" fillId="0" borderId="73" xfId="0" applyNumberFormat="1" applyFont="1" applyFill="1" applyBorder="1" applyAlignment="1">
      <alignment horizontal="center" vertical="center"/>
    </xf>
    <xf numFmtId="49" fontId="51" fillId="0" borderId="15" xfId="0" applyNumberFormat="1" applyFont="1" applyFill="1" applyBorder="1" applyAlignment="1">
      <alignment horizontal="center" vertical="center"/>
    </xf>
    <xf numFmtId="49" fontId="51" fillId="0" borderId="74" xfId="0" applyNumberFormat="1" applyFont="1" applyFill="1" applyBorder="1" applyAlignment="1">
      <alignment horizontal="center" vertical="center"/>
    </xf>
    <xf numFmtId="49" fontId="51" fillId="0" borderId="38" xfId="0" applyNumberFormat="1" applyFont="1" applyFill="1" applyBorder="1" applyAlignment="1">
      <alignment horizontal="center" vertical="center"/>
    </xf>
    <xf numFmtId="0" fontId="1" fillId="0" borderId="71" xfId="0" applyFont="1" applyBorder="1" applyAlignment="1">
      <alignment vertical="center"/>
    </xf>
    <xf numFmtId="49" fontId="54" fillId="0" borderId="73" xfId="0" applyNumberFormat="1" applyFont="1" applyFill="1" applyBorder="1" applyAlignment="1">
      <alignment horizontal="center" vertical="center"/>
    </xf>
    <xf numFmtId="49" fontId="54" fillId="0" borderId="15" xfId="0" applyNumberFormat="1" applyFont="1" applyFill="1" applyBorder="1" applyAlignment="1">
      <alignment horizontal="center" vertical="center"/>
    </xf>
    <xf numFmtId="49" fontId="54" fillId="0" borderId="74" xfId="0" applyNumberFormat="1" applyFont="1" applyFill="1" applyBorder="1" applyAlignment="1">
      <alignment horizontal="center" vertical="center"/>
    </xf>
    <xf numFmtId="49" fontId="54" fillId="0" borderId="38" xfId="0" applyNumberFormat="1" applyFont="1" applyFill="1" applyBorder="1" applyAlignment="1">
      <alignment horizontal="center" vertical="center"/>
    </xf>
    <xf numFmtId="49" fontId="55" fillId="0" borderId="63" xfId="0" applyNumberFormat="1" applyFont="1" applyFill="1" applyBorder="1" applyAlignment="1">
      <alignment horizontal="center" vertical="center"/>
    </xf>
    <xf numFmtId="49" fontId="55" fillId="0" borderId="5" xfId="0" applyNumberFormat="1" applyFont="1" applyFill="1" applyBorder="1" applyAlignment="1">
      <alignment horizontal="center" vertical="center"/>
    </xf>
    <xf numFmtId="0" fontId="1" fillId="0" borderId="16" xfId="0" applyFont="1" applyBorder="1" applyAlignment="1">
      <alignment vertical="center"/>
    </xf>
    <xf numFmtId="49" fontId="2" fillId="0" borderId="63" xfId="0" applyNumberFormat="1" applyFont="1" applyFill="1" applyBorder="1" applyAlignment="1">
      <alignment horizontal="center"/>
    </xf>
    <xf numFmtId="0" fontId="52" fillId="0" borderId="2" xfId="0" applyFont="1" applyBorder="1" applyAlignment="1">
      <alignment horizontal="right" vertical="center"/>
    </xf>
    <xf numFmtId="0" fontId="52" fillId="0" borderId="17" xfId="0" applyFont="1" applyBorder="1" applyAlignment="1">
      <alignment horizontal="right" vertical="center"/>
    </xf>
    <xf numFmtId="0" fontId="2" fillId="0" borderId="63" xfId="0" applyFont="1" applyBorder="1" applyAlignment="1">
      <alignment horizontal="center"/>
    </xf>
    <xf numFmtId="49" fontId="1" fillId="0" borderId="63" xfId="0" applyNumberFormat="1" applyFont="1" applyFill="1" applyBorder="1" applyAlignment="1">
      <alignment horizontal="center"/>
    </xf>
    <xf numFmtId="49" fontId="2" fillId="0" borderId="63" xfId="0" applyNumberFormat="1" applyFont="1" applyBorder="1" applyAlignment="1">
      <alignment horizontal="center"/>
    </xf>
    <xf numFmtId="49" fontId="56" fillId="0" borderId="63" xfId="0" applyNumberFormat="1" applyFont="1" applyFill="1" applyBorder="1" applyAlignment="1">
      <alignment horizontal="center"/>
    </xf>
    <xf numFmtId="49" fontId="51" fillId="3" borderId="63" xfId="0" applyNumberFormat="1" applyFont="1" applyFill="1" applyBorder="1" applyAlignment="1">
      <alignment horizontal="center"/>
    </xf>
    <xf numFmtId="49" fontId="2" fillId="0" borderId="63" xfId="0" applyNumberFormat="1" applyFont="1" applyBorder="1" applyAlignment="1">
      <alignment horizontal="right"/>
    </xf>
    <xf numFmtId="0" fontId="52" fillId="0" borderId="63" xfId="0" applyFont="1" applyBorder="1" applyAlignment="1">
      <alignment horizontal="center"/>
    </xf>
    <xf numFmtId="0" fontId="52" fillId="0" borderId="5" xfId="0" applyFont="1" applyBorder="1" applyAlignment="1">
      <alignment horizontal="center"/>
    </xf>
    <xf numFmtId="49" fontId="52" fillId="0" borderId="69" xfId="0" applyNumberFormat="1" applyFont="1" applyBorder="1" applyAlignment="1">
      <alignment horizontal="center"/>
    </xf>
    <xf numFmtId="0" fontId="2" fillId="0" borderId="63" xfId="0" applyFont="1" applyBorder="1" applyAlignment="1">
      <alignment horizontal="center" wrapText="1"/>
    </xf>
    <xf numFmtId="49" fontId="1" fillId="0" borderId="69" xfId="0" applyNumberFormat="1" applyFont="1" applyBorder="1" applyAlignment="1">
      <alignment horizontal="center"/>
    </xf>
    <xf numFmtId="0" fontId="1" fillId="0" borderId="63" xfId="0" applyFont="1" applyFill="1" applyBorder="1" applyAlignment="1">
      <alignment horizontal="center"/>
    </xf>
    <xf numFmtId="49" fontId="52" fillId="0" borderId="64" xfId="0" applyNumberFormat="1" applyFont="1" applyBorder="1" applyAlignment="1">
      <alignment horizontal="center"/>
    </xf>
    <xf numFmtId="49" fontId="1" fillId="0" borderId="63" xfId="0" applyNumberFormat="1" applyFont="1" applyBorder="1" applyAlignment="1">
      <alignment horizontal="center"/>
    </xf>
    <xf numFmtId="49" fontId="2" fillId="0" borderId="64" xfId="0" applyNumberFormat="1" applyFont="1" applyBorder="1" applyAlignment="1">
      <alignment horizontal="right"/>
    </xf>
    <xf numFmtId="49" fontId="54" fillId="0" borderId="63" xfId="0" applyNumberFormat="1" applyFont="1" applyFill="1" applyBorder="1" applyAlignment="1">
      <alignment horizontal="center"/>
    </xf>
    <xf numFmtId="49" fontId="1" fillId="0" borderId="64" xfId="0" applyNumberFormat="1" applyFont="1" applyBorder="1" applyAlignment="1">
      <alignment horizontal="center"/>
    </xf>
    <xf numFmtId="0" fontId="1" fillId="0" borderId="64" xfId="0" applyFont="1" applyBorder="1" applyAlignment="1">
      <alignment horizontal="center"/>
    </xf>
    <xf numFmtId="49" fontId="45" fillId="0" borderId="2" xfId="0" applyNumberFormat="1" applyFont="1" applyBorder="1" applyAlignment="1" applyProtection="1">
      <alignment horizontal="justify" vertical="center" wrapText="1"/>
    </xf>
    <xf numFmtId="49" fontId="52" fillId="0" borderId="71" xfId="0" applyNumberFormat="1" applyFont="1" applyBorder="1" applyAlignment="1">
      <alignment horizontal="center"/>
    </xf>
    <xf numFmtId="49" fontId="52" fillId="0" borderId="72" xfId="0" applyNumberFormat="1" applyFont="1" applyBorder="1" applyAlignment="1">
      <alignment horizontal="center"/>
    </xf>
    <xf numFmtId="49" fontId="45" fillId="0" borderId="71" xfId="0" applyNumberFormat="1" applyFont="1" applyBorder="1" applyAlignment="1">
      <alignment horizontal="justify"/>
    </xf>
    <xf numFmtId="49" fontId="45" fillId="0" borderId="72" xfId="0" applyNumberFormat="1" applyFont="1" applyBorder="1" applyAlignment="1">
      <alignment horizontal="justify"/>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2" fillId="0" borderId="37" xfId="0" applyNumberFormat="1" applyFont="1" applyBorder="1" applyAlignment="1">
      <alignment horizontal="left"/>
    </xf>
    <xf numFmtId="49" fontId="52" fillId="0" borderId="38" xfId="0" applyNumberFormat="1" applyFont="1" applyBorder="1" applyAlignment="1">
      <alignment horizontal="left"/>
    </xf>
    <xf numFmtId="49" fontId="51" fillId="0" borderId="37" xfId="0" applyNumberFormat="1" applyFont="1" applyFill="1" applyBorder="1" applyAlignment="1">
      <alignment horizontal="center"/>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49" fontId="45" fillId="0" borderId="41" xfId="0" applyNumberFormat="1" applyFont="1" applyBorder="1" applyAlignment="1" applyProtection="1">
      <alignment horizontal="justify" vertical="center" wrapText="1"/>
    </xf>
    <xf numFmtId="0" fontId="3" fillId="0" borderId="2" xfId="0" applyFont="1" applyBorder="1" applyAlignment="1">
      <alignment horizontal="right" vertical="center"/>
    </xf>
  </cellXfs>
  <cellStyles count="3">
    <cellStyle name="Обычный" xfId="0" builtinId="0"/>
    <cellStyle name="Обычный 2" xfId="2"/>
    <cellStyle name="Обычный_Источн." xfId="1"/>
  </cellStyles>
  <dxfs count="0"/>
  <tableStyles count="0" defaultTableStyle="TableStyleMedium2" defaultPivotStyle="PivotStyleMedium9"/>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41;&#1102;&#1076;&#1078;&#1077;&#1090;\2019-2021\&#1059;&#1058;&#1054;&#1063;&#1053;&#1045;&#1053;&#1048;&#1045;\26.07.2019%20&#8470;243\26.07.2019%20&#8470;2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ИВФ"/>
      <sheetName val="П4ДОХОДЫ "/>
      <sheetName val="П2ДОХОДЫ"/>
      <sheetName val="П3РБАЦС"/>
      <sheetName val="П4ВСР"/>
      <sheetName val="П3_Доходы"/>
      <sheetName val="П5МП"/>
      <sheetName val="Лист2"/>
      <sheetName val="П6РБАРПР"/>
      <sheetName val="П7ПМВЗ"/>
      <sheetName val="прогноз"/>
      <sheetName val="ожидаемое исполнение"/>
      <sheetName val="Верхний предел "/>
      <sheetName val="Лист1"/>
      <sheetName val="информация"/>
      <sheetName val="информация 1"/>
      <sheetName val="информация 2"/>
      <sheetName val="доп.информация"/>
      <sheetName val="доп.доп.информация"/>
    </sheetNames>
    <sheetDataSet>
      <sheetData sheetId="0">
        <row r="18">
          <cell r="C18">
            <v>2360000</v>
          </cell>
        </row>
      </sheetData>
      <sheetData sheetId="1"/>
      <sheetData sheetId="2">
        <row r="13">
          <cell r="E13">
            <v>222865647.22000003</v>
          </cell>
        </row>
        <row r="171">
          <cell r="E171">
            <v>840336062.30999994</v>
          </cell>
        </row>
      </sheetData>
      <sheetData sheetId="3"/>
      <sheetData sheetId="4">
        <row r="726">
          <cell r="Z726">
            <v>969684767.25000012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topLeftCell="A19" workbookViewId="0">
      <selection activeCell="E5" sqref="E5"/>
    </sheetView>
  </sheetViews>
  <sheetFormatPr defaultRowHeight="15" x14ac:dyDescent="0.25"/>
  <cols>
    <col min="1" max="1" width="27.7109375" style="75" customWidth="1"/>
    <col min="2" max="2" width="50.42578125" style="75" customWidth="1"/>
    <col min="3" max="3" width="21.42578125" style="75"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6"/>
      <c r="D1" s="76"/>
      <c r="E1" s="231" t="s">
        <v>1411</v>
      </c>
    </row>
    <row r="2" spans="1:5" ht="15.75" x14ac:dyDescent="0.25">
      <c r="A2" s="1"/>
      <c r="C2" s="76"/>
      <c r="D2" s="76"/>
      <c r="E2" s="231" t="s">
        <v>30</v>
      </c>
    </row>
    <row r="3" spans="1:5" ht="15.75" x14ac:dyDescent="0.25">
      <c r="A3" s="1"/>
      <c r="C3" s="76"/>
      <c r="D3" s="76"/>
      <c r="E3" s="231" t="s">
        <v>203</v>
      </c>
    </row>
    <row r="4" spans="1:5" ht="15.75" x14ac:dyDescent="0.25">
      <c r="A4" s="1"/>
      <c r="C4" s="76"/>
      <c r="D4" s="2"/>
      <c r="E4" s="297" t="s">
        <v>1682</v>
      </c>
    </row>
    <row r="5" spans="1:5" ht="15.75" x14ac:dyDescent="0.25">
      <c r="A5" s="1"/>
      <c r="B5" s="25"/>
      <c r="C5" s="28"/>
      <c r="E5" s="232"/>
    </row>
    <row r="6" spans="1:5" ht="15.75" x14ac:dyDescent="0.25">
      <c r="A6" s="1"/>
      <c r="B6" s="25"/>
      <c r="C6" s="28"/>
    </row>
    <row r="7" spans="1:5" ht="15.75" customHeight="1" x14ac:dyDescent="0.25">
      <c r="A7" s="1131" t="s">
        <v>1087</v>
      </c>
      <c r="B7" s="1131"/>
      <c r="C7" s="1131"/>
      <c r="D7" s="1131"/>
      <c r="E7" s="1131"/>
    </row>
    <row r="8" spans="1:5" ht="15.75" x14ac:dyDescent="0.25">
      <c r="A8" s="77"/>
      <c r="B8" s="77"/>
      <c r="C8" s="77"/>
    </row>
    <row r="9" spans="1:5" ht="15.75" x14ac:dyDescent="0.25">
      <c r="A9" s="1132" t="s">
        <v>121</v>
      </c>
      <c r="B9" s="1134" t="s">
        <v>1</v>
      </c>
      <c r="C9" s="1136" t="s">
        <v>204</v>
      </c>
      <c r="D9" s="1137"/>
      <c r="E9" s="1138"/>
    </row>
    <row r="10" spans="1:5" ht="15.75" x14ac:dyDescent="0.25">
      <c r="A10" s="1133"/>
      <c r="B10" s="1135"/>
      <c r="C10" s="62">
        <v>2019</v>
      </c>
      <c r="D10" s="78">
        <v>2020</v>
      </c>
      <c r="E10" s="78">
        <v>2021</v>
      </c>
    </row>
    <row r="11" spans="1:5" ht="31.5" x14ac:dyDescent="0.25">
      <c r="A11" s="79" t="s">
        <v>205</v>
      </c>
      <c r="B11" s="80" t="s">
        <v>173</v>
      </c>
      <c r="C11" s="81">
        <v>0</v>
      </c>
      <c r="D11" s="81">
        <f>D12+D13</f>
        <v>0</v>
      </c>
      <c r="E11" s="81">
        <f>E12+E13</f>
        <v>0</v>
      </c>
    </row>
    <row r="12" spans="1:5" ht="47.25" x14ac:dyDescent="0.25">
      <c r="A12" s="82" t="s">
        <v>206</v>
      </c>
      <c r="B12" s="83" t="s">
        <v>207</v>
      </c>
      <c r="C12" s="81">
        <v>0</v>
      </c>
      <c r="D12" s="84">
        <v>0</v>
      </c>
      <c r="E12" s="84">
        <v>0</v>
      </c>
    </row>
    <row r="13" spans="1:5" ht="47.25" x14ac:dyDescent="0.25">
      <c r="A13" s="82" t="s">
        <v>208</v>
      </c>
      <c r="B13" s="83" t="s">
        <v>209</v>
      </c>
      <c r="C13" s="41">
        <v>0</v>
      </c>
      <c r="D13" s="84">
        <v>0</v>
      </c>
      <c r="E13" s="84">
        <v>0</v>
      </c>
    </row>
    <row r="14" spans="1:5" ht="47.25" x14ac:dyDescent="0.25">
      <c r="A14" s="82" t="s">
        <v>210</v>
      </c>
      <c r="B14" s="83" t="s">
        <v>211</v>
      </c>
      <c r="C14" s="41">
        <v>0</v>
      </c>
      <c r="D14" s="41">
        <v>0</v>
      </c>
      <c r="E14" s="41">
        <v>0</v>
      </c>
    </row>
    <row r="15" spans="1:5" ht="63" x14ac:dyDescent="0.25">
      <c r="A15" s="82" t="s">
        <v>212</v>
      </c>
      <c r="B15" s="83" t="s">
        <v>213</v>
      </c>
      <c r="C15" s="41">
        <v>0</v>
      </c>
      <c r="D15" s="84">
        <v>0</v>
      </c>
      <c r="E15" s="84">
        <v>0</v>
      </c>
    </row>
    <row r="16" spans="1:5" ht="63" x14ac:dyDescent="0.25">
      <c r="A16" s="82" t="s">
        <v>214</v>
      </c>
      <c r="B16" s="83" t="s">
        <v>215</v>
      </c>
      <c r="C16" s="41">
        <v>0</v>
      </c>
      <c r="D16" s="84">
        <v>0</v>
      </c>
      <c r="E16" s="84">
        <v>0</v>
      </c>
    </row>
    <row r="17" spans="1:5" ht="32.25" x14ac:dyDescent="0.3">
      <c r="A17" s="26" t="s">
        <v>216</v>
      </c>
      <c r="B17" s="21" t="s">
        <v>172</v>
      </c>
      <c r="C17" s="41">
        <f>14412096.03+112576608.91</f>
        <v>126988704.94</v>
      </c>
      <c r="D17" s="85">
        <v>0</v>
      </c>
      <c r="E17" s="85">
        <v>0</v>
      </c>
    </row>
    <row r="18" spans="1:5" ht="31.5" x14ac:dyDescent="0.25">
      <c r="A18" s="82" t="s">
        <v>217</v>
      </c>
      <c r="B18" s="83" t="s">
        <v>218</v>
      </c>
      <c r="C18" s="41">
        <f>C19+C20</f>
        <v>2360000</v>
      </c>
      <c r="D18" s="41">
        <f>D19+D20</f>
        <v>2400000</v>
      </c>
      <c r="E18" s="41">
        <f>E19+E20</f>
        <v>5000000</v>
      </c>
    </row>
    <row r="19" spans="1:5" ht="63" x14ac:dyDescent="0.25">
      <c r="A19" s="86" t="s">
        <v>219</v>
      </c>
      <c r="B19" s="83" t="s">
        <v>220</v>
      </c>
      <c r="C19" s="41">
        <v>0</v>
      </c>
      <c r="D19" s="84">
        <v>0</v>
      </c>
      <c r="E19" s="84">
        <v>0</v>
      </c>
    </row>
    <row r="20" spans="1:5" ht="63" x14ac:dyDescent="0.25">
      <c r="A20" s="517" t="s">
        <v>221</v>
      </c>
      <c r="B20" s="21" t="s">
        <v>222</v>
      </c>
      <c r="C20" s="41">
        <f>720000+1640000</f>
        <v>2360000</v>
      </c>
      <c r="D20" s="84">
        <f>720000+1680000</f>
        <v>2400000</v>
      </c>
      <c r="E20" s="84">
        <f>3320000+1680000</f>
        <v>5000000</v>
      </c>
    </row>
    <row r="21" spans="1:5" ht="29.25" customHeight="1" x14ac:dyDescent="0.25">
      <c r="A21" s="87" t="s">
        <v>184</v>
      </c>
      <c r="B21" s="88" t="s">
        <v>223</v>
      </c>
      <c r="C21" s="41">
        <f>C17+C18</f>
        <v>129348704.94</v>
      </c>
      <c r="D21" s="41">
        <f>D17+D18</f>
        <v>2400000</v>
      </c>
      <c r="E21" s="41">
        <f>E17+E18</f>
        <v>5000000</v>
      </c>
    </row>
    <row r="22" spans="1:5" ht="0.75" customHeight="1" x14ac:dyDescent="0.25">
      <c r="A22" s="1139" t="s">
        <v>224</v>
      </c>
      <c r="B22" s="1139"/>
      <c r="C22" s="1139"/>
    </row>
    <row r="23" spans="1:5" ht="16.5" x14ac:dyDescent="0.3">
      <c r="B23" s="89"/>
      <c r="C23" s="90"/>
      <c r="D23" s="90"/>
      <c r="E23" s="90"/>
    </row>
    <row r="24" spans="1:5" s="92" customFormat="1" ht="16.5" x14ac:dyDescent="0.3">
      <c r="A24" s="75"/>
      <c r="B24" s="91"/>
      <c r="C24" s="90"/>
      <c r="D24" s="90"/>
      <c r="E24" s="90"/>
    </row>
    <row r="27" spans="1:5" x14ac:dyDescent="0.25">
      <c r="B27" s="17"/>
      <c r="C27" s="93"/>
      <c r="D27" s="93"/>
      <c r="E27" s="93"/>
    </row>
    <row r="28" spans="1:5" x14ac:dyDescent="0.25">
      <c r="B28" s="17"/>
      <c r="C28" s="93"/>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K16" sqref="K16"/>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1201" t="s">
        <v>888</v>
      </c>
      <c r="B1" s="1201"/>
      <c r="C1" s="1201"/>
      <c r="D1" s="1201"/>
    </row>
    <row r="2" spans="1:4" ht="15.75" x14ac:dyDescent="0.25">
      <c r="A2" s="1201" t="s">
        <v>257</v>
      </c>
      <c r="B2" s="1201"/>
      <c r="C2" s="1201"/>
      <c r="D2" s="1201"/>
    </row>
    <row r="3" spans="1:4" ht="15.75" x14ac:dyDescent="0.25">
      <c r="A3" s="1201" t="s">
        <v>0</v>
      </c>
      <c r="B3" s="1201"/>
      <c r="C3" s="1201"/>
      <c r="D3" s="1201"/>
    </row>
    <row r="4" spans="1:4" ht="15.75" x14ac:dyDescent="0.25">
      <c r="A4" s="1201" t="s">
        <v>1682</v>
      </c>
      <c r="B4" s="1201"/>
      <c r="C4" s="1201"/>
      <c r="D4" s="1201"/>
    </row>
    <row r="5" spans="1:4" ht="15.75" x14ac:dyDescent="0.25">
      <c r="A5" s="1"/>
      <c r="B5" s="1"/>
      <c r="C5" s="1"/>
      <c r="D5" s="1"/>
    </row>
    <row r="6" spans="1:4" ht="18" x14ac:dyDescent="0.25">
      <c r="A6" s="1239" t="s">
        <v>258</v>
      </c>
      <c r="B6" s="1239"/>
      <c r="C6" s="1239"/>
      <c r="D6" s="1239"/>
    </row>
    <row r="7" spans="1:4" ht="18" x14ac:dyDescent="0.25">
      <c r="A7" s="1239" t="s">
        <v>1086</v>
      </c>
      <c r="B7" s="1239"/>
      <c r="C7" s="1239"/>
      <c r="D7" s="1239"/>
    </row>
    <row r="8" spans="1:4" ht="15.75" x14ac:dyDescent="0.25">
      <c r="A8" s="1"/>
      <c r="B8" s="1"/>
      <c r="C8" s="1"/>
      <c r="D8" s="1"/>
    </row>
    <row r="9" spans="1:4" ht="15.75" x14ac:dyDescent="0.25">
      <c r="A9" s="1134" t="s">
        <v>1</v>
      </c>
      <c r="B9" s="1236" t="s">
        <v>174</v>
      </c>
      <c r="C9" s="1237"/>
      <c r="D9" s="1238"/>
    </row>
    <row r="10" spans="1:4" ht="15.75" x14ac:dyDescent="0.25">
      <c r="A10" s="1135"/>
      <c r="B10" s="27">
        <v>2019</v>
      </c>
      <c r="C10" s="27">
        <v>2020</v>
      </c>
      <c r="D10" s="20">
        <v>2021</v>
      </c>
    </row>
    <row r="11" spans="1:4" ht="15.75" x14ac:dyDescent="0.25">
      <c r="A11" s="21" t="s">
        <v>259</v>
      </c>
      <c r="B11" s="41">
        <f>B13+B16+B19</f>
        <v>2360000</v>
      </c>
      <c r="C11" s="41">
        <f>C13+C16+C19</f>
        <v>2400000</v>
      </c>
      <c r="D11" s="41">
        <f>D13+D16+D19</f>
        <v>5000000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П1ИВФ!C12</f>
        <v>0</v>
      </c>
      <c r="C14" s="24">
        <f>П1ИВФ!D12</f>
        <v>0</v>
      </c>
      <c r="D14" s="24">
        <f>П1ИВФ!E12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П1ИВФ!C16</f>
        <v>0</v>
      </c>
      <c r="C18" s="24">
        <f>П1ИВФ!D16</f>
        <v>0</v>
      </c>
      <c r="D18" s="24">
        <f>П1ИВФ!E16</f>
        <v>0</v>
      </c>
    </row>
    <row r="19" spans="1:4" ht="31.5" x14ac:dyDescent="0.25">
      <c r="A19" s="23" t="s">
        <v>181</v>
      </c>
      <c r="B19" s="22">
        <f>B20+B21</f>
        <v>2360000</v>
      </c>
      <c r="C19" s="22">
        <f>C20+C21</f>
        <v>2400000</v>
      </c>
      <c r="D19" s="22">
        <f>D20+D21</f>
        <v>5000000</v>
      </c>
    </row>
    <row r="20" spans="1:4" ht="15.75" x14ac:dyDescent="0.25">
      <c r="A20" s="23" t="s">
        <v>182</v>
      </c>
      <c r="B20" s="24">
        <f>[1]П_3!C19</f>
        <v>0</v>
      </c>
      <c r="C20" s="24">
        <f>[1]П_3!D19</f>
        <v>0</v>
      </c>
      <c r="D20" s="24">
        <f>[1]П_3!E19</f>
        <v>0</v>
      </c>
    </row>
    <row r="21" spans="1:4" ht="31.5" x14ac:dyDescent="0.25">
      <c r="A21" s="23" t="s">
        <v>183</v>
      </c>
      <c r="B21" s="24">
        <f>П1ИВФ!C20</f>
        <v>2360000</v>
      </c>
      <c r="C21" s="24">
        <f>П1ИВФ!D20</f>
        <v>2400000</v>
      </c>
      <c r="D21" s="24">
        <f>П1ИВФ!E20</f>
        <v>5000000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586"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587" t="s">
        <v>1213</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row>
    <row r="2" spans="1:38" x14ac:dyDescent="0.25">
      <c r="A2" s="588"/>
      <c r="S2" s="17" t="s">
        <v>1110</v>
      </c>
      <c r="AJ2" s="1242"/>
      <c r="AK2" s="1242"/>
    </row>
    <row r="3" spans="1:38" x14ac:dyDescent="0.25">
      <c r="A3" s="1243" t="s">
        <v>1</v>
      </c>
      <c r="B3" s="1243" t="s">
        <v>1111</v>
      </c>
      <c r="C3" s="1243"/>
      <c r="D3" s="1243"/>
      <c r="E3" s="1243" t="s">
        <v>1112</v>
      </c>
      <c r="F3" s="1243"/>
      <c r="G3" s="1243"/>
      <c r="H3" s="1243" t="s">
        <v>1113</v>
      </c>
      <c r="I3" s="1243"/>
      <c r="J3" s="1243"/>
      <c r="K3" s="1244" t="s">
        <v>109</v>
      </c>
      <c r="L3" s="1245"/>
      <c r="M3" s="1245"/>
      <c r="N3" s="1245"/>
      <c r="O3" s="1245"/>
      <c r="P3" s="1245"/>
      <c r="Q3" s="589"/>
      <c r="R3" s="589"/>
      <c r="S3" s="589"/>
      <c r="T3" s="589"/>
      <c r="U3" s="589"/>
      <c r="V3" s="589"/>
      <c r="W3" s="589"/>
      <c r="X3" s="589"/>
      <c r="Y3" s="589"/>
      <c r="Z3" s="589"/>
      <c r="AA3" s="589"/>
      <c r="AB3" s="589"/>
      <c r="AC3" s="589"/>
      <c r="AD3" s="589"/>
      <c r="AE3" s="589"/>
      <c r="AF3" s="589"/>
      <c r="AG3" s="589"/>
      <c r="AH3" s="589"/>
      <c r="AI3" s="589"/>
      <c r="AJ3" s="589"/>
      <c r="AK3" s="590"/>
      <c r="AL3" s="586"/>
    </row>
    <row r="4" spans="1:38" x14ac:dyDescent="0.25">
      <c r="A4" s="1243"/>
      <c r="B4" s="1243"/>
      <c r="C4" s="1243"/>
      <c r="D4" s="1243"/>
      <c r="E4" s="1243"/>
      <c r="F4" s="1243"/>
      <c r="G4" s="1243"/>
      <c r="H4" s="1243"/>
      <c r="I4" s="1243"/>
      <c r="J4" s="1243"/>
      <c r="K4" s="1243" t="s">
        <v>1114</v>
      </c>
      <c r="L4" s="1243"/>
      <c r="M4" s="1243"/>
      <c r="N4" s="1243" t="s">
        <v>1115</v>
      </c>
      <c r="O4" s="1243"/>
      <c r="P4" s="1243"/>
      <c r="Q4" s="1243" t="s">
        <v>1116</v>
      </c>
      <c r="R4" s="1243"/>
      <c r="S4" s="1243"/>
      <c r="T4" s="1243" t="s">
        <v>1117</v>
      </c>
      <c r="U4" s="1243"/>
      <c r="V4" s="1243"/>
      <c r="W4" s="1243" t="s">
        <v>1118</v>
      </c>
      <c r="X4" s="1243"/>
      <c r="Y4" s="1243"/>
      <c r="Z4" s="1243" t="s">
        <v>1119</v>
      </c>
      <c r="AA4" s="1243"/>
      <c r="AB4" s="1243"/>
      <c r="AC4" s="1243" t="s">
        <v>1120</v>
      </c>
      <c r="AD4" s="1243"/>
      <c r="AE4" s="1243"/>
      <c r="AF4" s="1243" t="s">
        <v>1121</v>
      </c>
      <c r="AG4" s="1243"/>
      <c r="AH4" s="1243"/>
      <c r="AI4" s="1243" t="s">
        <v>1122</v>
      </c>
      <c r="AJ4" s="1243"/>
      <c r="AK4" s="1243"/>
      <c r="AL4" s="586"/>
    </row>
    <row r="5" spans="1:38" x14ac:dyDescent="0.25">
      <c r="A5" s="1243"/>
      <c r="B5" s="591">
        <v>2019</v>
      </c>
      <c r="C5" s="591">
        <v>2020</v>
      </c>
      <c r="D5" s="591">
        <v>2021</v>
      </c>
      <c r="E5" s="658">
        <v>2019</v>
      </c>
      <c r="F5" s="658">
        <v>2020</v>
      </c>
      <c r="G5" s="658">
        <v>2021</v>
      </c>
      <c r="H5" s="658">
        <v>2019</v>
      </c>
      <c r="I5" s="658">
        <v>2020</v>
      </c>
      <c r="J5" s="658">
        <v>2021</v>
      </c>
      <c r="K5" s="658">
        <v>2019</v>
      </c>
      <c r="L5" s="658">
        <v>2020</v>
      </c>
      <c r="M5" s="658">
        <v>2021</v>
      </c>
      <c r="N5" s="658">
        <v>2019</v>
      </c>
      <c r="O5" s="658">
        <v>2020</v>
      </c>
      <c r="P5" s="658">
        <v>2021</v>
      </c>
      <c r="Q5" s="658">
        <v>2019</v>
      </c>
      <c r="R5" s="658">
        <v>2020</v>
      </c>
      <c r="S5" s="658">
        <v>2021</v>
      </c>
      <c r="T5" s="658">
        <v>2019</v>
      </c>
      <c r="U5" s="658">
        <v>2020</v>
      </c>
      <c r="V5" s="658">
        <v>2021</v>
      </c>
      <c r="W5" s="658">
        <v>2019</v>
      </c>
      <c r="X5" s="658">
        <v>2020</v>
      </c>
      <c r="Y5" s="658">
        <v>2021</v>
      </c>
      <c r="Z5" s="658">
        <v>2019</v>
      </c>
      <c r="AA5" s="658">
        <v>2020</v>
      </c>
      <c r="AB5" s="658">
        <v>2021</v>
      </c>
      <c r="AC5" s="658">
        <v>2019</v>
      </c>
      <c r="AD5" s="658">
        <v>2020</v>
      </c>
      <c r="AE5" s="658">
        <v>2021</v>
      </c>
      <c r="AF5" s="658">
        <v>2019</v>
      </c>
      <c r="AG5" s="658">
        <v>2020</v>
      </c>
      <c r="AH5" s="658">
        <v>2021</v>
      </c>
      <c r="AI5" s="658">
        <v>2019</v>
      </c>
      <c r="AJ5" s="658">
        <v>2020</v>
      </c>
      <c r="AK5" s="658">
        <v>2021</v>
      </c>
      <c r="AL5" s="586"/>
    </row>
    <row r="6" spans="1:38" x14ac:dyDescent="0.25">
      <c r="A6" s="592" t="s">
        <v>1123</v>
      </c>
      <c r="B6" s="593">
        <f>E6+H6</f>
        <v>898403</v>
      </c>
      <c r="C6" s="593">
        <f>F6+I6</f>
        <v>902902</v>
      </c>
      <c r="D6" s="593">
        <f>G6+J6</f>
        <v>924795</v>
      </c>
      <c r="E6" s="593">
        <f>E7+E9+E10+E8</f>
        <v>747921</v>
      </c>
      <c r="F6" s="593">
        <f t="shared" ref="F6:AK6" si="0">F7+F9+F10+F8</f>
        <v>755098</v>
      </c>
      <c r="G6" s="593">
        <f t="shared" si="0"/>
        <v>773186</v>
      </c>
      <c r="H6" s="593">
        <f t="shared" si="0"/>
        <v>150482</v>
      </c>
      <c r="I6" s="593">
        <f t="shared" si="0"/>
        <v>147804</v>
      </c>
      <c r="J6" s="593">
        <f t="shared" si="0"/>
        <v>151609</v>
      </c>
      <c r="K6" s="593">
        <f t="shared" si="0"/>
        <v>4712</v>
      </c>
      <c r="L6" s="593">
        <f t="shared" si="0"/>
        <v>4709</v>
      </c>
      <c r="M6" s="593">
        <f t="shared" si="0"/>
        <v>4709</v>
      </c>
      <c r="N6" s="593">
        <f t="shared" si="0"/>
        <v>5575</v>
      </c>
      <c r="O6" s="593">
        <f t="shared" si="0"/>
        <v>5144</v>
      </c>
      <c r="P6" s="593">
        <f t="shared" si="0"/>
        <v>5145</v>
      </c>
      <c r="Q6" s="593">
        <f>Q7+Q9+Q10+Q8</f>
        <v>22399</v>
      </c>
      <c r="R6" s="593">
        <f t="shared" si="0"/>
        <v>22818</v>
      </c>
      <c r="S6" s="593">
        <f t="shared" si="0"/>
        <v>23835</v>
      </c>
      <c r="T6" s="593">
        <f t="shared" si="0"/>
        <v>11905</v>
      </c>
      <c r="U6" s="593">
        <f t="shared" si="0"/>
        <v>8364</v>
      </c>
      <c r="V6" s="593">
        <f t="shared" si="0"/>
        <v>8364</v>
      </c>
      <c r="W6" s="593">
        <f t="shared" si="0"/>
        <v>67929</v>
      </c>
      <c r="X6" s="593">
        <f t="shared" si="0"/>
        <v>67989</v>
      </c>
      <c r="Y6" s="593">
        <f t="shared" si="0"/>
        <v>69861</v>
      </c>
      <c r="Z6" s="593">
        <f t="shared" si="0"/>
        <v>4568</v>
      </c>
      <c r="AA6" s="593">
        <f t="shared" si="0"/>
        <v>4628</v>
      </c>
      <c r="AB6" s="593">
        <f t="shared" si="0"/>
        <v>4737</v>
      </c>
      <c r="AC6" s="593">
        <f t="shared" si="0"/>
        <v>10960</v>
      </c>
      <c r="AD6" s="593">
        <f t="shared" si="0"/>
        <v>10765</v>
      </c>
      <c r="AE6" s="593">
        <f t="shared" si="0"/>
        <v>10682</v>
      </c>
      <c r="AF6" s="593">
        <f t="shared" si="0"/>
        <v>7813</v>
      </c>
      <c r="AG6" s="593">
        <f t="shared" si="0"/>
        <v>7931</v>
      </c>
      <c r="AH6" s="593">
        <f t="shared" si="0"/>
        <v>8027</v>
      </c>
      <c r="AI6" s="593">
        <f>AI7+AI9+AI10+AI8</f>
        <v>14621</v>
      </c>
      <c r="AJ6" s="593">
        <f t="shared" si="0"/>
        <v>15456</v>
      </c>
      <c r="AK6" s="593">
        <f t="shared" si="0"/>
        <v>16249</v>
      </c>
    </row>
    <row r="7" spans="1:38" x14ac:dyDescent="0.25">
      <c r="A7" s="594" t="s">
        <v>1124</v>
      </c>
      <c r="B7" s="595">
        <f>E7+H7</f>
        <v>293002</v>
      </c>
      <c r="C7" s="595">
        <f t="shared" ref="B7:D26" si="1">F7+I7</f>
        <v>259081</v>
      </c>
      <c r="D7" s="595">
        <f t="shared" si="1"/>
        <v>264951</v>
      </c>
      <c r="E7" s="595">
        <v>186844</v>
      </c>
      <c r="F7" s="595">
        <v>154799</v>
      </c>
      <c r="G7" s="595">
        <v>157168</v>
      </c>
      <c r="H7" s="595">
        <f>K7+N7+Q7+T7+W7+Z7+AC7+AF7+AI7</f>
        <v>106158</v>
      </c>
      <c r="I7" s="595">
        <f t="shared" ref="H7:J10" si="2">L7+O7+R7+U7+X7+AA7+AD7+AG7+AJ7</f>
        <v>104282</v>
      </c>
      <c r="J7" s="595">
        <f t="shared" si="2"/>
        <v>107783</v>
      </c>
      <c r="K7" s="595">
        <v>396</v>
      </c>
      <c r="L7" s="595">
        <v>396</v>
      </c>
      <c r="M7" s="595">
        <v>396</v>
      </c>
      <c r="N7" s="595">
        <v>2773</v>
      </c>
      <c r="O7" s="595">
        <v>2286</v>
      </c>
      <c r="P7" s="595">
        <v>2286</v>
      </c>
      <c r="Q7" s="595">
        <v>18847</v>
      </c>
      <c r="R7" s="595">
        <v>19646</v>
      </c>
      <c r="S7" s="595">
        <v>20663</v>
      </c>
      <c r="T7" s="595">
        <v>8568</v>
      </c>
      <c r="U7" s="595">
        <v>5465</v>
      </c>
      <c r="V7" s="595">
        <v>5465</v>
      </c>
      <c r="W7" s="595">
        <v>53211</v>
      </c>
      <c r="X7" s="595">
        <v>53251</v>
      </c>
      <c r="Y7" s="595">
        <v>54793</v>
      </c>
      <c r="Z7" s="595">
        <v>1746</v>
      </c>
      <c r="AA7" s="595">
        <v>1801</v>
      </c>
      <c r="AB7" s="595">
        <v>1904</v>
      </c>
      <c r="AC7" s="595">
        <v>6547</v>
      </c>
      <c r="AD7" s="595">
        <v>6443</v>
      </c>
      <c r="AE7" s="595">
        <v>6403</v>
      </c>
      <c r="AF7" s="595">
        <v>1809</v>
      </c>
      <c r="AG7" s="595">
        <v>1922</v>
      </c>
      <c r="AH7" s="595">
        <v>2013</v>
      </c>
      <c r="AI7" s="595">
        <v>12261</v>
      </c>
      <c r="AJ7" s="595">
        <v>13072</v>
      </c>
      <c r="AK7" s="595">
        <v>13860</v>
      </c>
    </row>
    <row r="8" spans="1:38" x14ac:dyDescent="0.25">
      <c r="A8" s="594" t="s">
        <v>1125</v>
      </c>
      <c r="B8" s="595">
        <f>E8+H8</f>
        <v>42831</v>
      </c>
      <c r="C8" s="595">
        <f>F8+I8</f>
        <v>39603</v>
      </c>
      <c r="D8" s="595">
        <f>G8+J8</f>
        <v>40020</v>
      </c>
      <c r="E8" s="595">
        <v>21958</v>
      </c>
      <c r="F8" s="595">
        <v>19601</v>
      </c>
      <c r="G8" s="595">
        <v>19721</v>
      </c>
      <c r="H8" s="595">
        <f>K8+N8+Q8+T8+W8+Z8+AC8+AF8+AI8</f>
        <v>20873</v>
      </c>
      <c r="I8" s="595">
        <f>L8+O8+R8+U8+X8+AA8+AD8+AG8+AJ8</f>
        <v>20002</v>
      </c>
      <c r="J8" s="595">
        <f>M8+P8+S8+V8+Y8+AB8+AE8+AH8+AK8</f>
        <v>20299</v>
      </c>
      <c r="K8" s="596">
        <v>0</v>
      </c>
      <c r="L8" s="596">
        <v>0</v>
      </c>
      <c r="M8" s="596">
        <v>0</v>
      </c>
      <c r="N8" s="595">
        <v>0</v>
      </c>
      <c r="O8" s="595">
        <v>0</v>
      </c>
      <c r="P8" s="595">
        <v>0</v>
      </c>
      <c r="Q8" s="595">
        <v>2842</v>
      </c>
      <c r="R8" s="595">
        <v>2442</v>
      </c>
      <c r="S8" s="595">
        <v>2442</v>
      </c>
      <c r="T8" s="595">
        <v>710</v>
      </c>
      <c r="U8" s="595">
        <v>300</v>
      </c>
      <c r="V8" s="595">
        <v>300</v>
      </c>
      <c r="W8" s="595">
        <v>14718</v>
      </c>
      <c r="X8" s="595">
        <v>14738</v>
      </c>
      <c r="Y8" s="595">
        <v>15068</v>
      </c>
      <c r="Z8" s="595">
        <v>210</v>
      </c>
      <c r="AA8" s="595">
        <v>210</v>
      </c>
      <c r="AB8" s="595">
        <v>210</v>
      </c>
      <c r="AC8" s="595">
        <v>520</v>
      </c>
      <c r="AD8" s="595">
        <v>429</v>
      </c>
      <c r="AE8" s="595">
        <v>386</v>
      </c>
      <c r="AF8" s="595">
        <v>103</v>
      </c>
      <c r="AG8" s="595">
        <v>108</v>
      </c>
      <c r="AH8" s="595">
        <v>113</v>
      </c>
      <c r="AI8" s="595">
        <v>1770</v>
      </c>
      <c r="AJ8" s="595">
        <v>1775</v>
      </c>
      <c r="AK8" s="595">
        <v>1780</v>
      </c>
    </row>
    <row r="9" spans="1:38" x14ac:dyDescent="0.25">
      <c r="A9" s="594" t="s">
        <v>1095</v>
      </c>
      <c r="B9" s="596">
        <f t="shared" si="1"/>
        <v>562570</v>
      </c>
      <c r="C9" s="596">
        <f t="shared" si="1"/>
        <v>604218</v>
      </c>
      <c r="D9" s="596">
        <f t="shared" si="1"/>
        <v>619824</v>
      </c>
      <c r="E9" s="596">
        <v>539119</v>
      </c>
      <c r="F9" s="596">
        <v>580698</v>
      </c>
      <c r="G9" s="596">
        <v>596297</v>
      </c>
      <c r="H9" s="596">
        <f>K9+N9+Q9+T9+W9+Z9+AC9+AF9+AI9</f>
        <v>23451</v>
      </c>
      <c r="I9" s="596">
        <f t="shared" si="2"/>
        <v>23520</v>
      </c>
      <c r="J9" s="596">
        <f t="shared" si="2"/>
        <v>23527</v>
      </c>
      <c r="K9" s="596">
        <v>4316</v>
      </c>
      <c r="L9" s="596">
        <v>4313</v>
      </c>
      <c r="M9" s="596">
        <v>4313</v>
      </c>
      <c r="N9" s="596">
        <v>2802</v>
      </c>
      <c r="O9" s="596">
        <v>2858</v>
      </c>
      <c r="P9" s="596">
        <v>2859</v>
      </c>
      <c r="Q9" s="596">
        <v>710</v>
      </c>
      <c r="R9" s="596">
        <v>730</v>
      </c>
      <c r="S9" s="596">
        <v>730</v>
      </c>
      <c r="T9" s="596">
        <v>2627</v>
      </c>
      <c r="U9" s="596">
        <v>2599</v>
      </c>
      <c r="V9" s="596">
        <v>2599</v>
      </c>
      <c r="W9" s="596">
        <v>0</v>
      </c>
      <c r="X9" s="596">
        <v>0</v>
      </c>
      <c r="Y9" s="596">
        <v>0</v>
      </c>
      <c r="Z9" s="596">
        <v>2612</v>
      </c>
      <c r="AA9" s="596">
        <v>2617</v>
      </c>
      <c r="AB9" s="596">
        <v>2623</v>
      </c>
      <c r="AC9" s="597">
        <v>3893</v>
      </c>
      <c r="AD9" s="597">
        <v>3893</v>
      </c>
      <c r="AE9" s="597">
        <v>3893</v>
      </c>
      <c r="AF9" s="596">
        <v>5901</v>
      </c>
      <c r="AG9" s="596">
        <v>5901</v>
      </c>
      <c r="AH9" s="596">
        <v>5901</v>
      </c>
      <c r="AI9" s="596">
        <v>590</v>
      </c>
      <c r="AJ9" s="596">
        <v>609</v>
      </c>
      <c r="AK9" s="596">
        <v>609</v>
      </c>
    </row>
    <row r="10" spans="1:38" ht="43.5" x14ac:dyDescent="0.25">
      <c r="A10" s="594" t="s">
        <v>1126</v>
      </c>
      <c r="B10" s="596">
        <f t="shared" si="1"/>
        <v>0</v>
      </c>
      <c r="C10" s="596">
        <f t="shared" si="1"/>
        <v>0</v>
      </c>
      <c r="D10" s="596">
        <f t="shared" si="1"/>
        <v>0</v>
      </c>
      <c r="E10" s="596">
        <v>0</v>
      </c>
      <c r="F10" s="596">
        <v>0</v>
      </c>
      <c r="G10" s="596">
        <v>0</v>
      </c>
      <c r="H10" s="596">
        <f t="shared" si="2"/>
        <v>0</v>
      </c>
      <c r="I10" s="596">
        <f t="shared" si="2"/>
        <v>0</v>
      </c>
      <c r="J10" s="596">
        <f t="shared" si="2"/>
        <v>0</v>
      </c>
      <c r="K10" s="596">
        <v>0</v>
      </c>
      <c r="L10" s="596">
        <v>0</v>
      </c>
      <c r="M10" s="596">
        <v>0</v>
      </c>
      <c r="N10" s="596">
        <v>0</v>
      </c>
      <c r="O10" s="596">
        <v>0</v>
      </c>
      <c r="P10" s="596">
        <v>0</v>
      </c>
      <c r="Q10" s="596">
        <v>0</v>
      </c>
      <c r="R10" s="596">
        <v>0</v>
      </c>
      <c r="S10" s="596">
        <v>0</v>
      </c>
      <c r="T10" s="596">
        <v>0</v>
      </c>
      <c r="U10" s="596">
        <v>0</v>
      </c>
      <c r="V10" s="596">
        <v>0</v>
      </c>
      <c r="W10" s="596">
        <v>0</v>
      </c>
      <c r="X10" s="596">
        <v>0</v>
      </c>
      <c r="Y10" s="596">
        <v>0</v>
      </c>
      <c r="Z10" s="596">
        <v>0</v>
      </c>
      <c r="AA10" s="596">
        <v>0</v>
      </c>
      <c r="AB10" s="596">
        <v>0</v>
      </c>
      <c r="AC10" s="596">
        <v>0</v>
      </c>
      <c r="AD10" s="596">
        <v>0</v>
      </c>
      <c r="AE10" s="596">
        <v>0</v>
      </c>
      <c r="AF10" s="596">
        <v>0</v>
      </c>
      <c r="AG10" s="596">
        <v>0</v>
      </c>
      <c r="AH10" s="596">
        <v>0</v>
      </c>
      <c r="AI10" s="596">
        <v>0</v>
      </c>
      <c r="AJ10" s="596">
        <v>0</v>
      </c>
      <c r="AK10" s="596">
        <v>0</v>
      </c>
    </row>
    <row r="11" spans="1:38" x14ac:dyDescent="0.25">
      <c r="A11" s="592" t="s">
        <v>1127</v>
      </c>
      <c r="B11" s="593">
        <f>E11+H11</f>
        <v>904847.3</v>
      </c>
      <c r="C11" s="593">
        <f t="shared" si="1"/>
        <v>903872.1</v>
      </c>
      <c r="D11" s="593">
        <f t="shared" si="1"/>
        <v>926109.1</v>
      </c>
      <c r="E11" s="593">
        <f>E13+E15+E16+E17+E18+E19+E20+E21+E22+E23+E24+E25</f>
        <v>748641</v>
      </c>
      <c r="F11" s="593">
        <f>F13+F15+F16+F17+F18+F19+F20+F21+F22+F23+F24+F25+F12</f>
        <v>755818</v>
      </c>
      <c r="G11" s="593">
        <f>G13+G15+G16+G17+G18+G19+G20+G21+G22+G23+G24+G25+G12</f>
        <v>776506</v>
      </c>
      <c r="H11" s="593">
        <f>H13+H15+H16+H17+H18+H19+H20+H21+H22+H23+H24+H25+H14</f>
        <v>156206.29999999999</v>
      </c>
      <c r="I11" s="593">
        <f>I13+I15+I16+I17+I18+I19+I20+I21+I22+I23+I12+I14+I24+I25</f>
        <v>148054.1</v>
      </c>
      <c r="J11" s="593">
        <f>J13+J15+J16+J17+J18+J19+J20+J21+J22+J23+J12+J14+J24+J25</f>
        <v>149603.1</v>
      </c>
      <c r="K11" s="593">
        <f t="shared" ref="K11:N11" si="3">K13+K15+K16+K17+K18+K19+K20+K21+K22+K23+K24+K25+K14</f>
        <v>4712</v>
      </c>
      <c r="L11" s="593">
        <f>L13+L15+L16+L17+L18+L19+L20+L21+L22+L23+L24+L25+L14+L12</f>
        <v>4709</v>
      </c>
      <c r="M11" s="593">
        <f>M13+M15+M16+M17+M18+M19+M20+M21+M22+M23+M24+M25+M14+M12</f>
        <v>4709</v>
      </c>
      <c r="N11" s="593">
        <f t="shared" si="3"/>
        <v>5852.3</v>
      </c>
      <c r="O11" s="593">
        <f>O13+O15+O16+O17+O18+O19+O20+O21+O22+O23+O24+O25+O14+O12</f>
        <v>5373.1</v>
      </c>
      <c r="P11" s="593">
        <f>P13+P15+P16+P17+P18+P19+P20+P21+P22+P23+P24+P25+P14+P12</f>
        <v>5373.1</v>
      </c>
      <c r="Q11" s="593">
        <f>Q13+Q15+Q16+Q17+Q18+Q19+Q20+Q21+Q22+Q23+Q24+Q25+Q14</f>
        <v>21679</v>
      </c>
      <c r="R11" s="593">
        <f>R13+R15+R16+R17+R18+R19+R20+R21+R22+R23+R24+R25+R12+R14</f>
        <v>22098</v>
      </c>
      <c r="S11" s="593">
        <f>S13+S15+S16+S17+S18+S19+S20+S21+S22+S23+S24+S25+S12+S14</f>
        <v>20514</v>
      </c>
      <c r="T11" s="593">
        <f t="shared" ref="T11:Z11" si="4">T13+T15+T16+T17+T18+T19+T20+T21+T22+T23+T24+T25+T14</f>
        <v>11905</v>
      </c>
      <c r="U11" s="593">
        <f>U13+U15+U16+U17+U18+U19+U20+U21+U22+U23+U24+U25+U14+U12</f>
        <v>8364</v>
      </c>
      <c r="V11" s="593">
        <f>V13+V15+V16+V17+V18+V19+V20+V21+V22+V23+V24+V25+V14+V12</f>
        <v>8364</v>
      </c>
      <c r="W11" s="593">
        <f t="shared" si="4"/>
        <v>73610</v>
      </c>
      <c r="X11" s="593">
        <f>X13+X15+X16+X17+X18+X19+X20+X21+X22+X23+X24+X25+X14+X12</f>
        <v>68323</v>
      </c>
      <c r="Y11" s="593">
        <f>Y13+Y15+Y16+Y17+Y18+Y19+Y20+Y21+Y22+Y23+Y24+Y25+Y14+Y12</f>
        <v>70442</v>
      </c>
      <c r="Z11" s="593">
        <f t="shared" si="4"/>
        <v>4664</v>
      </c>
      <c r="AA11" s="593">
        <f>AA13+AA15+AA16+AA17+AA18+AA19+AA20+AA21+AA22+AA23+AA24+AA25+AA12+AA14</f>
        <v>4728</v>
      </c>
      <c r="AB11" s="593">
        <f>AB13+AB15+AB16+AB17+AB18+AB19+AB20+AB21+AB22+AB23+AB24+AB25+AB12+AB14</f>
        <v>4842</v>
      </c>
      <c r="AC11" s="593">
        <f t="shared" ref="AC11:AI11" si="5">AC13+AC15+AC16+AC17+AC18+AC19+AC20+AC21+AC22+AC23+AC24+AC25+AC14</f>
        <v>10959</v>
      </c>
      <c r="AD11" s="593">
        <f>AD13+AD15+AD16+AD17+AD18+AD19+AD20+AD21+AD22+AD23+AD24+AD25+AD14+AD12</f>
        <v>10675</v>
      </c>
      <c r="AE11" s="593">
        <f>AE13+AE15+AE16+AE17+AE18+AE19+AE20+AE21+AE22+AE23+AE24+AE25+AE14+AE12</f>
        <v>10682</v>
      </c>
      <c r="AF11" s="593">
        <f t="shared" si="5"/>
        <v>8204</v>
      </c>
      <c r="AG11" s="593">
        <f>AG13+AG15+AG16+AG17+AG18+AG19+AG20+AG21+AG22+AG23+AG24+AG25+AG14+AG12</f>
        <v>8328</v>
      </c>
      <c r="AH11" s="593">
        <f>AH13+AH15+AH16+AH17+AH18+AH19+AH20+AH21+AH22+AH23+AH24+AH25+AH14+AH12</f>
        <v>8428</v>
      </c>
      <c r="AI11" s="593">
        <f t="shared" si="5"/>
        <v>14621</v>
      </c>
      <c r="AJ11" s="593">
        <f>AJ13+AJ15+AJ16+AJ17+AJ18+AJ19+AJ20+AJ21+AJ22+AJ23+AJ24+AJ25+AJ14+AJ12</f>
        <v>15456</v>
      </c>
      <c r="AK11" s="593">
        <f>AK13+AK15+AK16+AK17+AK18+AK19+AK20+AK21+AK22+AK23+AK24+AK25+AK14+AK12</f>
        <v>16249</v>
      </c>
    </row>
    <row r="12" spans="1:38" s="18" customFormat="1" x14ac:dyDescent="0.25">
      <c r="A12" s="594" t="s">
        <v>110</v>
      </c>
      <c r="B12" s="595"/>
      <c r="C12" s="593">
        <f t="shared" si="1"/>
        <v>5169</v>
      </c>
      <c r="D12" s="593">
        <f t="shared" si="1"/>
        <v>10100</v>
      </c>
      <c r="E12" s="595">
        <v>0</v>
      </c>
      <c r="F12" s="595">
        <v>4378</v>
      </c>
      <c r="G12" s="595">
        <v>9010</v>
      </c>
      <c r="H12" s="595"/>
      <c r="I12" s="595">
        <f>L12+O12+R12+U12+X12+AA12+AD12+AG12+AJ12</f>
        <v>791</v>
      </c>
      <c r="J12" s="595">
        <f>M12+P12+S12+V12+Y12+AB12+AE12+AH12+AK12</f>
        <v>1090</v>
      </c>
      <c r="K12" s="595"/>
      <c r="L12" s="595">
        <v>0</v>
      </c>
      <c r="M12" s="595">
        <v>0</v>
      </c>
      <c r="N12" s="596">
        <v>0</v>
      </c>
      <c r="O12" s="596">
        <v>129</v>
      </c>
      <c r="P12" s="596">
        <v>252</v>
      </c>
      <c r="Q12" s="595">
        <v>0</v>
      </c>
      <c r="R12" s="595">
        <v>0</v>
      </c>
      <c r="S12" s="595">
        <v>0</v>
      </c>
      <c r="T12" s="596">
        <v>0</v>
      </c>
      <c r="U12" s="596">
        <v>154</v>
      </c>
      <c r="V12" s="596">
        <v>330</v>
      </c>
      <c r="W12" s="596"/>
      <c r="X12" s="596">
        <v>0</v>
      </c>
      <c r="Y12" s="596">
        <v>0</v>
      </c>
      <c r="Z12" s="596"/>
      <c r="AA12" s="595">
        <v>0</v>
      </c>
      <c r="AB12" s="595">
        <v>0</v>
      </c>
      <c r="AC12" s="596"/>
      <c r="AD12" s="596">
        <v>508</v>
      </c>
      <c r="AE12" s="596">
        <v>508</v>
      </c>
      <c r="AF12" s="595"/>
      <c r="AG12" s="595"/>
      <c r="AH12" s="595"/>
      <c r="AI12" s="596">
        <v>0</v>
      </c>
      <c r="AJ12" s="596">
        <v>0</v>
      </c>
      <c r="AK12" s="596">
        <v>0</v>
      </c>
    </row>
    <row r="13" spans="1:38" x14ac:dyDescent="0.25">
      <c r="A13" s="594" t="s">
        <v>111</v>
      </c>
      <c r="B13" s="595">
        <f>E13+H13</f>
        <v>161524</v>
      </c>
      <c r="C13" s="595">
        <f t="shared" si="1"/>
        <v>152828</v>
      </c>
      <c r="D13" s="595">
        <f t="shared" si="1"/>
        <v>156114</v>
      </c>
      <c r="E13" s="595">
        <v>88100</v>
      </c>
      <c r="F13" s="595">
        <v>81966</v>
      </c>
      <c r="G13" s="595">
        <v>81936</v>
      </c>
      <c r="H13" s="595">
        <f t="shared" ref="H13:J25" si="6">K13+N13+Q13+T13+W13+Z13+AC13+AF13+AI13</f>
        <v>73424</v>
      </c>
      <c r="I13" s="595">
        <f t="shared" si="6"/>
        <v>70862</v>
      </c>
      <c r="J13" s="595">
        <f t="shared" si="6"/>
        <v>74178</v>
      </c>
      <c r="K13" s="595">
        <v>2378</v>
      </c>
      <c r="L13" s="595">
        <v>2329</v>
      </c>
      <c r="M13" s="595">
        <v>2394</v>
      </c>
      <c r="N13" s="595">
        <v>2764</v>
      </c>
      <c r="O13" s="595">
        <v>2632</v>
      </c>
      <c r="P13" s="595">
        <v>2510</v>
      </c>
      <c r="Q13" s="595">
        <v>8645</v>
      </c>
      <c r="R13" s="595">
        <v>8671</v>
      </c>
      <c r="S13" s="595">
        <v>8715</v>
      </c>
      <c r="T13" s="595">
        <v>4797</v>
      </c>
      <c r="U13" s="595">
        <v>4085</v>
      </c>
      <c r="V13" s="595">
        <v>3918</v>
      </c>
      <c r="W13" s="595">
        <v>37160</v>
      </c>
      <c r="X13" s="595">
        <v>35611</v>
      </c>
      <c r="Y13" s="595">
        <v>39109</v>
      </c>
      <c r="Z13" s="595">
        <v>3453</v>
      </c>
      <c r="AA13" s="595">
        <v>3453</v>
      </c>
      <c r="AB13" s="595">
        <v>3453</v>
      </c>
      <c r="AC13" s="595">
        <v>4239</v>
      </c>
      <c r="AD13" s="595">
        <v>4229</v>
      </c>
      <c r="AE13" s="595">
        <v>4229</v>
      </c>
      <c r="AF13" s="595">
        <v>3317</v>
      </c>
      <c r="AG13" s="595">
        <v>3322</v>
      </c>
      <c r="AH13" s="595">
        <v>3312</v>
      </c>
      <c r="AI13" s="595">
        <v>6671</v>
      </c>
      <c r="AJ13" s="595">
        <v>6530</v>
      </c>
      <c r="AK13" s="595">
        <v>6538</v>
      </c>
    </row>
    <row r="14" spans="1:38" x14ac:dyDescent="0.25">
      <c r="A14" s="594" t="s">
        <v>1128</v>
      </c>
      <c r="B14" s="595">
        <f>E14+H14</f>
        <v>1650</v>
      </c>
      <c r="C14" s="595">
        <f t="shared" si="1"/>
        <v>1694</v>
      </c>
      <c r="D14" s="595">
        <f t="shared" si="1"/>
        <v>1698</v>
      </c>
      <c r="E14" s="595">
        <v>0</v>
      </c>
      <c r="F14" s="595">
        <v>0</v>
      </c>
      <c r="G14" s="598">
        <f t="shared" ref="G14:G18" si="7">F14*104.3%</f>
        <v>0</v>
      </c>
      <c r="H14" s="595">
        <f t="shared" si="6"/>
        <v>1650</v>
      </c>
      <c r="I14" s="595">
        <f t="shared" si="6"/>
        <v>1694</v>
      </c>
      <c r="J14" s="595">
        <f t="shared" si="6"/>
        <v>1698</v>
      </c>
      <c r="K14" s="595">
        <v>82</v>
      </c>
      <c r="L14" s="595">
        <v>85</v>
      </c>
      <c r="M14" s="595">
        <v>85</v>
      </c>
      <c r="N14" s="595">
        <v>82</v>
      </c>
      <c r="O14" s="595">
        <v>85</v>
      </c>
      <c r="P14" s="595">
        <v>85</v>
      </c>
      <c r="Q14" s="595">
        <v>385</v>
      </c>
      <c r="R14" s="595">
        <v>399</v>
      </c>
      <c r="S14" s="595">
        <v>399</v>
      </c>
      <c r="T14" s="595">
        <v>128</v>
      </c>
      <c r="U14" s="595">
        <v>133</v>
      </c>
      <c r="V14" s="595">
        <v>133</v>
      </c>
      <c r="W14" s="595">
        <v>0</v>
      </c>
      <c r="X14" s="595">
        <v>0</v>
      </c>
      <c r="Y14" s="595">
        <v>0</v>
      </c>
      <c r="Z14" s="595">
        <v>95</v>
      </c>
      <c r="AA14" s="595">
        <v>100</v>
      </c>
      <c r="AB14" s="595">
        <v>104</v>
      </c>
      <c r="AC14" s="595">
        <v>397</v>
      </c>
      <c r="AD14" s="595">
        <v>397</v>
      </c>
      <c r="AE14" s="595">
        <v>397</v>
      </c>
      <c r="AF14" s="595">
        <v>96</v>
      </c>
      <c r="AG14" s="595">
        <v>96</v>
      </c>
      <c r="AH14" s="595">
        <v>96</v>
      </c>
      <c r="AI14" s="595">
        <v>385</v>
      </c>
      <c r="AJ14" s="595">
        <v>399</v>
      </c>
      <c r="AK14" s="595">
        <v>399</v>
      </c>
    </row>
    <row r="15" spans="1:38" ht="43.5" x14ac:dyDescent="0.25">
      <c r="A15" s="594" t="s">
        <v>112</v>
      </c>
      <c r="B15" s="595">
        <f>E15+H15</f>
        <v>6446</v>
      </c>
      <c r="C15" s="595">
        <f t="shared" si="1"/>
        <v>6181</v>
      </c>
      <c r="D15" s="595">
        <f t="shared" si="1"/>
        <v>5115</v>
      </c>
      <c r="E15" s="595">
        <v>4246</v>
      </c>
      <c r="F15" s="595">
        <v>4570</v>
      </c>
      <c r="G15" s="598">
        <v>3514</v>
      </c>
      <c r="H15" s="595">
        <f t="shared" si="6"/>
        <v>2200</v>
      </c>
      <c r="I15" s="595">
        <f t="shared" si="6"/>
        <v>1611</v>
      </c>
      <c r="J15" s="595">
        <f t="shared" si="6"/>
        <v>1601</v>
      </c>
      <c r="K15" s="595">
        <v>120</v>
      </c>
      <c r="L15" s="595">
        <v>100</v>
      </c>
      <c r="M15" s="595">
        <v>60</v>
      </c>
      <c r="N15" s="595">
        <v>110</v>
      </c>
      <c r="O15" s="595">
        <v>35</v>
      </c>
      <c r="P15" s="595">
        <v>35</v>
      </c>
      <c r="Q15" s="595">
        <v>620</v>
      </c>
      <c r="R15" s="595">
        <v>161</v>
      </c>
      <c r="S15" s="595">
        <v>195</v>
      </c>
      <c r="T15" s="595">
        <v>365</v>
      </c>
      <c r="U15" s="595">
        <v>248</v>
      </c>
      <c r="V15" s="595">
        <v>218</v>
      </c>
      <c r="W15" s="595">
        <v>605</v>
      </c>
      <c r="X15" s="595">
        <v>637</v>
      </c>
      <c r="Y15" s="595">
        <v>658</v>
      </c>
      <c r="Z15" s="595">
        <v>100</v>
      </c>
      <c r="AA15" s="595">
        <v>100</v>
      </c>
      <c r="AB15" s="595">
        <v>100</v>
      </c>
      <c r="AC15" s="595">
        <v>135</v>
      </c>
      <c r="AD15" s="595">
        <v>165</v>
      </c>
      <c r="AE15" s="595">
        <v>165</v>
      </c>
      <c r="AF15" s="595">
        <v>30</v>
      </c>
      <c r="AG15" s="595">
        <v>50</v>
      </c>
      <c r="AH15" s="595">
        <v>50</v>
      </c>
      <c r="AI15" s="595">
        <v>115</v>
      </c>
      <c r="AJ15" s="595">
        <v>115</v>
      </c>
      <c r="AK15" s="595">
        <v>120</v>
      </c>
    </row>
    <row r="16" spans="1:38" x14ac:dyDescent="0.25">
      <c r="A16" s="594" t="s">
        <v>113</v>
      </c>
      <c r="B16" s="595">
        <f>E16+H16</f>
        <v>53742</v>
      </c>
      <c r="C16" s="595">
        <f t="shared" si="1"/>
        <v>39776</v>
      </c>
      <c r="D16" s="595">
        <f t="shared" si="1"/>
        <v>36017</v>
      </c>
      <c r="E16" s="596">
        <v>39064</v>
      </c>
      <c r="F16" s="596">
        <v>26209</v>
      </c>
      <c r="G16" s="597">
        <v>22392</v>
      </c>
      <c r="H16" s="595">
        <f t="shared" si="6"/>
        <v>14678</v>
      </c>
      <c r="I16" s="595">
        <f t="shared" si="6"/>
        <v>13567</v>
      </c>
      <c r="J16" s="595">
        <f t="shared" si="6"/>
        <v>13625</v>
      </c>
      <c r="K16" s="596">
        <v>0</v>
      </c>
      <c r="L16" s="596">
        <v>0</v>
      </c>
      <c r="M16" s="596">
        <v>0</v>
      </c>
      <c r="N16" s="596">
        <v>0</v>
      </c>
      <c r="O16" s="596">
        <v>0</v>
      </c>
      <c r="P16" s="596">
        <v>0</v>
      </c>
      <c r="Q16" s="595">
        <v>2468</v>
      </c>
      <c r="R16" s="595">
        <v>2485</v>
      </c>
      <c r="S16" s="595">
        <v>2500</v>
      </c>
      <c r="T16" s="595">
        <v>0</v>
      </c>
      <c r="U16" s="595">
        <v>0</v>
      </c>
      <c r="V16" s="595">
        <v>0</v>
      </c>
      <c r="W16" s="595">
        <v>10535</v>
      </c>
      <c r="X16" s="595">
        <v>9385</v>
      </c>
      <c r="Y16" s="595">
        <v>9385</v>
      </c>
      <c r="Z16" s="596">
        <v>0</v>
      </c>
      <c r="AA16" s="596">
        <v>0</v>
      </c>
      <c r="AB16" s="596">
        <v>0</v>
      </c>
      <c r="AC16" s="595">
        <v>32</v>
      </c>
      <c r="AD16" s="595">
        <v>18</v>
      </c>
      <c r="AE16" s="595">
        <v>18</v>
      </c>
      <c r="AF16" s="596">
        <v>15</v>
      </c>
      <c r="AG16" s="596">
        <v>15</v>
      </c>
      <c r="AH16" s="596">
        <v>15</v>
      </c>
      <c r="AI16" s="595">
        <v>1628</v>
      </c>
      <c r="AJ16" s="596">
        <v>1664</v>
      </c>
      <c r="AK16" s="596">
        <v>1707</v>
      </c>
    </row>
    <row r="17" spans="1:38" ht="29.25" x14ac:dyDescent="0.25">
      <c r="A17" s="594" t="s">
        <v>114</v>
      </c>
      <c r="B17" s="595">
        <f>E17+H17</f>
        <v>113866</v>
      </c>
      <c r="C17" s="595">
        <f t="shared" si="1"/>
        <v>112542</v>
      </c>
      <c r="D17" s="595">
        <f t="shared" si="1"/>
        <v>109066</v>
      </c>
      <c r="E17" s="596">
        <f>74327+2351</f>
        <v>76678</v>
      </c>
      <c r="F17" s="596">
        <v>79877</v>
      </c>
      <c r="G17" s="597">
        <v>79877</v>
      </c>
      <c r="H17" s="595">
        <f t="shared" si="6"/>
        <v>37188</v>
      </c>
      <c r="I17" s="595">
        <f t="shared" si="6"/>
        <v>32665</v>
      </c>
      <c r="J17" s="595">
        <f t="shared" si="6"/>
        <v>29189</v>
      </c>
      <c r="K17" s="595">
        <v>781</v>
      </c>
      <c r="L17" s="595">
        <v>844</v>
      </c>
      <c r="M17" s="595">
        <v>706</v>
      </c>
      <c r="N17" s="595">
        <v>530</v>
      </c>
      <c r="O17" s="595">
        <v>126</v>
      </c>
      <c r="P17" s="595">
        <v>125</v>
      </c>
      <c r="Q17" s="595">
        <v>6261</v>
      </c>
      <c r="R17" s="595">
        <v>7301</v>
      </c>
      <c r="S17" s="595">
        <v>5591</v>
      </c>
      <c r="T17" s="595">
        <v>3742</v>
      </c>
      <c r="U17" s="595">
        <v>1700</v>
      </c>
      <c r="V17" s="595">
        <v>1723</v>
      </c>
      <c r="W17" s="595">
        <v>17770</v>
      </c>
      <c r="X17" s="595">
        <v>14100</v>
      </c>
      <c r="Y17" s="595">
        <v>12100</v>
      </c>
      <c r="Z17" s="596">
        <v>205</v>
      </c>
      <c r="AA17" s="596">
        <v>205</v>
      </c>
      <c r="AB17" s="596">
        <v>205</v>
      </c>
      <c r="AC17" s="595">
        <v>2760</v>
      </c>
      <c r="AD17" s="595">
        <v>1935</v>
      </c>
      <c r="AE17" s="595">
        <v>1769</v>
      </c>
      <c r="AF17" s="595">
        <v>2213</v>
      </c>
      <c r="AG17" s="595">
        <v>2572</v>
      </c>
      <c r="AH17" s="595">
        <v>2576</v>
      </c>
      <c r="AI17" s="595">
        <v>2926</v>
      </c>
      <c r="AJ17" s="595">
        <v>3882</v>
      </c>
      <c r="AK17" s="595">
        <v>4394</v>
      </c>
    </row>
    <row r="18" spans="1:38" x14ac:dyDescent="0.25">
      <c r="A18" s="594" t="s">
        <v>115</v>
      </c>
      <c r="B18" s="596">
        <f t="shared" si="1"/>
        <v>0</v>
      </c>
      <c r="C18" s="596">
        <f t="shared" si="1"/>
        <v>0</v>
      </c>
      <c r="D18" s="596">
        <f t="shared" si="1"/>
        <v>0</v>
      </c>
      <c r="E18" s="596">
        <v>0</v>
      </c>
      <c r="F18" s="596">
        <v>0</v>
      </c>
      <c r="G18" s="597">
        <f t="shared" si="7"/>
        <v>0</v>
      </c>
      <c r="H18" s="595">
        <f t="shared" si="6"/>
        <v>0</v>
      </c>
      <c r="I18" s="596">
        <f t="shared" si="6"/>
        <v>0</v>
      </c>
      <c r="J18" s="596">
        <f t="shared" si="6"/>
        <v>0</v>
      </c>
      <c r="K18" s="596">
        <v>0</v>
      </c>
      <c r="L18" s="596">
        <v>0</v>
      </c>
      <c r="M18" s="596">
        <v>0</v>
      </c>
      <c r="N18" s="596">
        <v>0</v>
      </c>
      <c r="O18" s="596">
        <v>0</v>
      </c>
      <c r="P18" s="596">
        <v>0</v>
      </c>
      <c r="Q18" s="596">
        <v>0</v>
      </c>
      <c r="R18" s="596">
        <v>0</v>
      </c>
      <c r="S18" s="596">
        <v>0</v>
      </c>
      <c r="T18" s="596">
        <v>0</v>
      </c>
      <c r="U18" s="596">
        <v>0</v>
      </c>
      <c r="V18" s="596">
        <v>0</v>
      </c>
      <c r="W18" s="596">
        <v>0</v>
      </c>
      <c r="X18" s="596">
        <v>0</v>
      </c>
      <c r="Y18" s="596">
        <v>0</v>
      </c>
      <c r="Z18" s="596">
        <v>0</v>
      </c>
      <c r="AA18" s="596">
        <v>0</v>
      </c>
      <c r="AB18" s="596">
        <v>0</v>
      </c>
      <c r="AC18" s="596">
        <v>0</v>
      </c>
      <c r="AD18" s="596">
        <v>0</v>
      </c>
      <c r="AE18" s="596">
        <v>0</v>
      </c>
      <c r="AF18" s="596">
        <v>0</v>
      </c>
      <c r="AG18" s="596">
        <v>0</v>
      </c>
      <c r="AH18" s="596">
        <v>0</v>
      </c>
      <c r="AI18" s="596">
        <v>0</v>
      </c>
      <c r="AJ18" s="596">
        <v>0</v>
      </c>
      <c r="AK18" s="596">
        <v>0</v>
      </c>
    </row>
    <row r="19" spans="1:38" x14ac:dyDescent="0.25">
      <c r="A19" s="594" t="s">
        <v>116</v>
      </c>
      <c r="B19" s="595">
        <f>E19+H19</f>
        <v>461294.3</v>
      </c>
      <c r="C19" s="595">
        <f t="shared" si="1"/>
        <v>482848.1</v>
      </c>
      <c r="D19" s="595">
        <f t="shared" si="1"/>
        <v>504715.1</v>
      </c>
      <c r="E19" s="595">
        <v>460689</v>
      </c>
      <c r="F19" s="595">
        <v>482193</v>
      </c>
      <c r="G19" s="598">
        <v>504060</v>
      </c>
      <c r="H19" s="595">
        <f t="shared" si="6"/>
        <v>605.29999999999995</v>
      </c>
      <c r="I19" s="595">
        <f t="shared" si="6"/>
        <v>655.1</v>
      </c>
      <c r="J19" s="595">
        <f t="shared" si="6"/>
        <v>655.1</v>
      </c>
      <c r="K19" s="596">
        <v>0</v>
      </c>
      <c r="L19" s="596">
        <v>0</v>
      </c>
      <c r="M19" s="596">
        <v>0</v>
      </c>
      <c r="N19" s="596">
        <v>0.3</v>
      </c>
      <c r="O19" s="596">
        <v>0.1</v>
      </c>
      <c r="P19" s="596">
        <v>0.1</v>
      </c>
      <c r="Q19" s="596">
        <v>0</v>
      </c>
      <c r="R19" s="596">
        <v>0</v>
      </c>
      <c r="S19" s="596">
        <v>0</v>
      </c>
      <c r="T19" s="596">
        <v>20</v>
      </c>
      <c r="U19" s="596">
        <v>20</v>
      </c>
      <c r="V19" s="596">
        <v>20</v>
      </c>
      <c r="W19" s="595">
        <v>550</v>
      </c>
      <c r="X19" s="595">
        <v>600</v>
      </c>
      <c r="Y19" s="595">
        <v>600</v>
      </c>
      <c r="Z19" s="596">
        <v>0</v>
      </c>
      <c r="AA19" s="596">
        <v>0</v>
      </c>
      <c r="AB19" s="596">
        <v>0</v>
      </c>
      <c r="AC19" s="595">
        <v>30</v>
      </c>
      <c r="AD19" s="595">
        <v>30</v>
      </c>
      <c r="AE19" s="595">
        <v>30</v>
      </c>
      <c r="AF19" s="596">
        <v>0</v>
      </c>
      <c r="AG19" s="596">
        <v>0</v>
      </c>
      <c r="AH19" s="596">
        <v>0</v>
      </c>
      <c r="AI19" s="596">
        <v>5</v>
      </c>
      <c r="AJ19" s="596">
        <v>5</v>
      </c>
      <c r="AK19" s="596">
        <v>5</v>
      </c>
    </row>
    <row r="20" spans="1:38" x14ac:dyDescent="0.25">
      <c r="A20" s="594" t="s">
        <v>1129</v>
      </c>
      <c r="B20" s="595">
        <f>E20+H20</f>
        <v>44227</v>
      </c>
      <c r="C20" s="595">
        <f t="shared" si="1"/>
        <v>42148</v>
      </c>
      <c r="D20" s="595">
        <f t="shared" si="1"/>
        <v>43199</v>
      </c>
      <c r="E20" s="595">
        <v>22134</v>
      </c>
      <c r="F20" s="595">
        <v>20534</v>
      </c>
      <c r="G20" s="598">
        <v>20534</v>
      </c>
      <c r="H20" s="595">
        <f t="shared" si="6"/>
        <v>22093</v>
      </c>
      <c r="I20" s="595">
        <f t="shared" si="6"/>
        <v>21614</v>
      </c>
      <c r="J20" s="595">
        <f t="shared" si="6"/>
        <v>22665</v>
      </c>
      <c r="K20" s="595">
        <v>1280</v>
      </c>
      <c r="L20" s="595">
        <v>1280</v>
      </c>
      <c r="M20" s="595">
        <v>1400</v>
      </c>
      <c r="N20" s="595">
        <v>2116</v>
      </c>
      <c r="O20" s="595">
        <v>2116</v>
      </c>
      <c r="P20" s="595">
        <v>2116</v>
      </c>
      <c r="Q20" s="595">
        <v>2819</v>
      </c>
      <c r="R20" s="595">
        <v>2600</v>
      </c>
      <c r="S20" s="595">
        <v>2633</v>
      </c>
      <c r="T20" s="595">
        <v>2850</v>
      </c>
      <c r="U20" s="595">
        <v>2020</v>
      </c>
      <c r="V20" s="595">
        <v>2019</v>
      </c>
      <c r="W20" s="595">
        <v>6000</v>
      </c>
      <c r="X20" s="595">
        <v>6800</v>
      </c>
      <c r="Y20" s="595">
        <v>7300</v>
      </c>
      <c r="Z20" s="595">
        <v>811</v>
      </c>
      <c r="AA20" s="595">
        <v>870</v>
      </c>
      <c r="AB20" s="595">
        <v>980</v>
      </c>
      <c r="AC20" s="595">
        <v>3041</v>
      </c>
      <c r="AD20" s="595">
        <v>3068</v>
      </c>
      <c r="AE20" s="595">
        <v>3241</v>
      </c>
      <c r="AF20" s="595">
        <v>2417</v>
      </c>
      <c r="AG20" s="595">
        <v>2152</v>
      </c>
      <c r="AH20" s="595">
        <v>2248</v>
      </c>
      <c r="AI20" s="595">
        <v>759</v>
      </c>
      <c r="AJ20" s="595">
        <v>708</v>
      </c>
      <c r="AK20" s="595">
        <v>728</v>
      </c>
    </row>
    <row r="21" spans="1:38" x14ac:dyDescent="0.25">
      <c r="A21" s="594" t="s">
        <v>117</v>
      </c>
      <c r="B21" s="597">
        <f t="shared" si="1"/>
        <v>0</v>
      </c>
      <c r="C21" s="597">
        <f t="shared" si="1"/>
        <v>0</v>
      </c>
      <c r="D21" s="597">
        <f t="shared" si="1"/>
        <v>0</v>
      </c>
      <c r="E21" s="597">
        <v>0</v>
      </c>
      <c r="F21" s="596">
        <v>0</v>
      </c>
      <c r="G21" s="597">
        <v>0</v>
      </c>
      <c r="H21" s="595">
        <f t="shared" si="6"/>
        <v>0</v>
      </c>
      <c r="I21" s="596">
        <f t="shared" si="6"/>
        <v>0</v>
      </c>
      <c r="J21" s="596">
        <f t="shared" si="6"/>
        <v>0</v>
      </c>
      <c r="K21" s="596"/>
      <c r="L21" s="596"/>
      <c r="M21" s="596"/>
      <c r="N21" s="596">
        <v>0</v>
      </c>
      <c r="O21" s="596">
        <v>0</v>
      </c>
      <c r="P21" s="596">
        <v>0</v>
      </c>
      <c r="Q21" s="596">
        <v>0</v>
      </c>
      <c r="R21" s="596">
        <v>0</v>
      </c>
      <c r="S21" s="596">
        <v>0</v>
      </c>
      <c r="T21" s="596">
        <v>0</v>
      </c>
      <c r="U21" s="596">
        <v>0</v>
      </c>
      <c r="V21" s="596">
        <v>0</v>
      </c>
      <c r="W21" s="596">
        <v>0</v>
      </c>
      <c r="X21" s="596">
        <v>0</v>
      </c>
      <c r="Y21" s="596">
        <v>0</v>
      </c>
      <c r="Z21" s="596">
        <v>0</v>
      </c>
      <c r="AA21" s="596">
        <v>0</v>
      </c>
      <c r="AB21" s="596">
        <v>0</v>
      </c>
      <c r="AC21" s="596">
        <v>0</v>
      </c>
      <c r="AD21" s="596">
        <v>0</v>
      </c>
      <c r="AE21" s="596">
        <v>0</v>
      </c>
      <c r="AF21" s="596">
        <v>0</v>
      </c>
      <c r="AG21" s="596">
        <v>0</v>
      </c>
      <c r="AH21" s="596">
        <v>0</v>
      </c>
      <c r="AI21" s="596">
        <v>0</v>
      </c>
      <c r="AJ21" s="596">
        <v>0</v>
      </c>
      <c r="AK21" s="596">
        <v>0</v>
      </c>
    </row>
    <row r="22" spans="1:38" x14ac:dyDescent="0.25">
      <c r="A22" s="594" t="s">
        <v>118</v>
      </c>
      <c r="B22" s="595">
        <f>E22+H22</f>
        <v>35182</v>
      </c>
      <c r="C22" s="595">
        <f t="shared" si="1"/>
        <v>35337</v>
      </c>
      <c r="D22" s="595">
        <f t="shared" si="1"/>
        <v>34513</v>
      </c>
      <c r="E22" s="595">
        <v>33382</v>
      </c>
      <c r="F22" s="595">
        <v>33432</v>
      </c>
      <c r="G22" s="598">
        <v>32505</v>
      </c>
      <c r="H22" s="595">
        <f t="shared" si="6"/>
        <v>1800</v>
      </c>
      <c r="I22" s="595">
        <f t="shared" si="6"/>
        <v>1905</v>
      </c>
      <c r="J22" s="595">
        <f t="shared" si="6"/>
        <v>2008</v>
      </c>
      <c r="K22" s="595">
        <v>71</v>
      </c>
      <c r="L22" s="595">
        <v>71</v>
      </c>
      <c r="M22" s="595">
        <v>64</v>
      </c>
      <c r="N22" s="596">
        <v>250</v>
      </c>
      <c r="O22" s="596">
        <v>250</v>
      </c>
      <c r="P22" s="596">
        <v>250</v>
      </c>
      <c r="Q22" s="595">
        <v>162</v>
      </c>
      <c r="R22" s="595">
        <v>162</v>
      </c>
      <c r="S22" s="595">
        <v>162</v>
      </c>
      <c r="T22" s="596">
        <v>0</v>
      </c>
      <c r="U22" s="596">
        <v>0</v>
      </c>
      <c r="V22" s="596">
        <v>0</v>
      </c>
      <c r="W22" s="595">
        <v>890</v>
      </c>
      <c r="X22" s="595">
        <v>990</v>
      </c>
      <c r="Y22" s="595">
        <v>1090</v>
      </c>
      <c r="Z22" s="596">
        <v>0</v>
      </c>
      <c r="AA22" s="596">
        <v>0</v>
      </c>
      <c r="AB22" s="596">
        <v>0</v>
      </c>
      <c r="AC22" s="595">
        <v>50</v>
      </c>
      <c r="AD22" s="595">
        <v>50</v>
      </c>
      <c r="AE22" s="595">
        <v>50</v>
      </c>
      <c r="AF22" s="595">
        <v>116</v>
      </c>
      <c r="AG22" s="595">
        <v>121</v>
      </c>
      <c r="AH22" s="595">
        <v>131</v>
      </c>
      <c r="AI22" s="595">
        <v>261</v>
      </c>
      <c r="AJ22" s="595">
        <v>261</v>
      </c>
      <c r="AK22" s="595">
        <v>261</v>
      </c>
    </row>
    <row r="23" spans="1:38" x14ac:dyDescent="0.25">
      <c r="A23" s="594" t="s">
        <v>119</v>
      </c>
      <c r="B23" s="595">
        <f>E23+H23</f>
        <v>4488</v>
      </c>
      <c r="C23" s="595">
        <f t="shared" si="1"/>
        <v>2890</v>
      </c>
      <c r="D23" s="595">
        <f t="shared" si="1"/>
        <v>3094</v>
      </c>
      <c r="E23" s="596">
        <v>1970</v>
      </c>
      <c r="F23" s="596">
        <v>250</v>
      </c>
      <c r="G23" s="597">
        <v>250</v>
      </c>
      <c r="H23" s="595">
        <f t="shared" si="6"/>
        <v>2518</v>
      </c>
      <c r="I23" s="595">
        <f t="shared" si="6"/>
        <v>2640</v>
      </c>
      <c r="J23" s="595">
        <f t="shared" si="6"/>
        <v>2844</v>
      </c>
      <c r="K23" s="596"/>
      <c r="L23" s="596"/>
      <c r="M23" s="596"/>
      <c r="N23" s="596">
        <v>0</v>
      </c>
      <c r="O23" s="596">
        <v>0</v>
      </c>
      <c r="P23" s="596">
        <v>0</v>
      </c>
      <c r="Q23" s="595">
        <v>269</v>
      </c>
      <c r="R23" s="595">
        <v>269</v>
      </c>
      <c r="S23" s="595">
        <v>269</v>
      </c>
      <c r="T23" s="596">
        <v>3</v>
      </c>
      <c r="U23" s="596">
        <v>4</v>
      </c>
      <c r="V23" s="596">
        <v>3</v>
      </c>
      <c r="W23" s="595">
        <v>100</v>
      </c>
      <c r="X23" s="595">
        <v>200</v>
      </c>
      <c r="Y23" s="595">
        <v>200</v>
      </c>
      <c r="Z23" s="596">
        <v>0</v>
      </c>
      <c r="AA23" s="596"/>
      <c r="AB23" s="596">
        <v>0</v>
      </c>
      <c r="AC23" s="595">
        <v>275</v>
      </c>
      <c r="AD23" s="595">
        <v>275</v>
      </c>
      <c r="AE23" s="595">
        <v>275</v>
      </c>
      <c r="AF23" s="596">
        <v>0</v>
      </c>
      <c r="AG23" s="596">
        <v>0</v>
      </c>
      <c r="AH23" s="596">
        <v>0</v>
      </c>
      <c r="AI23" s="595">
        <v>1871</v>
      </c>
      <c r="AJ23" s="595">
        <v>1892</v>
      </c>
      <c r="AK23" s="595">
        <v>2097</v>
      </c>
    </row>
    <row r="24" spans="1:38" ht="29.25" x14ac:dyDescent="0.25">
      <c r="A24" s="594" t="s">
        <v>120</v>
      </c>
      <c r="B24" s="595">
        <f>E24+H24</f>
        <v>50</v>
      </c>
      <c r="C24" s="595">
        <f t="shared" si="1"/>
        <v>50</v>
      </c>
      <c r="D24" s="596">
        <f t="shared" si="1"/>
        <v>50</v>
      </c>
      <c r="E24" s="595">
        <v>0</v>
      </c>
      <c r="F24" s="596">
        <v>0</v>
      </c>
      <c r="G24" s="597">
        <v>0</v>
      </c>
      <c r="H24" s="595">
        <f t="shared" si="6"/>
        <v>50</v>
      </c>
      <c r="I24" s="595">
        <f t="shared" si="6"/>
        <v>50</v>
      </c>
      <c r="J24" s="596">
        <f t="shared" si="6"/>
        <v>50</v>
      </c>
      <c r="K24" s="596"/>
      <c r="L24" s="596"/>
      <c r="M24" s="596"/>
      <c r="N24" s="596">
        <v>0</v>
      </c>
      <c r="O24" s="596">
        <v>0</v>
      </c>
      <c r="P24" s="596">
        <v>0</v>
      </c>
      <c r="Q24" s="596">
        <v>50</v>
      </c>
      <c r="R24" s="596">
        <v>50</v>
      </c>
      <c r="S24" s="596">
        <v>50</v>
      </c>
      <c r="T24" s="596"/>
      <c r="U24" s="596">
        <v>0</v>
      </c>
      <c r="V24" s="596">
        <v>0</v>
      </c>
      <c r="W24" s="595"/>
      <c r="X24" s="596">
        <v>0</v>
      </c>
      <c r="Y24" s="596">
        <v>0</v>
      </c>
      <c r="Z24" s="596">
        <v>0</v>
      </c>
      <c r="AA24" s="596">
        <v>0</v>
      </c>
      <c r="AB24" s="596">
        <v>0</v>
      </c>
      <c r="AC24" s="596">
        <v>0</v>
      </c>
      <c r="AD24" s="596">
        <v>0</v>
      </c>
      <c r="AE24" s="596">
        <v>0</v>
      </c>
      <c r="AF24" s="596"/>
      <c r="AG24" s="596">
        <v>0</v>
      </c>
      <c r="AH24" s="596">
        <v>0</v>
      </c>
      <c r="AI24" s="596">
        <v>0</v>
      </c>
      <c r="AJ24" s="596">
        <v>0</v>
      </c>
      <c r="AK24" s="596">
        <v>0</v>
      </c>
    </row>
    <row r="25" spans="1:38" ht="57.75" x14ac:dyDescent="0.25">
      <c r="A25" s="594" t="s">
        <v>1130</v>
      </c>
      <c r="B25" s="595">
        <f>E25+H25</f>
        <v>22378</v>
      </c>
      <c r="C25" s="595">
        <f t="shared" si="1"/>
        <v>22409</v>
      </c>
      <c r="D25" s="595">
        <f t="shared" si="1"/>
        <v>22428</v>
      </c>
      <c r="E25" s="595">
        <v>22378</v>
      </c>
      <c r="F25" s="595">
        <v>22409</v>
      </c>
      <c r="G25" s="598">
        <v>22428</v>
      </c>
      <c r="H25" s="595">
        <f t="shared" si="6"/>
        <v>0</v>
      </c>
      <c r="I25" s="595">
        <f t="shared" si="6"/>
        <v>0</v>
      </c>
      <c r="J25" s="595">
        <f t="shared" si="6"/>
        <v>0</v>
      </c>
      <c r="K25" s="596">
        <v>0</v>
      </c>
      <c r="L25" s="596">
        <v>0</v>
      </c>
      <c r="M25" s="596">
        <v>0</v>
      </c>
      <c r="N25" s="596">
        <v>0</v>
      </c>
      <c r="O25" s="596">
        <v>0</v>
      </c>
      <c r="P25" s="596">
        <v>0</v>
      </c>
      <c r="Q25" s="596">
        <v>0</v>
      </c>
      <c r="R25" s="596">
        <v>0</v>
      </c>
      <c r="S25" s="596">
        <v>0</v>
      </c>
      <c r="T25" s="596">
        <v>0</v>
      </c>
      <c r="U25" s="596">
        <v>0</v>
      </c>
      <c r="V25" s="596">
        <v>0</v>
      </c>
      <c r="W25" s="596"/>
      <c r="X25" s="596">
        <v>0</v>
      </c>
      <c r="Y25" s="596">
        <v>0</v>
      </c>
      <c r="Z25" s="596">
        <v>0</v>
      </c>
      <c r="AA25" s="596">
        <v>0</v>
      </c>
      <c r="AB25" s="596">
        <v>0</v>
      </c>
      <c r="AC25" s="596">
        <v>0</v>
      </c>
      <c r="AD25" s="596">
        <v>0</v>
      </c>
      <c r="AE25" s="596">
        <v>0</v>
      </c>
      <c r="AF25" s="596">
        <v>0</v>
      </c>
      <c r="AG25" s="596">
        <v>0</v>
      </c>
      <c r="AH25" s="596">
        <v>0</v>
      </c>
      <c r="AI25" s="596">
        <v>0</v>
      </c>
      <c r="AJ25" s="596">
        <v>0</v>
      </c>
      <c r="AK25" s="596">
        <v>0</v>
      </c>
    </row>
    <row r="26" spans="1:38" ht="30" x14ac:dyDescent="0.25">
      <c r="A26" s="592" t="s">
        <v>1131</v>
      </c>
      <c r="B26" s="593">
        <f t="shared" si="1"/>
        <v>-6444.2999999999884</v>
      </c>
      <c r="C26" s="593">
        <f t="shared" si="1"/>
        <v>-970.10000000000582</v>
      </c>
      <c r="D26" s="593">
        <f t="shared" si="1"/>
        <v>-1314.1000000000058</v>
      </c>
      <c r="E26" s="593">
        <f>E6-E11</f>
        <v>-720</v>
      </c>
      <c r="F26" s="593">
        <f>F6-F11</f>
        <v>-720</v>
      </c>
      <c r="G26" s="593">
        <f>G6-G11</f>
        <v>-3320</v>
      </c>
      <c r="H26" s="593">
        <f>H6-H11</f>
        <v>-5724.2999999999884</v>
      </c>
      <c r="I26" s="593">
        <f t="shared" ref="I26:AK26" si="8">I6-I11</f>
        <v>-250.10000000000582</v>
      </c>
      <c r="J26" s="593">
        <f t="shared" si="8"/>
        <v>2005.8999999999942</v>
      </c>
      <c r="K26" s="599">
        <f t="shared" si="8"/>
        <v>0</v>
      </c>
      <c r="L26" s="599">
        <f t="shared" si="8"/>
        <v>0</v>
      </c>
      <c r="M26" s="599">
        <f t="shared" si="8"/>
        <v>0</v>
      </c>
      <c r="N26" s="593">
        <f t="shared" si="8"/>
        <v>-277.30000000000018</v>
      </c>
      <c r="O26" s="593">
        <f t="shared" si="8"/>
        <v>-229.10000000000036</v>
      </c>
      <c r="P26" s="593">
        <f t="shared" si="8"/>
        <v>-228.10000000000036</v>
      </c>
      <c r="Q26" s="599">
        <f t="shared" si="8"/>
        <v>720</v>
      </c>
      <c r="R26" s="599">
        <f t="shared" si="8"/>
        <v>720</v>
      </c>
      <c r="S26" s="599">
        <f>S6-S11</f>
        <v>3321</v>
      </c>
      <c r="T26" s="593">
        <f>T6-T11</f>
        <v>0</v>
      </c>
      <c r="U26" s="593">
        <f t="shared" si="8"/>
        <v>0</v>
      </c>
      <c r="V26" s="593">
        <f t="shared" si="8"/>
        <v>0</v>
      </c>
      <c r="W26" s="593">
        <f>W6-W11</f>
        <v>-5681</v>
      </c>
      <c r="X26" s="593">
        <f t="shared" si="8"/>
        <v>-334</v>
      </c>
      <c r="Y26" s="593">
        <f t="shared" si="8"/>
        <v>-581</v>
      </c>
      <c r="Z26" s="593">
        <f t="shared" si="8"/>
        <v>-96</v>
      </c>
      <c r="AA26" s="593">
        <f t="shared" si="8"/>
        <v>-100</v>
      </c>
      <c r="AB26" s="593">
        <f t="shared" si="8"/>
        <v>-105</v>
      </c>
      <c r="AC26" s="593">
        <f t="shared" si="8"/>
        <v>1</v>
      </c>
      <c r="AD26" s="593">
        <f>AD6-AD11</f>
        <v>90</v>
      </c>
      <c r="AE26" s="593">
        <f t="shared" si="8"/>
        <v>0</v>
      </c>
      <c r="AF26" s="593">
        <f t="shared" si="8"/>
        <v>-391</v>
      </c>
      <c r="AG26" s="593">
        <f t="shared" si="8"/>
        <v>-397</v>
      </c>
      <c r="AH26" s="593">
        <f t="shared" si="8"/>
        <v>-401</v>
      </c>
      <c r="AI26" s="593">
        <f t="shared" si="8"/>
        <v>0</v>
      </c>
      <c r="AJ26" s="600">
        <f t="shared" si="8"/>
        <v>0</v>
      </c>
      <c r="AK26" s="600">
        <f t="shared" si="8"/>
        <v>0</v>
      </c>
    </row>
    <row r="27" spans="1:38" ht="30" x14ac:dyDescent="0.25">
      <c r="A27" s="592" t="s">
        <v>1132</v>
      </c>
      <c r="B27" s="593">
        <f>E27+H27</f>
        <v>-20880.2</v>
      </c>
      <c r="C27" s="593">
        <f>F27+I27</f>
        <v>-17440</v>
      </c>
      <c r="D27" s="593">
        <f>G27+J27</f>
        <v>-17688.900000000001</v>
      </c>
      <c r="E27" s="593">
        <f>-(E7+E8)*10%</f>
        <v>-20880.2</v>
      </c>
      <c r="F27" s="593">
        <f>-(F7+F8)*10%</f>
        <v>-17440</v>
      </c>
      <c r="G27" s="593">
        <f>-(G7+G8)*10%</f>
        <v>-17688.900000000001</v>
      </c>
      <c r="H27" s="599">
        <v>0</v>
      </c>
      <c r="I27" s="599">
        <v>0</v>
      </c>
      <c r="J27" s="599">
        <v>0</v>
      </c>
      <c r="K27" s="601">
        <f t="shared" ref="K27:M27" si="9">-(K7+K8)*5%</f>
        <v>-19.8</v>
      </c>
      <c r="L27" s="601">
        <f t="shared" si="9"/>
        <v>-19.8</v>
      </c>
      <c r="M27" s="601">
        <f t="shared" si="9"/>
        <v>-19.8</v>
      </c>
      <c r="N27" s="601">
        <f>-(N7+N8)*10%</f>
        <v>-277.3</v>
      </c>
      <c r="O27" s="601">
        <f>-(O7+O8)*10%</f>
        <v>-228.60000000000002</v>
      </c>
      <c r="P27" s="601">
        <f>-(P7+P8)*10%</f>
        <v>-228.60000000000002</v>
      </c>
      <c r="Q27" s="601">
        <f t="shared" ref="Q27:AK27" si="10">-(Q7+Q8)*10%</f>
        <v>-2168.9</v>
      </c>
      <c r="R27" s="601">
        <f t="shared" si="10"/>
        <v>-2208.8000000000002</v>
      </c>
      <c r="S27" s="601">
        <f t="shared" si="10"/>
        <v>-2310.5</v>
      </c>
      <c r="T27" s="601">
        <f t="shared" si="10"/>
        <v>-927.80000000000007</v>
      </c>
      <c r="U27" s="601">
        <f t="shared" si="10"/>
        <v>-576.5</v>
      </c>
      <c r="V27" s="601">
        <f t="shared" si="10"/>
        <v>-576.5</v>
      </c>
      <c r="W27" s="601">
        <f>-(W7+W8)*10%</f>
        <v>-6792.9000000000005</v>
      </c>
      <c r="X27" s="601">
        <f t="shared" si="10"/>
        <v>-6798.9000000000005</v>
      </c>
      <c r="Y27" s="601">
        <f t="shared" si="10"/>
        <v>-6986.1</v>
      </c>
      <c r="Z27" s="601">
        <f t="shared" si="10"/>
        <v>-195.60000000000002</v>
      </c>
      <c r="AA27" s="601">
        <f t="shared" si="10"/>
        <v>-201.10000000000002</v>
      </c>
      <c r="AB27" s="601">
        <f t="shared" si="10"/>
        <v>-211.4</v>
      </c>
      <c r="AC27" s="601">
        <f t="shared" si="10"/>
        <v>-706.7</v>
      </c>
      <c r="AD27" s="601">
        <f t="shared" si="10"/>
        <v>-687.2</v>
      </c>
      <c r="AE27" s="601">
        <f t="shared" si="10"/>
        <v>-678.90000000000009</v>
      </c>
      <c r="AF27" s="601">
        <f t="shared" si="10"/>
        <v>-191.20000000000002</v>
      </c>
      <c r="AG27" s="601">
        <f t="shared" si="10"/>
        <v>-203</v>
      </c>
      <c r="AH27" s="601">
        <f t="shared" si="10"/>
        <v>-212.60000000000002</v>
      </c>
      <c r="AI27" s="601">
        <f t="shared" si="10"/>
        <v>-1403.1000000000001</v>
      </c>
      <c r="AJ27" s="601">
        <f t="shared" si="10"/>
        <v>-1484.7</v>
      </c>
      <c r="AK27" s="601">
        <f t="shared" si="10"/>
        <v>-1564</v>
      </c>
    </row>
    <row r="28" spans="1:38" x14ac:dyDescent="0.25">
      <c r="A28" s="594"/>
      <c r="B28" s="602"/>
      <c r="C28" s="602"/>
      <c r="D28" s="602"/>
      <c r="E28" s="603"/>
      <c r="F28" s="603"/>
      <c r="G28" s="603"/>
      <c r="H28" s="602"/>
      <c r="I28" s="602"/>
      <c r="J28" s="602"/>
      <c r="K28" s="603"/>
      <c r="L28" s="603"/>
      <c r="M28" s="603"/>
      <c r="N28" s="603"/>
      <c r="O28" s="603"/>
      <c r="P28" s="603"/>
      <c r="Q28" s="603"/>
      <c r="R28" s="603"/>
      <c r="S28" s="603"/>
      <c r="T28" s="603"/>
      <c r="U28" s="603"/>
      <c r="V28" s="603"/>
      <c r="W28" s="595"/>
      <c r="X28" s="595"/>
      <c r="Y28" s="595"/>
      <c r="Z28" s="603"/>
      <c r="AA28" s="603"/>
      <c r="AB28" s="603"/>
      <c r="AC28" s="604"/>
      <c r="AD28" s="604"/>
      <c r="AE28" s="604"/>
      <c r="AF28" s="603"/>
      <c r="AG28" s="603"/>
      <c r="AH28" s="603"/>
      <c r="AI28" s="603"/>
      <c r="AJ28" s="603"/>
      <c r="AK28" s="603"/>
    </row>
    <row r="29" spans="1:38" x14ac:dyDescent="0.25">
      <c r="A29" s="602"/>
      <c r="B29" s="602"/>
      <c r="C29" s="602"/>
      <c r="D29" s="602"/>
      <c r="E29" s="1240"/>
      <c r="F29" s="1240"/>
      <c r="G29" s="1240"/>
      <c r="H29" s="602"/>
      <c r="I29" s="602"/>
      <c r="J29" s="602"/>
      <c r="K29" s="1240"/>
      <c r="L29" s="1240"/>
      <c r="M29" s="1240"/>
      <c r="N29" s="1240"/>
      <c r="O29" s="1240"/>
      <c r="P29" s="1240"/>
      <c r="Q29" s="1240"/>
      <c r="R29" s="1240"/>
      <c r="S29" s="1240"/>
      <c r="T29" s="1241"/>
      <c r="U29" s="1241"/>
      <c r="V29" s="1241"/>
      <c r="W29" s="1240"/>
      <c r="X29" s="1240"/>
      <c r="Y29" s="1240"/>
      <c r="Z29" s="1240"/>
      <c r="AA29" s="1240"/>
      <c r="AB29" s="1240"/>
      <c r="AC29" s="1240"/>
      <c r="AD29" s="1240"/>
      <c r="AE29" s="1240"/>
      <c r="AF29" s="1240"/>
      <c r="AG29" s="1240"/>
      <c r="AH29" s="1240"/>
      <c r="AI29" s="1240">
        <v>0</v>
      </c>
      <c r="AJ29" s="1240"/>
      <c r="AK29" s="1240"/>
    </row>
    <row r="30" spans="1:38" ht="30" x14ac:dyDescent="0.25">
      <c r="A30" s="592" t="s">
        <v>1133</v>
      </c>
      <c r="B30" s="593">
        <f>-B26</f>
        <v>6444.2999999999884</v>
      </c>
      <c r="C30" s="593">
        <f>-C26</f>
        <v>970.10000000000582</v>
      </c>
      <c r="D30" s="593">
        <f t="shared" ref="D30:AK30" si="11">-D26</f>
        <v>1314.1000000000058</v>
      </c>
      <c r="E30" s="593">
        <f>-E26</f>
        <v>720</v>
      </c>
      <c r="F30" s="593">
        <f>-F26</f>
        <v>720</v>
      </c>
      <c r="G30" s="593">
        <f t="shared" si="11"/>
        <v>3320</v>
      </c>
      <c r="H30" s="593">
        <f t="shared" si="11"/>
        <v>5724.2999999999884</v>
      </c>
      <c r="I30" s="593">
        <f t="shared" si="11"/>
        <v>250.10000000000582</v>
      </c>
      <c r="J30" s="593">
        <f t="shared" si="11"/>
        <v>-2005.8999999999942</v>
      </c>
      <c r="K30" s="599">
        <f t="shared" si="11"/>
        <v>0</v>
      </c>
      <c r="L30" s="599">
        <f t="shared" si="11"/>
        <v>0</v>
      </c>
      <c r="M30" s="599">
        <f t="shared" si="11"/>
        <v>0</v>
      </c>
      <c r="N30" s="593">
        <f t="shared" si="11"/>
        <v>277.30000000000018</v>
      </c>
      <c r="O30" s="593">
        <f t="shared" si="11"/>
        <v>229.10000000000036</v>
      </c>
      <c r="P30" s="593">
        <f t="shared" si="11"/>
        <v>228.10000000000036</v>
      </c>
      <c r="Q30" s="599">
        <f t="shared" si="11"/>
        <v>-720</v>
      </c>
      <c r="R30" s="599">
        <f t="shared" si="11"/>
        <v>-720</v>
      </c>
      <c r="S30" s="599">
        <f t="shared" si="11"/>
        <v>-3321</v>
      </c>
      <c r="T30" s="593">
        <f t="shared" si="11"/>
        <v>0</v>
      </c>
      <c r="U30" s="593">
        <f t="shared" si="11"/>
        <v>0</v>
      </c>
      <c r="V30" s="593">
        <f t="shared" si="11"/>
        <v>0</v>
      </c>
      <c r="W30" s="593">
        <f t="shared" si="11"/>
        <v>5681</v>
      </c>
      <c r="X30" s="593">
        <f t="shared" si="11"/>
        <v>334</v>
      </c>
      <c r="Y30" s="593">
        <f t="shared" si="11"/>
        <v>581</v>
      </c>
      <c r="Z30" s="593">
        <f t="shared" si="11"/>
        <v>96</v>
      </c>
      <c r="AA30" s="593">
        <f t="shared" si="11"/>
        <v>100</v>
      </c>
      <c r="AB30" s="593">
        <f t="shared" si="11"/>
        <v>105</v>
      </c>
      <c r="AC30" s="593">
        <f t="shared" si="11"/>
        <v>-1</v>
      </c>
      <c r="AD30" s="593">
        <f t="shared" si="11"/>
        <v>-90</v>
      </c>
      <c r="AE30" s="593">
        <f t="shared" si="11"/>
        <v>0</v>
      </c>
      <c r="AF30" s="593">
        <f t="shared" si="11"/>
        <v>391</v>
      </c>
      <c r="AG30" s="593">
        <f t="shared" si="11"/>
        <v>397</v>
      </c>
      <c r="AH30" s="593">
        <f t="shared" si="11"/>
        <v>401</v>
      </c>
      <c r="AI30" s="593">
        <f t="shared" si="11"/>
        <v>0</v>
      </c>
      <c r="AJ30" s="593">
        <f t="shared" si="11"/>
        <v>0</v>
      </c>
      <c r="AK30" s="593">
        <f t="shared" si="11"/>
        <v>0</v>
      </c>
      <c r="AL30" s="605"/>
    </row>
    <row r="31" spans="1:38" ht="43.5" x14ac:dyDescent="0.25">
      <c r="A31" s="594" t="s">
        <v>1134</v>
      </c>
      <c r="B31" s="595">
        <f>E31+H31</f>
        <v>0</v>
      </c>
      <c r="C31" s="595">
        <f t="shared" ref="B31:D35" si="12">F31+I31</f>
        <v>0</v>
      </c>
      <c r="D31" s="595">
        <f t="shared" si="12"/>
        <v>0</v>
      </c>
      <c r="E31" s="595">
        <v>0</v>
      </c>
      <c r="F31" s="595">
        <v>0</v>
      </c>
      <c r="G31" s="595">
        <v>0</v>
      </c>
      <c r="H31" s="596">
        <v>0</v>
      </c>
      <c r="I31" s="596">
        <v>0</v>
      </c>
      <c r="J31" s="596">
        <v>0</v>
      </c>
      <c r="K31" s="596">
        <v>0</v>
      </c>
      <c r="L31" s="596">
        <v>0</v>
      </c>
      <c r="M31" s="596">
        <f t="shared" ref="M31:AK31" si="13">M11-M6</f>
        <v>0</v>
      </c>
      <c r="N31" s="596">
        <v>0</v>
      </c>
      <c r="O31" s="596">
        <v>0</v>
      </c>
      <c r="P31" s="596">
        <v>0</v>
      </c>
      <c r="Q31" s="596">
        <v>0</v>
      </c>
      <c r="R31" s="596">
        <v>0</v>
      </c>
      <c r="S31" s="596">
        <v>0</v>
      </c>
      <c r="T31" s="596">
        <v>0</v>
      </c>
      <c r="U31" s="596">
        <v>0</v>
      </c>
      <c r="V31" s="596">
        <v>0</v>
      </c>
      <c r="W31" s="596">
        <v>0</v>
      </c>
      <c r="X31" s="596">
        <v>0</v>
      </c>
      <c r="Y31" s="596">
        <v>0</v>
      </c>
      <c r="Z31" s="596">
        <v>0</v>
      </c>
      <c r="AA31" s="596">
        <v>0</v>
      </c>
      <c r="AB31" s="596">
        <v>0</v>
      </c>
      <c r="AC31" s="596">
        <v>0</v>
      </c>
      <c r="AD31" s="596">
        <v>0</v>
      </c>
      <c r="AE31" s="596">
        <f t="shared" si="13"/>
        <v>0</v>
      </c>
      <c r="AF31" s="596">
        <v>0</v>
      </c>
      <c r="AG31" s="596">
        <v>0</v>
      </c>
      <c r="AH31" s="596">
        <v>0</v>
      </c>
      <c r="AI31" s="596">
        <v>0</v>
      </c>
      <c r="AJ31" s="596">
        <v>0</v>
      </c>
      <c r="AK31" s="596">
        <f t="shared" si="13"/>
        <v>0</v>
      </c>
    </row>
    <row r="32" spans="1:38" ht="43.5" x14ac:dyDescent="0.25">
      <c r="A32" s="594" t="s">
        <v>1135</v>
      </c>
      <c r="B32" s="596">
        <f t="shared" si="12"/>
        <v>0</v>
      </c>
      <c r="C32" s="596">
        <f t="shared" si="12"/>
        <v>0</v>
      </c>
      <c r="D32" s="596">
        <f t="shared" si="12"/>
        <v>0</v>
      </c>
      <c r="E32" s="596">
        <v>0</v>
      </c>
      <c r="F32" s="596">
        <v>0</v>
      </c>
      <c r="G32" s="596">
        <v>0</v>
      </c>
      <c r="H32" s="596">
        <f t="shared" ref="H32:J35" si="14">K32+N32+Q32+T32+W32+Z32+AC32+AF32+AI32</f>
        <v>0</v>
      </c>
      <c r="I32" s="596">
        <f t="shared" si="14"/>
        <v>0</v>
      </c>
      <c r="J32" s="596">
        <f t="shared" si="14"/>
        <v>0</v>
      </c>
      <c r="K32" s="596">
        <v>0</v>
      </c>
      <c r="L32" s="596">
        <v>0</v>
      </c>
      <c r="M32" s="596">
        <v>0</v>
      </c>
      <c r="N32" s="596">
        <v>0</v>
      </c>
      <c r="O32" s="596">
        <v>0</v>
      </c>
      <c r="P32" s="596">
        <v>0</v>
      </c>
      <c r="Q32" s="596">
        <v>0</v>
      </c>
      <c r="R32" s="596">
        <v>0</v>
      </c>
      <c r="S32" s="596">
        <v>0</v>
      </c>
      <c r="T32" s="596">
        <v>0</v>
      </c>
      <c r="U32" s="596">
        <v>0</v>
      </c>
      <c r="V32" s="596">
        <v>0</v>
      </c>
      <c r="W32" s="596">
        <v>0</v>
      </c>
      <c r="X32" s="596">
        <v>0</v>
      </c>
      <c r="Y32" s="596">
        <v>0</v>
      </c>
      <c r="Z32" s="596">
        <v>0</v>
      </c>
      <c r="AA32" s="596">
        <v>0</v>
      </c>
      <c r="AB32" s="596">
        <v>0</v>
      </c>
      <c r="AC32" s="596">
        <v>0</v>
      </c>
      <c r="AD32" s="596">
        <v>0</v>
      </c>
      <c r="AE32" s="596">
        <v>0</v>
      </c>
      <c r="AF32" s="596">
        <v>0</v>
      </c>
      <c r="AG32" s="596">
        <v>0</v>
      </c>
      <c r="AH32" s="596">
        <v>0</v>
      </c>
      <c r="AI32" s="596">
        <v>0</v>
      </c>
      <c r="AJ32" s="596">
        <v>0</v>
      </c>
      <c r="AK32" s="596">
        <v>0</v>
      </c>
    </row>
    <row r="33" spans="1:37" ht="43.5" x14ac:dyDescent="0.25">
      <c r="A33" s="594" t="s">
        <v>1136</v>
      </c>
      <c r="B33" s="596">
        <f t="shared" si="12"/>
        <v>0</v>
      </c>
      <c r="C33" s="596">
        <f t="shared" si="12"/>
        <v>0</v>
      </c>
      <c r="D33" s="596">
        <f t="shared" si="12"/>
        <v>0</v>
      </c>
      <c r="E33" s="596">
        <v>0</v>
      </c>
      <c r="F33" s="596">
        <v>0</v>
      </c>
      <c r="G33" s="596">
        <v>0</v>
      </c>
      <c r="H33" s="596">
        <f t="shared" si="14"/>
        <v>0</v>
      </c>
      <c r="I33" s="596">
        <f t="shared" si="14"/>
        <v>0</v>
      </c>
      <c r="J33" s="596">
        <f t="shared" si="14"/>
        <v>0</v>
      </c>
      <c r="K33" s="596">
        <v>0</v>
      </c>
      <c r="L33" s="596">
        <v>0</v>
      </c>
      <c r="M33" s="596">
        <v>0</v>
      </c>
      <c r="N33" s="596">
        <v>0</v>
      </c>
      <c r="O33" s="596">
        <v>0</v>
      </c>
      <c r="P33" s="596">
        <v>0</v>
      </c>
      <c r="Q33" s="596">
        <v>0</v>
      </c>
      <c r="R33" s="596">
        <v>0</v>
      </c>
      <c r="S33" s="596">
        <v>0</v>
      </c>
      <c r="T33" s="596">
        <v>0</v>
      </c>
      <c r="U33" s="596">
        <v>0</v>
      </c>
      <c r="V33" s="596">
        <v>0</v>
      </c>
      <c r="W33" s="596">
        <v>0</v>
      </c>
      <c r="X33" s="596">
        <v>0</v>
      </c>
      <c r="Y33" s="596">
        <v>0</v>
      </c>
      <c r="Z33" s="596">
        <v>0</v>
      </c>
      <c r="AA33" s="596">
        <v>0</v>
      </c>
      <c r="AB33" s="596">
        <v>0</v>
      </c>
      <c r="AC33" s="596">
        <v>0</v>
      </c>
      <c r="AD33" s="596">
        <v>0</v>
      </c>
      <c r="AE33" s="596">
        <v>0</v>
      </c>
      <c r="AF33" s="596">
        <v>0</v>
      </c>
      <c r="AG33" s="596">
        <v>0</v>
      </c>
      <c r="AH33" s="596">
        <v>0</v>
      </c>
      <c r="AI33" s="596">
        <v>0</v>
      </c>
      <c r="AJ33" s="596">
        <v>0</v>
      </c>
      <c r="AK33" s="596">
        <v>0</v>
      </c>
    </row>
    <row r="34" spans="1:37" ht="43.5" x14ac:dyDescent="0.25">
      <c r="A34" s="594" t="s">
        <v>1137</v>
      </c>
      <c r="B34" s="596">
        <f>E34+H34</f>
        <v>720</v>
      </c>
      <c r="C34" s="596">
        <f>F34+I34</f>
        <v>720</v>
      </c>
      <c r="D34" s="596">
        <f>G34+J34</f>
        <v>3320</v>
      </c>
      <c r="E34" s="596">
        <v>0</v>
      </c>
      <c r="F34" s="596">
        <v>0</v>
      </c>
      <c r="G34" s="596">
        <v>0</v>
      </c>
      <c r="H34" s="596">
        <v>720</v>
      </c>
      <c r="I34" s="596">
        <v>720</v>
      </c>
      <c r="J34" s="596">
        <v>3320</v>
      </c>
      <c r="K34" s="596">
        <v>0</v>
      </c>
      <c r="L34" s="596">
        <v>0</v>
      </c>
      <c r="M34" s="596">
        <v>0</v>
      </c>
      <c r="N34" s="596">
        <v>0</v>
      </c>
      <c r="O34" s="596">
        <v>0</v>
      </c>
      <c r="P34" s="596">
        <v>0</v>
      </c>
      <c r="Q34" s="596">
        <v>0</v>
      </c>
      <c r="R34" s="596">
        <v>0</v>
      </c>
      <c r="S34" s="596">
        <v>0</v>
      </c>
      <c r="T34" s="596">
        <v>0</v>
      </c>
      <c r="U34" s="596">
        <v>0</v>
      </c>
      <c r="V34" s="596">
        <v>0</v>
      </c>
      <c r="W34" s="596">
        <v>0</v>
      </c>
      <c r="X34" s="596">
        <v>0</v>
      </c>
      <c r="Y34" s="596">
        <v>0</v>
      </c>
      <c r="Z34" s="596">
        <v>0</v>
      </c>
      <c r="AA34" s="596">
        <v>0</v>
      </c>
      <c r="AB34" s="596">
        <v>0</v>
      </c>
      <c r="AC34" s="596">
        <v>0</v>
      </c>
      <c r="AD34" s="596">
        <v>0</v>
      </c>
      <c r="AE34" s="596">
        <v>0</v>
      </c>
      <c r="AF34" s="596">
        <v>-186</v>
      </c>
      <c r="AG34" s="596">
        <v>0</v>
      </c>
      <c r="AH34" s="596">
        <v>0</v>
      </c>
      <c r="AI34" s="596">
        <v>0</v>
      </c>
      <c r="AJ34" s="596">
        <v>0</v>
      </c>
      <c r="AK34" s="596">
        <v>0</v>
      </c>
    </row>
    <row r="35" spans="1:37" ht="43.5" x14ac:dyDescent="0.25">
      <c r="A35" s="594" t="s">
        <v>1138</v>
      </c>
      <c r="B35" s="596">
        <f>E35+H35</f>
        <v>720</v>
      </c>
      <c r="C35" s="596">
        <f t="shared" si="12"/>
        <v>720</v>
      </c>
      <c r="D35" s="596">
        <f t="shared" si="12"/>
        <v>3320</v>
      </c>
      <c r="E35" s="595">
        <v>720</v>
      </c>
      <c r="F35" s="596">
        <v>720</v>
      </c>
      <c r="G35" s="596">
        <v>3320</v>
      </c>
      <c r="H35" s="596">
        <f t="shared" si="14"/>
        <v>0</v>
      </c>
      <c r="I35" s="596">
        <f t="shared" si="14"/>
        <v>0</v>
      </c>
      <c r="J35" s="596">
        <f t="shared" si="14"/>
        <v>0</v>
      </c>
      <c r="K35" s="596">
        <v>0</v>
      </c>
      <c r="L35" s="596">
        <v>0</v>
      </c>
      <c r="M35" s="596">
        <v>0</v>
      </c>
      <c r="N35" s="596">
        <v>0</v>
      </c>
      <c r="O35" s="596">
        <v>0</v>
      </c>
      <c r="P35" s="596">
        <v>0</v>
      </c>
      <c r="Q35" s="596">
        <v>0</v>
      </c>
      <c r="R35" s="596">
        <v>0</v>
      </c>
      <c r="S35" s="596">
        <v>0</v>
      </c>
      <c r="T35" s="596">
        <v>0</v>
      </c>
      <c r="U35" s="596">
        <v>0</v>
      </c>
      <c r="V35" s="596">
        <v>0</v>
      </c>
      <c r="W35" s="596">
        <v>0</v>
      </c>
      <c r="X35" s="596">
        <v>0</v>
      </c>
      <c r="Y35" s="596">
        <v>0</v>
      </c>
      <c r="Z35" s="596">
        <v>0</v>
      </c>
      <c r="AA35" s="596">
        <v>0</v>
      </c>
      <c r="AB35" s="596">
        <v>0</v>
      </c>
      <c r="AC35" s="596">
        <v>0</v>
      </c>
      <c r="AD35" s="596">
        <v>0</v>
      </c>
      <c r="AE35" s="596">
        <v>0</v>
      </c>
      <c r="AF35" s="606">
        <v>0</v>
      </c>
      <c r="AG35" s="606">
        <v>0</v>
      </c>
      <c r="AH35" s="606">
        <v>0</v>
      </c>
      <c r="AI35" s="606">
        <v>0</v>
      </c>
      <c r="AJ35" s="606">
        <v>0</v>
      </c>
      <c r="AK35" s="596">
        <v>0</v>
      </c>
    </row>
    <row r="36" spans="1:37" ht="43.5" x14ac:dyDescent="0.25">
      <c r="A36" s="594" t="s">
        <v>1139</v>
      </c>
      <c r="B36" s="596">
        <f>E36+H36</f>
        <v>0</v>
      </c>
      <c r="C36" s="596">
        <f>F36+I36</f>
        <v>0</v>
      </c>
      <c r="D36" s="596">
        <f>G36+J36</f>
        <v>0</v>
      </c>
      <c r="E36" s="596">
        <v>0</v>
      </c>
      <c r="F36" s="596">
        <v>0</v>
      </c>
      <c r="G36" s="596">
        <v>0</v>
      </c>
      <c r="H36" s="596">
        <v>0</v>
      </c>
      <c r="I36" s="596">
        <v>0</v>
      </c>
      <c r="J36" s="596">
        <v>0</v>
      </c>
      <c r="K36" s="596">
        <v>0</v>
      </c>
      <c r="L36" s="596">
        <v>0</v>
      </c>
      <c r="M36" s="596">
        <v>0</v>
      </c>
      <c r="N36" s="596">
        <v>0</v>
      </c>
      <c r="O36" s="596">
        <v>0</v>
      </c>
      <c r="P36" s="596">
        <v>0</v>
      </c>
      <c r="Q36" s="596">
        <v>0</v>
      </c>
      <c r="R36" s="596">
        <v>0</v>
      </c>
      <c r="S36" s="596">
        <v>0</v>
      </c>
      <c r="T36" s="596">
        <v>0</v>
      </c>
      <c r="U36" s="596">
        <v>0</v>
      </c>
      <c r="V36" s="596">
        <v>0</v>
      </c>
      <c r="W36" s="596">
        <v>0</v>
      </c>
      <c r="X36" s="596">
        <v>0</v>
      </c>
      <c r="Y36" s="596">
        <v>0</v>
      </c>
      <c r="Z36" s="596">
        <v>0</v>
      </c>
      <c r="AA36" s="596">
        <v>0</v>
      </c>
      <c r="AB36" s="596">
        <v>0</v>
      </c>
      <c r="AC36" s="596">
        <v>0</v>
      </c>
      <c r="AD36" s="596">
        <v>0</v>
      </c>
      <c r="AE36" s="596">
        <v>0</v>
      </c>
      <c r="AF36" s="596">
        <v>0</v>
      </c>
      <c r="AG36" s="596">
        <v>0</v>
      </c>
      <c r="AH36" s="596">
        <v>0</v>
      </c>
      <c r="AI36" s="596">
        <v>0</v>
      </c>
      <c r="AJ36" s="596">
        <v>0</v>
      </c>
      <c r="AK36" s="596">
        <v>0</v>
      </c>
    </row>
    <row r="37" spans="1:37" x14ac:dyDescent="0.25">
      <c r="A37" s="594" t="s">
        <v>1140</v>
      </c>
      <c r="B37" s="607">
        <v>0</v>
      </c>
      <c r="C37" s="607">
        <v>0</v>
      </c>
      <c r="D37" s="607">
        <v>0</v>
      </c>
      <c r="E37" s="607">
        <v>0</v>
      </c>
      <c r="F37" s="607">
        <v>0</v>
      </c>
      <c r="G37" s="607">
        <v>0</v>
      </c>
      <c r="H37" s="607">
        <v>0</v>
      </c>
      <c r="I37" s="607">
        <v>0</v>
      </c>
      <c r="J37" s="607">
        <v>0</v>
      </c>
      <c r="K37" s="607">
        <v>0</v>
      </c>
      <c r="L37" s="607">
        <v>0</v>
      </c>
      <c r="M37" s="607">
        <v>0</v>
      </c>
      <c r="N37" s="607">
        <v>0</v>
      </c>
      <c r="O37" s="607">
        <v>0</v>
      </c>
      <c r="P37" s="607">
        <v>0</v>
      </c>
      <c r="Q37" s="607">
        <v>0</v>
      </c>
      <c r="R37" s="607">
        <v>0</v>
      </c>
      <c r="S37" s="607">
        <v>0</v>
      </c>
      <c r="T37" s="607">
        <v>0</v>
      </c>
      <c r="U37" s="607">
        <v>0</v>
      </c>
      <c r="V37" s="607">
        <v>0</v>
      </c>
      <c r="W37" s="607">
        <v>0</v>
      </c>
      <c r="X37" s="607">
        <v>0</v>
      </c>
      <c r="Y37" s="607">
        <v>0</v>
      </c>
      <c r="Z37" s="607">
        <v>0</v>
      </c>
      <c r="AA37" s="607">
        <v>0</v>
      </c>
      <c r="AB37" s="607">
        <v>0</v>
      </c>
      <c r="AC37" s="607">
        <v>0</v>
      </c>
      <c r="AD37" s="607">
        <v>0</v>
      </c>
      <c r="AE37" s="607">
        <v>0</v>
      </c>
      <c r="AF37" s="607">
        <v>0</v>
      </c>
      <c r="AG37" s="607">
        <v>0</v>
      </c>
      <c r="AH37" s="607">
        <v>0</v>
      </c>
      <c r="AI37" s="607">
        <v>0</v>
      </c>
      <c r="AJ37" s="607">
        <v>0</v>
      </c>
      <c r="AK37" s="607">
        <v>0</v>
      </c>
    </row>
    <row r="38" spans="1:37" x14ac:dyDescent="0.25">
      <c r="A38" s="602" t="s">
        <v>1141</v>
      </c>
      <c r="B38" s="607">
        <f>E38+H38</f>
        <v>-5724.3</v>
      </c>
      <c r="C38" s="607">
        <f t="shared" ref="B38:D40" si="15">F38+I38</f>
        <v>-250.10000000000036</v>
      </c>
      <c r="D38" s="607">
        <f t="shared" si="15"/>
        <v>2005.8999999999996</v>
      </c>
      <c r="E38" s="607">
        <v>0</v>
      </c>
      <c r="F38" s="607">
        <v>0</v>
      </c>
      <c r="G38" s="607">
        <v>0</v>
      </c>
      <c r="H38" s="607">
        <f>K38+N38+Q38+T38+W38+Z38+AC38+AF38+AI38</f>
        <v>-5724.3</v>
      </c>
      <c r="I38" s="607">
        <f t="shared" ref="H38:J40" si="16">L38+O38+R38+U38+X38+AA38+AD38+AG38+AJ38</f>
        <v>-250.10000000000036</v>
      </c>
      <c r="J38" s="607">
        <f t="shared" si="16"/>
        <v>2005.8999999999996</v>
      </c>
      <c r="K38" s="607">
        <f>K6-K11</f>
        <v>0</v>
      </c>
      <c r="L38" s="607">
        <f t="shared" ref="L38:AK38" si="17">L6-L11</f>
        <v>0</v>
      </c>
      <c r="M38" s="607">
        <f t="shared" si="17"/>
        <v>0</v>
      </c>
      <c r="N38" s="607">
        <f t="shared" si="17"/>
        <v>-277.30000000000018</v>
      </c>
      <c r="O38" s="607">
        <f t="shared" si="17"/>
        <v>-229.10000000000036</v>
      </c>
      <c r="P38" s="607">
        <f t="shared" si="17"/>
        <v>-228.10000000000036</v>
      </c>
      <c r="Q38" s="607">
        <f t="shared" si="17"/>
        <v>720</v>
      </c>
      <c r="R38" s="607">
        <f t="shared" si="17"/>
        <v>720</v>
      </c>
      <c r="S38" s="607">
        <f t="shared" si="17"/>
        <v>3321</v>
      </c>
      <c r="T38" s="607">
        <f t="shared" si="17"/>
        <v>0</v>
      </c>
      <c r="U38" s="607">
        <f t="shared" si="17"/>
        <v>0</v>
      </c>
      <c r="V38" s="607">
        <f t="shared" si="17"/>
        <v>0</v>
      </c>
      <c r="W38" s="607">
        <f t="shared" si="17"/>
        <v>-5681</v>
      </c>
      <c r="X38" s="607">
        <f t="shared" si="17"/>
        <v>-334</v>
      </c>
      <c r="Y38" s="607">
        <f t="shared" si="17"/>
        <v>-581</v>
      </c>
      <c r="Z38" s="607">
        <f t="shared" si="17"/>
        <v>-96</v>
      </c>
      <c r="AA38" s="607">
        <f t="shared" si="17"/>
        <v>-100</v>
      </c>
      <c r="AB38" s="607">
        <f t="shared" si="17"/>
        <v>-105</v>
      </c>
      <c r="AC38" s="607">
        <f t="shared" si="17"/>
        <v>1</v>
      </c>
      <c r="AD38" s="607">
        <f t="shared" si="17"/>
        <v>90</v>
      </c>
      <c r="AE38" s="607">
        <f t="shared" si="17"/>
        <v>0</v>
      </c>
      <c r="AF38" s="607">
        <f t="shared" si="17"/>
        <v>-391</v>
      </c>
      <c r="AG38" s="607">
        <f t="shared" si="17"/>
        <v>-397</v>
      </c>
      <c r="AH38" s="607">
        <f t="shared" si="17"/>
        <v>-401</v>
      </c>
      <c r="AI38" s="607">
        <f>AI6-AI11</f>
        <v>0</v>
      </c>
      <c r="AJ38" s="607">
        <f t="shared" si="17"/>
        <v>0</v>
      </c>
      <c r="AK38" s="607">
        <f t="shared" si="17"/>
        <v>0</v>
      </c>
    </row>
    <row r="39" spans="1:37" ht="29.25" x14ac:dyDescent="0.25">
      <c r="A39" s="594" t="s">
        <v>1142</v>
      </c>
      <c r="B39" s="608">
        <f t="shared" si="15"/>
        <v>-899123</v>
      </c>
      <c r="C39" s="608">
        <f t="shared" si="15"/>
        <v>-903622</v>
      </c>
      <c r="D39" s="608">
        <f t="shared" si="15"/>
        <v>-921475</v>
      </c>
      <c r="E39" s="608">
        <f>-E6-E35</f>
        <v>-748641</v>
      </c>
      <c r="F39" s="608">
        <f>-F6-F35</f>
        <v>-755818</v>
      </c>
      <c r="G39" s="608">
        <f>-G6+G35</f>
        <v>-769866</v>
      </c>
      <c r="H39" s="608">
        <f t="shared" si="16"/>
        <v>-150482</v>
      </c>
      <c r="I39" s="608">
        <f t="shared" si="16"/>
        <v>-147804</v>
      </c>
      <c r="J39" s="608">
        <f t="shared" si="16"/>
        <v>-151609</v>
      </c>
      <c r="K39" s="608">
        <f>-(K6+K33+K35+K36)</f>
        <v>-4712</v>
      </c>
      <c r="L39" s="608">
        <f>-(L6+L33+L35+L36)</f>
        <v>-4709</v>
      </c>
      <c r="M39" s="608">
        <f>-(M6+M33+M35+M36)</f>
        <v>-4709</v>
      </c>
      <c r="N39" s="608">
        <f>-N6+N33+N35+N36</f>
        <v>-5575</v>
      </c>
      <c r="O39" s="608">
        <f>-O6+O33+O35+O36</f>
        <v>-5144</v>
      </c>
      <c r="P39" s="608">
        <f>-P6+P33+P35+P36</f>
        <v>-5145</v>
      </c>
      <c r="Q39" s="608">
        <f>-(Q6+Q33+Q35+Q36)</f>
        <v>-22399</v>
      </c>
      <c r="R39" s="608">
        <f>-(R6+R33+R35+R36)</f>
        <v>-22818</v>
      </c>
      <c r="S39" s="608">
        <f>-(S6+S33+S35+S36)</f>
        <v>-23835</v>
      </c>
      <c r="T39" s="608">
        <f t="shared" ref="T39:Y39" si="18">-T6+T33+T35+T36</f>
        <v>-11905</v>
      </c>
      <c r="U39" s="608">
        <f t="shared" si="18"/>
        <v>-8364</v>
      </c>
      <c r="V39" s="608">
        <f t="shared" si="18"/>
        <v>-8364</v>
      </c>
      <c r="W39" s="608">
        <f t="shared" si="18"/>
        <v>-67929</v>
      </c>
      <c r="X39" s="608">
        <f t="shared" si="18"/>
        <v>-67989</v>
      </c>
      <c r="Y39" s="608">
        <f t="shared" si="18"/>
        <v>-69861</v>
      </c>
      <c r="Z39" s="608">
        <f>-(Z6+Z33+Z35+Z36)</f>
        <v>-4568</v>
      </c>
      <c r="AA39" s="608">
        <f>-(AA6+AA33+AA35+AA36)</f>
        <v>-4628</v>
      </c>
      <c r="AB39" s="608">
        <f>-(AB6+AB33+AB35+AB36)</f>
        <v>-4737</v>
      </c>
      <c r="AC39" s="608">
        <f t="shared" ref="AC39:AK39" si="19">-AC6+AC33+AC35+AC36</f>
        <v>-10960</v>
      </c>
      <c r="AD39" s="608">
        <f t="shared" si="19"/>
        <v>-10765</v>
      </c>
      <c r="AE39" s="608">
        <f t="shared" si="19"/>
        <v>-10682</v>
      </c>
      <c r="AF39" s="608">
        <f t="shared" si="19"/>
        <v>-7813</v>
      </c>
      <c r="AG39" s="608">
        <f t="shared" si="19"/>
        <v>-7931</v>
      </c>
      <c r="AH39" s="608">
        <f t="shared" si="19"/>
        <v>-8027</v>
      </c>
      <c r="AI39" s="608">
        <f t="shared" si="19"/>
        <v>-14621</v>
      </c>
      <c r="AJ39" s="608">
        <f t="shared" si="19"/>
        <v>-15456</v>
      </c>
      <c r="AK39" s="608">
        <f t="shared" si="19"/>
        <v>-16249</v>
      </c>
    </row>
    <row r="40" spans="1:37" ht="29.25" x14ac:dyDescent="0.25">
      <c r="A40" s="594" t="s">
        <v>1143</v>
      </c>
      <c r="B40" s="608">
        <f t="shared" si="15"/>
        <v>904661.3</v>
      </c>
      <c r="C40" s="608">
        <f t="shared" si="15"/>
        <v>903872.1</v>
      </c>
      <c r="D40" s="608">
        <f t="shared" si="15"/>
        <v>926109.1</v>
      </c>
      <c r="E40" s="608">
        <f>E11-E34</f>
        <v>748641</v>
      </c>
      <c r="F40" s="608">
        <f>F11-F34</f>
        <v>755818</v>
      </c>
      <c r="G40" s="608">
        <f>G11-G34</f>
        <v>776506</v>
      </c>
      <c r="H40" s="608">
        <f t="shared" si="16"/>
        <v>156020.29999999999</v>
      </c>
      <c r="I40" s="608">
        <f t="shared" si="16"/>
        <v>148054.1</v>
      </c>
      <c r="J40" s="608">
        <f t="shared" si="16"/>
        <v>149603.1</v>
      </c>
      <c r="K40" s="608">
        <f>K11+K32+K34-K35</f>
        <v>4712</v>
      </c>
      <c r="L40" s="608">
        <f t="shared" ref="L40:AK40" si="20">L11+L32+L34-L35</f>
        <v>4709</v>
      </c>
      <c r="M40" s="608">
        <f t="shared" si="20"/>
        <v>4709</v>
      </c>
      <c r="N40" s="608">
        <f t="shared" si="20"/>
        <v>5852.3</v>
      </c>
      <c r="O40" s="608">
        <f t="shared" si="20"/>
        <v>5373.1</v>
      </c>
      <c r="P40" s="608">
        <f t="shared" si="20"/>
        <v>5373.1</v>
      </c>
      <c r="Q40" s="608">
        <f t="shared" si="20"/>
        <v>21679</v>
      </c>
      <c r="R40" s="608">
        <f t="shared" si="20"/>
        <v>22098</v>
      </c>
      <c r="S40" s="608">
        <f t="shared" si="20"/>
        <v>20514</v>
      </c>
      <c r="T40" s="608">
        <f t="shared" si="20"/>
        <v>11905</v>
      </c>
      <c r="U40" s="608">
        <f t="shared" si="20"/>
        <v>8364</v>
      </c>
      <c r="V40" s="608">
        <f t="shared" si="20"/>
        <v>8364</v>
      </c>
      <c r="W40" s="608">
        <f t="shared" si="20"/>
        <v>73610</v>
      </c>
      <c r="X40" s="608">
        <f t="shared" si="20"/>
        <v>68323</v>
      </c>
      <c r="Y40" s="608">
        <f t="shared" si="20"/>
        <v>70442</v>
      </c>
      <c r="Z40" s="608">
        <f t="shared" si="20"/>
        <v>4664</v>
      </c>
      <c r="AA40" s="608">
        <f t="shared" si="20"/>
        <v>4728</v>
      </c>
      <c r="AB40" s="608">
        <f t="shared" si="20"/>
        <v>4842</v>
      </c>
      <c r="AC40" s="608">
        <f t="shared" si="20"/>
        <v>10959</v>
      </c>
      <c r="AD40" s="608">
        <f t="shared" si="20"/>
        <v>10675</v>
      </c>
      <c r="AE40" s="608">
        <f t="shared" si="20"/>
        <v>10682</v>
      </c>
      <c r="AF40" s="608">
        <f t="shared" si="20"/>
        <v>8018</v>
      </c>
      <c r="AG40" s="608">
        <f t="shared" si="20"/>
        <v>8328</v>
      </c>
      <c r="AH40" s="608">
        <f t="shared" si="20"/>
        <v>8428</v>
      </c>
      <c r="AI40" s="608">
        <f t="shared" si="20"/>
        <v>14621</v>
      </c>
      <c r="AJ40" s="608">
        <f t="shared" si="20"/>
        <v>15456</v>
      </c>
      <c r="AK40" s="608">
        <f t="shared" si="20"/>
        <v>16249</v>
      </c>
    </row>
  </sheetData>
  <mergeCells count="25">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 ref="E29:G29"/>
    <mergeCell ref="K29:M29"/>
    <mergeCell ref="N29:P29"/>
    <mergeCell ref="Q29:S29"/>
    <mergeCell ref="T29:V29"/>
    <mergeCell ref="W29:Y29"/>
    <mergeCell ref="Z29:AB29"/>
    <mergeCell ref="AC29:AE29"/>
    <mergeCell ref="AF29:AH29"/>
    <mergeCell ref="AI29:AK29"/>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79" customWidth="1"/>
    <col min="9" max="9" width="14.140625" style="279" customWidth="1"/>
    <col min="10" max="10" width="13.42578125" style="279" customWidth="1"/>
    <col min="11" max="11" width="14.5703125" style="279" customWidth="1"/>
    <col min="12" max="12" width="14.28515625" style="279"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609"/>
      <c r="B1" s="609"/>
      <c r="C1" s="1259" t="s">
        <v>1218</v>
      </c>
      <c r="D1" s="1259"/>
      <c r="E1" s="1259"/>
      <c r="F1" s="1259"/>
      <c r="G1" s="1259"/>
      <c r="H1" s="1259"/>
      <c r="I1" s="1259"/>
      <c r="J1" s="1259"/>
      <c r="K1" s="1259"/>
      <c r="L1" s="1259"/>
      <c r="M1" s="1259"/>
      <c r="N1" s="1259"/>
      <c r="O1" s="1259"/>
    </row>
    <row r="2" spans="1:15" x14ac:dyDescent="0.25">
      <c r="A2" s="610"/>
      <c r="B2" s="610"/>
      <c r="C2" s="611"/>
    </row>
    <row r="3" spans="1:15" x14ac:dyDescent="0.25">
      <c r="A3" s="610"/>
      <c r="B3" s="610"/>
      <c r="C3" s="1260" t="s">
        <v>1110</v>
      </c>
      <c r="D3" s="1260"/>
      <c r="E3" s="1260"/>
      <c r="F3" s="1260"/>
      <c r="G3" s="1260"/>
      <c r="H3" s="1260"/>
      <c r="I3" s="1260"/>
      <c r="J3" s="1260"/>
      <c r="K3" s="1260"/>
      <c r="L3" s="1260"/>
      <c r="M3" s="1260"/>
      <c r="N3" s="1260"/>
      <c r="O3" s="1260"/>
    </row>
    <row r="4" spans="1:15" ht="15" customHeight="1" x14ac:dyDescent="0.25">
      <c r="A4" s="1261" t="s">
        <v>121</v>
      </c>
      <c r="B4" s="1262"/>
      <c r="C4" s="1265" t="s">
        <v>1</v>
      </c>
      <c r="D4" s="1265" t="s">
        <v>1214</v>
      </c>
      <c r="E4" s="1265"/>
      <c r="F4" s="1265"/>
      <c r="G4" s="1266" t="s">
        <v>1215</v>
      </c>
      <c r="H4" s="1267"/>
      <c r="I4" s="1268"/>
      <c r="J4" s="1269" t="s">
        <v>1216</v>
      </c>
      <c r="K4" s="1270"/>
      <c r="L4" s="1271"/>
      <c r="M4" s="1265" t="s">
        <v>1217</v>
      </c>
      <c r="N4" s="1265"/>
      <c r="O4" s="1265"/>
    </row>
    <row r="5" spans="1:15" ht="45" x14ac:dyDescent="0.25">
      <c r="A5" s="1263"/>
      <c r="B5" s="1264"/>
      <c r="C5" s="1265"/>
      <c r="D5" s="612" t="s">
        <v>1111</v>
      </c>
      <c r="E5" s="612" t="s">
        <v>1112</v>
      </c>
      <c r="F5" s="612" t="s">
        <v>1113</v>
      </c>
      <c r="G5" s="612" t="s">
        <v>1111</v>
      </c>
      <c r="H5" s="613" t="s">
        <v>1112</v>
      </c>
      <c r="I5" s="613" t="s">
        <v>1113</v>
      </c>
      <c r="J5" s="613" t="s">
        <v>1111</v>
      </c>
      <c r="K5" s="613" t="s">
        <v>1112</v>
      </c>
      <c r="L5" s="613" t="s">
        <v>1113</v>
      </c>
      <c r="M5" s="612" t="s">
        <v>1111</v>
      </c>
      <c r="N5" s="612" t="s">
        <v>1112</v>
      </c>
      <c r="O5" s="612" t="s">
        <v>1113</v>
      </c>
    </row>
    <row r="6" spans="1:15" x14ac:dyDescent="0.25">
      <c r="A6" s="1272" t="s">
        <v>1144</v>
      </c>
      <c r="B6" s="1273"/>
      <c r="C6" s="1273"/>
      <c r="D6" s="1273"/>
      <c r="E6" s="1273"/>
      <c r="F6" s="1273"/>
      <c r="G6" s="1273"/>
      <c r="H6" s="1273"/>
      <c r="I6" s="1273"/>
      <c r="J6" s="1273"/>
      <c r="K6" s="1273"/>
      <c r="L6" s="1273"/>
      <c r="M6" s="1273"/>
      <c r="N6" s="1273"/>
      <c r="O6" s="1274"/>
    </row>
    <row r="7" spans="1:15" x14ac:dyDescent="0.25">
      <c r="A7" s="614" t="s">
        <v>1145</v>
      </c>
      <c r="B7" s="614" t="s">
        <v>1146</v>
      </c>
      <c r="C7" s="614"/>
      <c r="D7" s="614"/>
      <c r="E7" s="614"/>
      <c r="F7" s="614"/>
      <c r="G7" s="614"/>
      <c r="H7" s="614"/>
      <c r="I7" s="614"/>
      <c r="J7" s="614"/>
      <c r="K7" s="614"/>
      <c r="L7" s="614"/>
      <c r="M7" s="614"/>
      <c r="N7" s="614"/>
      <c r="O7" s="614"/>
    </row>
    <row r="8" spans="1:15" x14ac:dyDescent="0.25">
      <c r="A8" s="615" t="s">
        <v>1147</v>
      </c>
      <c r="B8" s="615" t="s">
        <v>122</v>
      </c>
      <c r="C8" s="616" t="s">
        <v>1148</v>
      </c>
      <c r="D8" s="617">
        <f t="shared" ref="D8:D30" si="0">E8+F8</f>
        <v>176658</v>
      </c>
      <c r="E8" s="618">
        <v>100240</v>
      </c>
      <c r="F8" s="618">
        <v>76418</v>
      </c>
      <c r="G8" s="617">
        <f t="shared" ref="G8:G20" si="1">SUM(H8:I8)</f>
        <v>133979</v>
      </c>
      <c r="H8" s="619">
        <v>71541</v>
      </c>
      <c r="I8" s="619">
        <v>62438</v>
      </c>
      <c r="J8" s="620">
        <f>K8+L8</f>
        <v>183290</v>
      </c>
      <c r="K8" s="619">
        <v>100250</v>
      </c>
      <c r="L8" s="619">
        <v>83040</v>
      </c>
      <c r="M8" s="617">
        <f>N8+O8</f>
        <v>178638.66666666669</v>
      </c>
      <c r="N8" s="618">
        <f>H8/9*12</f>
        <v>95388</v>
      </c>
      <c r="O8" s="618">
        <f>I8/9*12</f>
        <v>83250.666666666672</v>
      </c>
    </row>
    <row r="9" spans="1:15" ht="60" x14ac:dyDescent="0.25">
      <c r="A9" s="615" t="s">
        <v>1147</v>
      </c>
      <c r="B9" s="615" t="s">
        <v>123</v>
      </c>
      <c r="C9" s="616" t="s">
        <v>1149</v>
      </c>
      <c r="D9" s="617">
        <f>E9+F9</f>
        <v>25760</v>
      </c>
      <c r="E9" s="618">
        <v>20512</v>
      </c>
      <c r="F9" s="618">
        <v>5248</v>
      </c>
      <c r="G9" s="617">
        <f t="shared" si="1"/>
        <v>22455</v>
      </c>
      <c r="H9" s="619">
        <v>17880</v>
      </c>
      <c r="I9" s="619">
        <v>4575</v>
      </c>
      <c r="J9" s="620">
        <f>K9+L9</f>
        <v>25760</v>
      </c>
      <c r="K9" s="619">
        <v>20512</v>
      </c>
      <c r="L9" s="619">
        <v>5248</v>
      </c>
      <c r="M9" s="617">
        <f>N9+O9</f>
        <v>29940</v>
      </c>
      <c r="N9" s="618">
        <f>H9/9*12</f>
        <v>23840</v>
      </c>
      <c r="O9" s="618">
        <f t="shared" ref="N9:O20" si="2">I9/9*12</f>
        <v>6100</v>
      </c>
    </row>
    <row r="10" spans="1:15" x14ac:dyDescent="0.25">
      <c r="A10" s="615" t="s">
        <v>1147</v>
      </c>
      <c r="B10" s="615" t="s">
        <v>124</v>
      </c>
      <c r="C10" s="616" t="s">
        <v>1150</v>
      </c>
      <c r="D10" s="617">
        <f t="shared" si="0"/>
        <v>22200</v>
      </c>
      <c r="E10" s="618">
        <v>22199</v>
      </c>
      <c r="F10" s="618">
        <v>1</v>
      </c>
      <c r="G10" s="617">
        <f t="shared" si="1"/>
        <v>14989</v>
      </c>
      <c r="H10" s="619">
        <v>14988</v>
      </c>
      <c r="I10" s="619">
        <v>1</v>
      </c>
      <c r="J10" s="620">
        <f t="shared" ref="J10:J31" si="3">K10+L10</f>
        <v>22213</v>
      </c>
      <c r="K10" s="619">
        <v>22212</v>
      </c>
      <c r="L10" s="619">
        <v>1</v>
      </c>
      <c r="M10" s="617">
        <f t="shared" ref="M10:M20" si="4">N10+O10</f>
        <v>19985.333333333332</v>
      </c>
      <c r="N10" s="618">
        <f t="shared" si="2"/>
        <v>19984</v>
      </c>
      <c r="O10" s="618">
        <f t="shared" si="2"/>
        <v>1.3333333333333333</v>
      </c>
    </row>
    <row r="11" spans="1:15" x14ac:dyDescent="0.25">
      <c r="A11" s="621" t="s">
        <v>1147</v>
      </c>
      <c r="B11" s="621" t="s">
        <v>125</v>
      </c>
      <c r="C11" s="622" t="s">
        <v>1151</v>
      </c>
      <c r="D11" s="617">
        <f t="shared" si="0"/>
        <v>37283</v>
      </c>
      <c r="E11" s="623">
        <v>24320</v>
      </c>
      <c r="F11" s="618">
        <v>12963</v>
      </c>
      <c r="G11" s="617">
        <f t="shared" si="1"/>
        <v>32429</v>
      </c>
      <c r="H11" s="619">
        <v>24324</v>
      </c>
      <c r="I11" s="619">
        <v>8105</v>
      </c>
      <c r="J11" s="620">
        <f t="shared" si="3"/>
        <v>38879</v>
      </c>
      <c r="K11" s="619">
        <v>24322</v>
      </c>
      <c r="L11" s="619">
        <v>14557</v>
      </c>
      <c r="M11" s="617">
        <f t="shared" si="4"/>
        <v>43238.666666666664</v>
      </c>
      <c r="N11" s="618">
        <f t="shared" si="2"/>
        <v>32432</v>
      </c>
      <c r="O11" s="618">
        <f t="shared" si="2"/>
        <v>10806.666666666666</v>
      </c>
    </row>
    <row r="12" spans="1:15" x14ac:dyDescent="0.25">
      <c r="A12" s="615" t="s">
        <v>1147</v>
      </c>
      <c r="B12" s="615" t="s">
        <v>126</v>
      </c>
      <c r="C12" s="616" t="s">
        <v>1152</v>
      </c>
      <c r="D12" s="617">
        <f t="shared" si="0"/>
        <v>3166</v>
      </c>
      <c r="E12" s="618">
        <v>3000</v>
      </c>
      <c r="F12" s="618">
        <v>166</v>
      </c>
      <c r="G12" s="617">
        <f t="shared" si="1"/>
        <v>2166</v>
      </c>
      <c r="H12" s="619">
        <v>2041</v>
      </c>
      <c r="I12" s="619">
        <v>125</v>
      </c>
      <c r="J12" s="620">
        <f t="shared" si="3"/>
        <v>3206</v>
      </c>
      <c r="K12" s="619">
        <v>3005</v>
      </c>
      <c r="L12" s="619">
        <v>201</v>
      </c>
      <c r="M12" s="617">
        <f>N12+O12</f>
        <v>2887.9999999999995</v>
      </c>
      <c r="N12" s="618">
        <f t="shared" si="2"/>
        <v>2721.333333333333</v>
      </c>
      <c r="O12" s="618">
        <f t="shared" si="2"/>
        <v>166.66666666666669</v>
      </c>
    </row>
    <row r="13" spans="1:15" ht="51.75" x14ac:dyDescent="0.25">
      <c r="A13" s="621" t="s">
        <v>1147</v>
      </c>
      <c r="B13" s="621" t="s">
        <v>127</v>
      </c>
      <c r="C13" s="622" t="s">
        <v>1153</v>
      </c>
      <c r="D13" s="617">
        <f t="shared" si="0"/>
        <v>0</v>
      </c>
      <c r="E13" s="618">
        <v>0</v>
      </c>
      <c r="F13" s="618">
        <v>0</v>
      </c>
      <c r="G13" s="617">
        <f t="shared" si="1"/>
        <v>0</v>
      </c>
      <c r="H13" s="619">
        <v>0</v>
      </c>
      <c r="I13" s="619">
        <v>0</v>
      </c>
      <c r="J13" s="620">
        <f t="shared" si="3"/>
        <v>0</v>
      </c>
      <c r="K13" s="619">
        <v>0</v>
      </c>
      <c r="L13" s="619">
        <v>0</v>
      </c>
      <c r="M13" s="617">
        <f t="shared" si="4"/>
        <v>0</v>
      </c>
      <c r="N13" s="618">
        <f t="shared" si="2"/>
        <v>0</v>
      </c>
      <c r="O13" s="618">
        <f t="shared" si="2"/>
        <v>0</v>
      </c>
    </row>
    <row r="14" spans="1:15" ht="75" x14ac:dyDescent="0.25">
      <c r="A14" s="615" t="s">
        <v>1147</v>
      </c>
      <c r="B14" s="615" t="s">
        <v>128</v>
      </c>
      <c r="C14" s="616" t="s">
        <v>1154</v>
      </c>
      <c r="D14" s="617">
        <f t="shared" si="0"/>
        <v>43237</v>
      </c>
      <c r="E14" s="618">
        <v>24722</v>
      </c>
      <c r="F14" s="618">
        <v>18515</v>
      </c>
      <c r="G14" s="617">
        <f t="shared" si="1"/>
        <v>39077</v>
      </c>
      <c r="H14" s="619">
        <v>25219</v>
      </c>
      <c r="I14" s="619">
        <v>13858</v>
      </c>
      <c r="J14" s="620">
        <f t="shared" si="3"/>
        <v>46884</v>
      </c>
      <c r="K14" s="619">
        <v>27450</v>
      </c>
      <c r="L14" s="619">
        <v>19434</v>
      </c>
      <c r="M14" s="617">
        <f t="shared" si="4"/>
        <v>52102.666666666672</v>
      </c>
      <c r="N14" s="618">
        <f t="shared" si="2"/>
        <v>33625.333333333336</v>
      </c>
      <c r="O14" s="618">
        <f t="shared" si="2"/>
        <v>18477.333333333336</v>
      </c>
    </row>
    <row r="15" spans="1:15" ht="30" x14ac:dyDescent="0.25">
      <c r="A15" s="615" t="s">
        <v>1147</v>
      </c>
      <c r="B15" s="615" t="s">
        <v>129</v>
      </c>
      <c r="C15" s="616" t="s">
        <v>1155</v>
      </c>
      <c r="D15" s="617">
        <f t="shared" si="0"/>
        <v>949</v>
      </c>
      <c r="E15" s="618">
        <v>949</v>
      </c>
      <c r="F15" s="618">
        <v>0</v>
      </c>
      <c r="G15" s="617">
        <f t="shared" si="1"/>
        <v>19</v>
      </c>
      <c r="H15" s="619">
        <v>19</v>
      </c>
      <c r="I15" s="619">
        <v>0</v>
      </c>
      <c r="J15" s="620">
        <f t="shared" si="3"/>
        <v>1047</v>
      </c>
      <c r="K15" s="619">
        <v>1047</v>
      </c>
      <c r="L15" s="619">
        <v>0</v>
      </c>
      <c r="M15" s="617">
        <f t="shared" si="4"/>
        <v>25.333333333333336</v>
      </c>
      <c r="N15" s="618">
        <f>H15/9*12</f>
        <v>25.333333333333336</v>
      </c>
      <c r="O15" s="618">
        <f t="shared" si="2"/>
        <v>0</v>
      </c>
    </row>
    <row r="16" spans="1:15" ht="39" x14ac:dyDescent="0.25">
      <c r="A16" s="621" t="s">
        <v>1147</v>
      </c>
      <c r="B16" s="621" t="s">
        <v>130</v>
      </c>
      <c r="C16" s="622" t="s">
        <v>1156</v>
      </c>
      <c r="D16" s="617">
        <f t="shared" si="0"/>
        <v>0</v>
      </c>
      <c r="E16" s="618">
        <v>0</v>
      </c>
      <c r="F16" s="618">
        <v>0</v>
      </c>
      <c r="G16" s="617">
        <f t="shared" si="1"/>
        <v>6022</v>
      </c>
      <c r="H16" s="619">
        <v>5970</v>
      </c>
      <c r="I16" s="619">
        <v>52</v>
      </c>
      <c r="J16" s="620">
        <f t="shared" si="3"/>
        <v>66</v>
      </c>
      <c r="K16" s="619">
        <v>14</v>
      </c>
      <c r="L16" s="619">
        <v>52</v>
      </c>
      <c r="M16" s="617">
        <f t="shared" si="4"/>
        <v>7960</v>
      </c>
      <c r="N16" s="618">
        <f t="shared" si="2"/>
        <v>7960</v>
      </c>
      <c r="O16" s="618">
        <v>0</v>
      </c>
    </row>
    <row r="17" spans="1:15" ht="45" x14ac:dyDescent="0.25">
      <c r="A17" s="615" t="s">
        <v>1147</v>
      </c>
      <c r="B17" s="615" t="s">
        <v>131</v>
      </c>
      <c r="C17" s="616" t="s">
        <v>1157</v>
      </c>
      <c r="D17" s="617">
        <f t="shared" si="0"/>
        <v>825</v>
      </c>
      <c r="E17" s="618">
        <v>640</v>
      </c>
      <c r="F17" s="618">
        <v>185</v>
      </c>
      <c r="G17" s="617">
        <f t="shared" si="1"/>
        <v>798</v>
      </c>
      <c r="H17" s="619">
        <v>549</v>
      </c>
      <c r="I17" s="619">
        <v>249</v>
      </c>
      <c r="J17" s="620">
        <f t="shared" si="3"/>
        <v>1353</v>
      </c>
      <c r="K17" s="619">
        <v>669</v>
      </c>
      <c r="L17" s="619">
        <v>684</v>
      </c>
      <c r="M17" s="617">
        <f t="shared" si="4"/>
        <v>1064</v>
      </c>
      <c r="N17" s="618">
        <f t="shared" si="2"/>
        <v>732</v>
      </c>
      <c r="O17" s="618">
        <f t="shared" si="2"/>
        <v>332</v>
      </c>
    </row>
    <row r="18" spans="1:15" ht="30" x14ac:dyDescent="0.25">
      <c r="A18" s="615" t="s">
        <v>1147</v>
      </c>
      <c r="B18" s="615" t="s">
        <v>1158</v>
      </c>
      <c r="C18" s="616" t="s">
        <v>1159</v>
      </c>
      <c r="D18" s="617">
        <f t="shared" si="0"/>
        <v>138</v>
      </c>
      <c r="E18" s="618">
        <v>0</v>
      </c>
      <c r="F18" s="618">
        <v>138</v>
      </c>
      <c r="G18" s="617">
        <f t="shared" si="1"/>
        <v>103</v>
      </c>
      <c r="H18" s="619">
        <v>2</v>
      </c>
      <c r="I18" s="619">
        <v>101</v>
      </c>
      <c r="J18" s="620">
        <f t="shared" si="3"/>
        <v>138</v>
      </c>
      <c r="K18" s="619">
        <v>0</v>
      </c>
      <c r="L18" s="619">
        <v>138</v>
      </c>
      <c r="M18" s="617">
        <f t="shared" si="4"/>
        <v>137.33333333333331</v>
      </c>
      <c r="N18" s="618">
        <f t="shared" si="2"/>
        <v>2.6666666666666665</v>
      </c>
      <c r="O18" s="618">
        <f t="shared" si="2"/>
        <v>134.66666666666666</v>
      </c>
    </row>
    <row r="19" spans="1:15" ht="30" x14ac:dyDescent="0.25">
      <c r="A19" s="615" t="s">
        <v>1147</v>
      </c>
      <c r="B19" s="615" t="s">
        <v>1160</v>
      </c>
      <c r="C19" s="616" t="s">
        <v>1161</v>
      </c>
      <c r="D19" s="617">
        <f t="shared" si="0"/>
        <v>1613</v>
      </c>
      <c r="E19" s="618">
        <v>1601</v>
      </c>
      <c r="F19" s="618">
        <v>12</v>
      </c>
      <c r="G19" s="617">
        <f t="shared" si="1"/>
        <v>2564</v>
      </c>
      <c r="H19" s="619">
        <v>2456</v>
      </c>
      <c r="I19" s="619">
        <v>108</v>
      </c>
      <c r="J19" s="620">
        <f t="shared" si="3"/>
        <v>2499</v>
      </c>
      <c r="K19" s="619">
        <v>2401</v>
      </c>
      <c r="L19" s="619">
        <v>98</v>
      </c>
      <c r="M19" s="617">
        <f t="shared" si="4"/>
        <v>3418.666666666667</v>
      </c>
      <c r="N19" s="618">
        <f t="shared" si="2"/>
        <v>3274.666666666667</v>
      </c>
      <c r="O19" s="618">
        <f t="shared" si="2"/>
        <v>144</v>
      </c>
    </row>
    <row r="20" spans="1:15" x14ac:dyDescent="0.25">
      <c r="A20" s="621" t="s">
        <v>1147</v>
      </c>
      <c r="B20" s="621" t="s">
        <v>1162</v>
      </c>
      <c r="C20" s="622" t="s">
        <v>1163</v>
      </c>
      <c r="D20" s="617">
        <f t="shared" si="0"/>
        <v>3551</v>
      </c>
      <c r="E20" s="618">
        <v>0</v>
      </c>
      <c r="F20" s="618">
        <v>3551</v>
      </c>
      <c r="G20" s="617">
        <f t="shared" si="1"/>
        <v>2321</v>
      </c>
      <c r="H20" s="619">
        <v>117</v>
      </c>
      <c r="I20" s="619">
        <v>2204</v>
      </c>
      <c r="J20" s="620">
        <f t="shared" si="3"/>
        <v>3751</v>
      </c>
      <c r="K20" s="619">
        <v>0</v>
      </c>
      <c r="L20" s="619">
        <v>3751</v>
      </c>
      <c r="M20" s="617">
        <f t="shared" si="4"/>
        <v>3094.6666666666665</v>
      </c>
      <c r="N20" s="618">
        <f t="shared" si="2"/>
        <v>156</v>
      </c>
      <c r="O20" s="618">
        <f t="shared" si="2"/>
        <v>2938.6666666666665</v>
      </c>
    </row>
    <row r="21" spans="1:15" ht="26.25" x14ac:dyDescent="0.25">
      <c r="A21" s="624" t="s">
        <v>132</v>
      </c>
      <c r="B21" s="624" t="s">
        <v>133</v>
      </c>
      <c r="C21" s="625" t="s">
        <v>1095</v>
      </c>
      <c r="D21" s="617">
        <f t="shared" si="0"/>
        <v>417982</v>
      </c>
      <c r="E21" s="617">
        <f>E22+E23+E24+E25+E29</f>
        <v>393980</v>
      </c>
      <c r="F21" s="617">
        <f>F22+F24+F27+F29</f>
        <v>24002</v>
      </c>
      <c r="G21" s="617">
        <f>SUM(H21:I21)</f>
        <v>473258</v>
      </c>
      <c r="H21" s="620">
        <f>H22+H23+H24+H25+H28+H30+H26+H29+H27</f>
        <v>396072</v>
      </c>
      <c r="I21" s="620">
        <f>I22+I23+I24+I25+I28+I30+I26+I29+I27</f>
        <v>77186</v>
      </c>
      <c r="J21" s="620">
        <f t="shared" si="3"/>
        <v>760164</v>
      </c>
      <c r="K21" s="620">
        <f>K22+K23+K24+K25+K26+K29+K28+K30+K27</f>
        <v>588550</v>
      </c>
      <c r="L21" s="620">
        <f>L22+L23+L24+L25+L26+L28+L29+L27</f>
        <v>171614</v>
      </c>
      <c r="M21" s="617">
        <f>N21+O21</f>
        <v>629142</v>
      </c>
      <c r="N21" s="617">
        <f>N22+N23+N24+N25+N26+N28+N30+N29</f>
        <v>479184</v>
      </c>
      <c r="O21" s="617">
        <f>O22+O23+O24+O25+O26+O28+O30+O29</f>
        <v>149958</v>
      </c>
    </row>
    <row r="22" spans="1:15" ht="60" x14ac:dyDescent="0.25">
      <c r="A22" s="614" t="s">
        <v>1055</v>
      </c>
      <c r="B22" s="614" t="s">
        <v>132</v>
      </c>
      <c r="C22" s="626" t="s">
        <v>1164</v>
      </c>
      <c r="D22" s="617">
        <f t="shared" si="0"/>
        <v>213638</v>
      </c>
      <c r="E22" s="627">
        <v>191499</v>
      </c>
      <c r="F22" s="627">
        <v>22139</v>
      </c>
      <c r="G22" s="617">
        <f t="shared" ref="G22:G31" si="5">SUM(H22:I22)</f>
        <v>184807</v>
      </c>
      <c r="H22" s="628">
        <v>168532</v>
      </c>
      <c r="I22" s="628">
        <v>16275</v>
      </c>
      <c r="J22" s="620">
        <f t="shared" si="3"/>
        <v>249157</v>
      </c>
      <c r="K22" s="628">
        <v>227050</v>
      </c>
      <c r="L22" s="628">
        <v>22107</v>
      </c>
      <c r="M22" s="617">
        <f t="shared" ref="M22:M31" si="6">N22+O22</f>
        <v>175398</v>
      </c>
      <c r="N22" s="627">
        <v>156191</v>
      </c>
      <c r="O22" s="627">
        <v>19207</v>
      </c>
    </row>
    <row r="23" spans="1:15" ht="75" x14ac:dyDescent="0.25">
      <c r="A23" s="614" t="s">
        <v>1055</v>
      </c>
      <c r="B23" s="614" t="s">
        <v>132</v>
      </c>
      <c r="C23" s="626" t="s">
        <v>1165</v>
      </c>
      <c r="D23" s="617">
        <f t="shared" si="0"/>
        <v>1851</v>
      </c>
      <c r="E23" s="627">
        <v>1851</v>
      </c>
      <c r="F23" s="627">
        <v>0</v>
      </c>
      <c r="G23" s="617">
        <f t="shared" si="5"/>
        <v>22944</v>
      </c>
      <c r="H23" s="628">
        <v>2709</v>
      </c>
      <c r="I23" s="628">
        <v>20235</v>
      </c>
      <c r="J23" s="620">
        <f t="shared" si="3"/>
        <v>88241</v>
      </c>
      <c r="K23" s="628">
        <v>41852</v>
      </c>
      <c r="L23" s="628">
        <v>46389</v>
      </c>
      <c r="M23" s="617">
        <f t="shared" si="6"/>
        <v>110950</v>
      </c>
      <c r="N23" s="627">
        <v>2373</v>
      </c>
      <c r="O23" s="627">
        <v>108577</v>
      </c>
    </row>
    <row r="24" spans="1:15" ht="60" x14ac:dyDescent="0.25">
      <c r="A24" s="614" t="s">
        <v>1055</v>
      </c>
      <c r="B24" s="614" t="s">
        <v>132</v>
      </c>
      <c r="C24" s="626" t="s">
        <v>1166</v>
      </c>
      <c r="D24" s="617">
        <f t="shared" si="0"/>
        <v>330164</v>
      </c>
      <c r="E24" s="627">
        <v>328351</v>
      </c>
      <c r="F24" s="627">
        <v>1813</v>
      </c>
      <c r="G24" s="617">
        <f t="shared" si="5"/>
        <v>252028</v>
      </c>
      <c r="H24" s="628">
        <v>250901</v>
      </c>
      <c r="I24" s="628">
        <v>1127</v>
      </c>
      <c r="J24" s="620">
        <f t="shared" si="3"/>
        <v>317265</v>
      </c>
      <c r="K24" s="628">
        <v>315321</v>
      </c>
      <c r="L24" s="628">
        <v>1944</v>
      </c>
      <c r="M24" s="617">
        <f t="shared" si="6"/>
        <v>317764</v>
      </c>
      <c r="N24" s="627">
        <v>315955</v>
      </c>
      <c r="O24" s="627">
        <v>1809</v>
      </c>
    </row>
    <row r="25" spans="1:15" ht="30" x14ac:dyDescent="0.25">
      <c r="A25" s="614" t="s">
        <v>1055</v>
      </c>
      <c r="B25" s="614" t="s">
        <v>132</v>
      </c>
      <c r="C25" s="626" t="s">
        <v>1167</v>
      </c>
      <c r="D25" s="617">
        <f t="shared" si="0"/>
        <v>576</v>
      </c>
      <c r="E25" s="627">
        <v>576</v>
      </c>
      <c r="F25" s="627">
        <v>0</v>
      </c>
      <c r="G25" s="617">
        <f t="shared" si="5"/>
        <v>48477</v>
      </c>
      <c r="H25" s="628">
        <v>2551</v>
      </c>
      <c r="I25" s="628">
        <v>45926</v>
      </c>
      <c r="J25" s="620">
        <f t="shared" si="3"/>
        <v>53203</v>
      </c>
      <c r="K25" s="628">
        <v>3494</v>
      </c>
      <c r="L25" s="628">
        <v>49709</v>
      </c>
      <c r="M25" s="617">
        <f t="shared" si="6"/>
        <v>25030</v>
      </c>
      <c r="N25" s="627">
        <v>4665</v>
      </c>
      <c r="O25" s="627">
        <v>20365</v>
      </c>
    </row>
    <row r="26" spans="1:15" ht="30" x14ac:dyDescent="0.25">
      <c r="A26" s="614" t="s">
        <v>1055</v>
      </c>
      <c r="B26" s="614" t="s">
        <v>132</v>
      </c>
      <c r="C26" s="626" t="s">
        <v>1168</v>
      </c>
      <c r="D26" s="617">
        <f t="shared" si="0"/>
        <v>0</v>
      </c>
      <c r="E26" s="627"/>
      <c r="F26" s="627">
        <v>0</v>
      </c>
      <c r="G26" s="617">
        <f t="shared" si="5"/>
        <v>0</v>
      </c>
      <c r="H26" s="628">
        <v>0</v>
      </c>
      <c r="I26" s="628">
        <v>0</v>
      </c>
      <c r="J26" s="620">
        <f t="shared" si="3"/>
        <v>0</v>
      </c>
      <c r="K26" s="628">
        <v>0</v>
      </c>
      <c r="L26" s="628">
        <v>0</v>
      </c>
      <c r="M26" s="617">
        <f t="shared" si="6"/>
        <v>0</v>
      </c>
      <c r="N26" s="627">
        <f>H26/9*12</f>
        <v>0</v>
      </c>
      <c r="O26" s="627">
        <v>0</v>
      </c>
    </row>
    <row r="27" spans="1:15" ht="30" x14ac:dyDescent="0.25">
      <c r="A27" s="614" t="s">
        <v>1055</v>
      </c>
      <c r="B27" s="614" t="s">
        <v>138</v>
      </c>
      <c r="C27" s="626" t="s">
        <v>1169</v>
      </c>
      <c r="D27" s="617">
        <f t="shared" si="0"/>
        <v>50</v>
      </c>
      <c r="E27" s="627"/>
      <c r="F27" s="627">
        <v>50</v>
      </c>
      <c r="G27" s="617">
        <f t="shared" si="5"/>
        <v>53211</v>
      </c>
      <c r="H27" s="628">
        <v>1746</v>
      </c>
      <c r="I27" s="628">
        <v>51465</v>
      </c>
      <c r="J27" s="620">
        <f t="shared" si="3"/>
        <v>53211</v>
      </c>
      <c r="K27" s="628">
        <v>1746</v>
      </c>
      <c r="L27" s="628">
        <v>51465</v>
      </c>
      <c r="M27" s="617"/>
      <c r="N27" s="627"/>
      <c r="O27" s="627">
        <v>250</v>
      </c>
    </row>
    <row r="28" spans="1:15" ht="180" x14ac:dyDescent="0.25">
      <c r="A28" s="614" t="s">
        <v>1055</v>
      </c>
      <c r="B28" s="614" t="s">
        <v>1170</v>
      </c>
      <c r="C28" s="626" t="s">
        <v>1171</v>
      </c>
      <c r="D28" s="617">
        <f t="shared" si="0"/>
        <v>0</v>
      </c>
      <c r="E28" s="627">
        <v>0</v>
      </c>
      <c r="F28" s="627">
        <v>0</v>
      </c>
      <c r="G28" s="617">
        <f t="shared" si="5"/>
        <v>0</v>
      </c>
      <c r="H28" s="628">
        <v>0</v>
      </c>
      <c r="I28" s="628">
        <v>0</v>
      </c>
      <c r="J28" s="620">
        <f t="shared" si="3"/>
        <v>0</v>
      </c>
      <c r="K28" s="628">
        <v>0</v>
      </c>
      <c r="L28" s="628">
        <v>0</v>
      </c>
      <c r="M28" s="617">
        <f t="shared" si="6"/>
        <v>0</v>
      </c>
      <c r="N28" s="627">
        <v>0</v>
      </c>
      <c r="O28" s="627">
        <v>0</v>
      </c>
    </row>
    <row r="29" spans="1:15" ht="75" x14ac:dyDescent="0.25">
      <c r="A29" s="629" t="s">
        <v>1055</v>
      </c>
      <c r="B29" s="629" t="s">
        <v>1172</v>
      </c>
      <c r="C29" s="630" t="s">
        <v>1173</v>
      </c>
      <c r="D29" s="617">
        <f t="shared" si="0"/>
        <v>-128297</v>
      </c>
      <c r="E29" s="627">
        <v>-128297</v>
      </c>
      <c r="F29" s="627">
        <v>0</v>
      </c>
      <c r="G29" s="617">
        <f t="shared" si="5"/>
        <v>-88209</v>
      </c>
      <c r="H29" s="628">
        <v>-30367</v>
      </c>
      <c r="I29" s="628">
        <v>-57842</v>
      </c>
      <c r="J29" s="620">
        <f t="shared" si="3"/>
        <v>-913</v>
      </c>
      <c r="K29" s="628">
        <v>-913</v>
      </c>
      <c r="L29" s="628">
        <v>0</v>
      </c>
      <c r="M29" s="617">
        <f t="shared" si="6"/>
        <v>0</v>
      </c>
      <c r="N29" s="627">
        <v>0</v>
      </c>
      <c r="O29" s="627">
        <v>0</v>
      </c>
    </row>
    <row r="30" spans="1:15" ht="30" x14ac:dyDescent="0.25">
      <c r="A30" s="614" t="s">
        <v>1055</v>
      </c>
      <c r="B30" s="614" t="s">
        <v>132</v>
      </c>
      <c r="C30" s="626" t="s">
        <v>1169</v>
      </c>
      <c r="D30" s="617">
        <f t="shared" si="0"/>
        <v>0</v>
      </c>
      <c r="E30" s="627">
        <v>0</v>
      </c>
      <c r="F30" s="627">
        <v>0</v>
      </c>
      <c r="G30" s="617">
        <f t="shared" si="5"/>
        <v>0</v>
      </c>
      <c r="H30" s="628">
        <v>0</v>
      </c>
      <c r="I30" s="628">
        <v>0</v>
      </c>
      <c r="J30" s="620">
        <f t="shared" si="3"/>
        <v>0</v>
      </c>
      <c r="K30" s="628">
        <v>0</v>
      </c>
      <c r="L30" s="628">
        <v>0</v>
      </c>
      <c r="M30" s="617">
        <f t="shared" si="6"/>
        <v>0</v>
      </c>
      <c r="N30" s="627">
        <f>H30/9*12</f>
        <v>0</v>
      </c>
      <c r="O30" s="627">
        <f>I30/9*12</f>
        <v>0</v>
      </c>
    </row>
    <row r="31" spans="1:15" x14ac:dyDescent="0.25">
      <c r="A31" s="1275" t="s">
        <v>1174</v>
      </c>
      <c r="B31" s="1275"/>
      <c r="C31" s="1275"/>
      <c r="D31" s="617">
        <f>E31+F31</f>
        <v>733362</v>
      </c>
      <c r="E31" s="617">
        <f>E21+E8+E10+E12+E14+E15+E17+E18+E19+E11+E9+E20</f>
        <v>592163</v>
      </c>
      <c r="F31" s="617">
        <f>F21+F8+F10+F12+F14+F15+F17+F18+F19+F11+F20+F9</f>
        <v>141199</v>
      </c>
      <c r="G31" s="617">
        <f t="shared" si="5"/>
        <v>730180</v>
      </c>
      <c r="H31" s="620">
        <f>H21+H8+H10+H12+H14+H15+H17+H18+H19+H11+H20+H16+H13+H9</f>
        <v>561178</v>
      </c>
      <c r="I31" s="620">
        <f>I21+I8+I10+I12+I14+I15+I17+I18+I19+I11+I20+I16+I13+I9</f>
        <v>169002</v>
      </c>
      <c r="J31" s="620">
        <f t="shared" si="3"/>
        <v>1089250</v>
      </c>
      <c r="K31" s="620">
        <f>K8+K9+K10+K11+K12+K14+K15+K16+K17+K18+K19+K20+K21</f>
        <v>790432</v>
      </c>
      <c r="L31" s="620">
        <f>L21+L8+L10+L12+L14+L15+L17+L18+L19+L11+L16+L20+L13+L9</f>
        <v>298818</v>
      </c>
      <c r="M31" s="617">
        <f t="shared" si="6"/>
        <v>941695.33333333349</v>
      </c>
      <c r="N31" s="617">
        <f>N21+N8+N10+N12+N14+N15+N17+N18+N19+N11+N13+N16+N20</f>
        <v>675485.33333333337</v>
      </c>
      <c r="O31" s="617">
        <f>O21+O8+O10+O12+O14+O15+O17+O18+O19+O11+O13+O16+O20</f>
        <v>266210.00000000006</v>
      </c>
    </row>
    <row r="32" spans="1:15" x14ac:dyDescent="0.25">
      <c r="A32" s="1276" t="s">
        <v>1175</v>
      </c>
      <c r="B32" s="1277"/>
      <c r="C32" s="1277"/>
      <c r="D32" s="1277"/>
      <c r="E32" s="1277"/>
      <c r="F32" s="1277"/>
      <c r="G32" s="1277"/>
      <c r="H32" s="1277"/>
      <c r="I32" s="1277"/>
      <c r="J32" s="1277"/>
      <c r="K32" s="1277"/>
      <c r="L32" s="1277"/>
      <c r="M32" s="1277"/>
      <c r="N32" s="1277"/>
      <c r="O32" s="1278"/>
    </row>
    <row r="33" spans="1:15" x14ac:dyDescent="0.25">
      <c r="A33" s="614" t="s">
        <v>134</v>
      </c>
      <c r="B33" s="614" t="s">
        <v>135</v>
      </c>
      <c r="C33" s="614"/>
      <c r="D33" s="631"/>
      <c r="E33" s="632"/>
      <c r="F33" s="632"/>
      <c r="G33" s="632"/>
      <c r="H33" s="633"/>
      <c r="I33" s="633"/>
      <c r="J33" s="633"/>
      <c r="K33" s="633"/>
      <c r="L33" s="633"/>
      <c r="M33" s="632"/>
      <c r="N33" s="632"/>
      <c r="O33" s="632"/>
    </row>
    <row r="34" spans="1:15" ht="26.25" x14ac:dyDescent="0.25">
      <c r="A34" s="624" t="s">
        <v>122</v>
      </c>
      <c r="B34" s="624" t="s">
        <v>133</v>
      </c>
      <c r="C34" s="625" t="s">
        <v>111</v>
      </c>
      <c r="D34" s="617">
        <f>E34+F34</f>
        <v>149004</v>
      </c>
      <c r="E34" s="617">
        <f>E35+E36+E37+E39+E40+E42+E41+E38</f>
        <v>80363</v>
      </c>
      <c r="F34" s="617">
        <f>F35+F37+F40+F41+F42+F36+F39</f>
        <v>68641</v>
      </c>
      <c r="G34" s="617">
        <f>SUM(H34:I34)</f>
        <v>114678</v>
      </c>
      <c r="H34" s="620">
        <f>SUM(H35:H42)</f>
        <v>60341</v>
      </c>
      <c r="I34" s="620">
        <f>SUM(I35:I42)</f>
        <v>54337</v>
      </c>
      <c r="J34" s="620">
        <f>K34+L34</f>
        <v>164758</v>
      </c>
      <c r="K34" s="620">
        <f>K35+K36+K37+K39+K40+K42+K41+K38</f>
        <v>89129</v>
      </c>
      <c r="L34" s="620">
        <f>L35+L36+L37+L39+L40+L42+L41</f>
        <v>75629</v>
      </c>
      <c r="M34" s="617">
        <f>N34+O34</f>
        <v>153446.77777777778</v>
      </c>
      <c r="N34" s="617">
        <f>N35+N36+N37+N39+N40+N42+N41</f>
        <v>80965.444444444438</v>
      </c>
      <c r="O34" s="617">
        <f>O35+O36+O37+O39+O40+O42+O41</f>
        <v>72481.333333333343</v>
      </c>
    </row>
    <row r="35" spans="1:15" ht="45" x14ac:dyDescent="0.25">
      <c r="A35" s="614" t="s">
        <v>122</v>
      </c>
      <c r="B35" s="614" t="s">
        <v>132</v>
      </c>
      <c r="C35" s="626" t="s">
        <v>1176</v>
      </c>
      <c r="D35" s="617">
        <f t="shared" ref="D35:D94" si="7">E35+F35</f>
        <v>9066</v>
      </c>
      <c r="E35" s="627">
        <v>1554</v>
      </c>
      <c r="F35" s="627">
        <v>7512</v>
      </c>
      <c r="G35" s="617">
        <f t="shared" ref="G35:G115" si="8">SUM(H35:I35)</f>
        <v>6756</v>
      </c>
      <c r="H35" s="628">
        <v>1125</v>
      </c>
      <c r="I35" s="628">
        <v>5631</v>
      </c>
      <c r="J35" s="620">
        <f t="shared" ref="J35:J115" si="9">K35+L35</f>
        <v>9021</v>
      </c>
      <c r="K35" s="628">
        <v>1554</v>
      </c>
      <c r="L35" s="628">
        <v>7467</v>
      </c>
      <c r="M35" s="617">
        <f t="shared" ref="M35:M95" si="10">N35+O35</f>
        <v>9003</v>
      </c>
      <c r="N35" s="627">
        <v>1495</v>
      </c>
      <c r="O35" s="627">
        <f>I35/9*12</f>
        <v>7508</v>
      </c>
    </row>
    <row r="36" spans="1:15" ht="45" x14ac:dyDescent="0.25">
      <c r="A36" s="614" t="s">
        <v>122</v>
      </c>
      <c r="B36" s="614" t="s">
        <v>123</v>
      </c>
      <c r="C36" s="626" t="s">
        <v>1177</v>
      </c>
      <c r="D36" s="617">
        <f t="shared" si="7"/>
        <v>3916</v>
      </c>
      <c r="E36" s="627">
        <v>3007</v>
      </c>
      <c r="F36" s="627">
        <v>909</v>
      </c>
      <c r="G36" s="617">
        <f t="shared" si="8"/>
        <v>2906</v>
      </c>
      <c r="H36" s="628">
        <v>2215</v>
      </c>
      <c r="I36" s="628">
        <v>691</v>
      </c>
      <c r="J36" s="620">
        <f t="shared" si="9"/>
        <v>3954</v>
      </c>
      <c r="K36" s="628">
        <v>3045</v>
      </c>
      <c r="L36" s="628">
        <v>909</v>
      </c>
      <c r="M36" s="617">
        <f t="shared" si="10"/>
        <v>3874.666666666667</v>
      </c>
      <c r="N36" s="627">
        <f>H36/9*12</f>
        <v>2953.3333333333335</v>
      </c>
      <c r="O36" s="627">
        <f>I36/9*12</f>
        <v>921.33333333333326</v>
      </c>
    </row>
    <row r="37" spans="1:15" ht="30" x14ac:dyDescent="0.25">
      <c r="A37" s="614" t="s">
        <v>122</v>
      </c>
      <c r="B37" s="614" t="s">
        <v>136</v>
      </c>
      <c r="C37" s="626" t="s">
        <v>1178</v>
      </c>
      <c r="D37" s="617">
        <f t="shared" si="7"/>
        <v>63003</v>
      </c>
      <c r="E37" s="627">
        <v>30418</v>
      </c>
      <c r="F37" s="627">
        <v>32585</v>
      </c>
      <c r="G37" s="617">
        <f t="shared" si="8"/>
        <v>46045</v>
      </c>
      <c r="H37" s="628">
        <v>22648</v>
      </c>
      <c r="I37" s="628">
        <v>23397</v>
      </c>
      <c r="J37" s="620">
        <f t="shared" si="9"/>
        <v>65000</v>
      </c>
      <c r="K37" s="628">
        <v>31238</v>
      </c>
      <c r="L37" s="628">
        <v>33762</v>
      </c>
      <c r="M37" s="617">
        <f t="shared" si="10"/>
        <v>61393.333333333328</v>
      </c>
      <c r="N37" s="627">
        <f>H37/9*12</f>
        <v>30197.333333333332</v>
      </c>
      <c r="O37" s="627">
        <f>I37/9*12</f>
        <v>31196</v>
      </c>
    </row>
    <row r="38" spans="1:15" x14ac:dyDescent="0.25">
      <c r="A38" s="614" t="s">
        <v>122</v>
      </c>
      <c r="B38" s="614" t="s">
        <v>124</v>
      </c>
      <c r="C38" s="626" t="s">
        <v>137</v>
      </c>
      <c r="D38" s="617">
        <f t="shared" si="7"/>
        <v>328</v>
      </c>
      <c r="E38" s="627">
        <v>328</v>
      </c>
      <c r="F38" s="627">
        <v>0</v>
      </c>
      <c r="G38" s="617">
        <f t="shared" si="8"/>
        <v>328</v>
      </c>
      <c r="H38" s="628">
        <v>328</v>
      </c>
      <c r="I38" s="628">
        <v>0</v>
      </c>
      <c r="J38" s="620">
        <f t="shared" si="9"/>
        <v>328</v>
      </c>
      <c r="K38" s="628">
        <v>328</v>
      </c>
      <c r="L38" s="628">
        <v>0</v>
      </c>
      <c r="M38" s="617">
        <f t="shared" si="10"/>
        <v>437.33333333333331</v>
      </c>
      <c r="N38" s="627">
        <f>H38/9*12</f>
        <v>437.33333333333331</v>
      </c>
      <c r="O38" s="627">
        <f>I38/9*12</f>
        <v>0</v>
      </c>
    </row>
    <row r="39" spans="1:15" ht="60" x14ac:dyDescent="0.25">
      <c r="A39" s="614" t="s">
        <v>122</v>
      </c>
      <c r="B39" s="614" t="s">
        <v>125</v>
      </c>
      <c r="C39" s="626" t="s">
        <v>1179</v>
      </c>
      <c r="D39" s="617">
        <f t="shared" si="7"/>
        <v>12922</v>
      </c>
      <c r="E39" s="627">
        <v>12346</v>
      </c>
      <c r="F39" s="627">
        <v>576</v>
      </c>
      <c r="G39" s="617">
        <f t="shared" si="8"/>
        <v>9154</v>
      </c>
      <c r="H39" s="628">
        <v>8578</v>
      </c>
      <c r="I39" s="628">
        <v>576</v>
      </c>
      <c r="J39" s="620">
        <f t="shared" si="9"/>
        <v>13486</v>
      </c>
      <c r="K39" s="628">
        <v>12807</v>
      </c>
      <c r="L39" s="628">
        <v>679</v>
      </c>
      <c r="M39" s="617">
        <f t="shared" si="10"/>
        <v>13190.444444444443</v>
      </c>
      <c r="N39" s="627">
        <f>H39/9*13</f>
        <v>12390.444444444443</v>
      </c>
      <c r="O39" s="627">
        <f>I39/9*12.5</f>
        <v>800</v>
      </c>
    </row>
    <row r="40" spans="1:15" ht="30" x14ac:dyDescent="0.25">
      <c r="A40" s="614" t="s">
        <v>122</v>
      </c>
      <c r="B40" s="614" t="s">
        <v>138</v>
      </c>
      <c r="C40" s="626" t="s">
        <v>139</v>
      </c>
      <c r="D40" s="617">
        <f t="shared" si="7"/>
        <v>100</v>
      </c>
      <c r="E40" s="627">
        <v>0</v>
      </c>
      <c r="F40" s="627">
        <v>100</v>
      </c>
      <c r="G40" s="617">
        <f t="shared" si="8"/>
        <v>0</v>
      </c>
      <c r="H40" s="628">
        <v>0</v>
      </c>
      <c r="I40" s="628">
        <v>0</v>
      </c>
      <c r="J40" s="620">
        <f t="shared" si="9"/>
        <v>100</v>
      </c>
      <c r="K40" s="628">
        <v>0</v>
      </c>
      <c r="L40" s="628">
        <v>100</v>
      </c>
      <c r="M40" s="617">
        <f t="shared" si="10"/>
        <v>0</v>
      </c>
      <c r="N40" s="627">
        <v>0</v>
      </c>
      <c r="O40" s="627">
        <v>0</v>
      </c>
    </row>
    <row r="41" spans="1:15" x14ac:dyDescent="0.25">
      <c r="A41" s="614" t="s">
        <v>122</v>
      </c>
      <c r="B41" s="614" t="s">
        <v>128</v>
      </c>
      <c r="C41" s="634" t="s">
        <v>140</v>
      </c>
      <c r="D41" s="617">
        <f t="shared" si="7"/>
        <v>790</v>
      </c>
      <c r="E41" s="627">
        <v>352</v>
      </c>
      <c r="F41" s="627">
        <v>438</v>
      </c>
      <c r="G41" s="617">
        <f t="shared" si="8"/>
        <v>0</v>
      </c>
      <c r="H41" s="628">
        <v>0</v>
      </c>
      <c r="I41" s="628">
        <v>0</v>
      </c>
      <c r="J41" s="620">
        <f t="shared" si="9"/>
        <v>741</v>
      </c>
      <c r="K41" s="628">
        <v>352</v>
      </c>
      <c r="L41" s="628">
        <v>389</v>
      </c>
      <c r="M41" s="617">
        <f t="shared" si="10"/>
        <v>0</v>
      </c>
      <c r="N41" s="627">
        <f>H41/9*12</f>
        <v>0</v>
      </c>
      <c r="O41" s="627">
        <f>I41/9*12</f>
        <v>0</v>
      </c>
    </row>
    <row r="42" spans="1:15" ht="26.25" x14ac:dyDescent="0.25">
      <c r="A42" s="614" t="s">
        <v>122</v>
      </c>
      <c r="B42" s="629" t="s">
        <v>130</v>
      </c>
      <c r="C42" s="634" t="s">
        <v>141</v>
      </c>
      <c r="D42" s="617">
        <f t="shared" si="7"/>
        <v>58879</v>
      </c>
      <c r="E42" s="627">
        <v>32358</v>
      </c>
      <c r="F42" s="627">
        <v>26521</v>
      </c>
      <c r="G42" s="617">
        <f t="shared" si="8"/>
        <v>49489</v>
      </c>
      <c r="H42" s="628">
        <v>25447</v>
      </c>
      <c r="I42" s="628">
        <v>24042</v>
      </c>
      <c r="J42" s="620">
        <f t="shared" si="9"/>
        <v>72128</v>
      </c>
      <c r="K42" s="628">
        <v>39805</v>
      </c>
      <c r="L42" s="628">
        <v>32323</v>
      </c>
      <c r="M42" s="617">
        <f t="shared" si="10"/>
        <v>65985.333333333328</v>
      </c>
      <c r="N42" s="627">
        <f>H42/9*12</f>
        <v>33929.333333333328</v>
      </c>
      <c r="O42" s="627">
        <f>I42/9*12</f>
        <v>32056</v>
      </c>
    </row>
    <row r="43" spans="1:15" x14ac:dyDescent="0.25">
      <c r="A43" s="624" t="s">
        <v>132</v>
      </c>
      <c r="B43" s="624" t="s">
        <v>133</v>
      </c>
      <c r="C43" s="625" t="s">
        <v>1128</v>
      </c>
      <c r="D43" s="617">
        <f t="shared" si="7"/>
        <v>1594</v>
      </c>
      <c r="E43" s="617">
        <f>E44</f>
        <v>0</v>
      </c>
      <c r="F43" s="617">
        <f>F44</f>
        <v>1594</v>
      </c>
      <c r="G43" s="617">
        <f t="shared" si="8"/>
        <v>999</v>
      </c>
      <c r="H43" s="620">
        <f>H44</f>
        <v>0</v>
      </c>
      <c r="I43" s="620">
        <f>I44</f>
        <v>999</v>
      </c>
      <c r="J43" s="620">
        <f t="shared" si="9"/>
        <v>1727</v>
      </c>
      <c r="K43" s="620">
        <f>K44</f>
        <v>0</v>
      </c>
      <c r="L43" s="620">
        <f>L44</f>
        <v>1727</v>
      </c>
      <c r="M43" s="617">
        <f t="shared" si="10"/>
        <v>1419.8</v>
      </c>
      <c r="N43" s="617">
        <f>N44</f>
        <v>0</v>
      </c>
      <c r="O43" s="617">
        <f>O44</f>
        <v>1419.8</v>
      </c>
    </row>
    <row r="44" spans="1:15" ht="30" x14ac:dyDescent="0.25">
      <c r="A44" s="614" t="s">
        <v>132</v>
      </c>
      <c r="B44" s="614" t="s">
        <v>123</v>
      </c>
      <c r="C44" s="626" t="s">
        <v>1180</v>
      </c>
      <c r="D44" s="617">
        <f t="shared" si="7"/>
        <v>1594</v>
      </c>
      <c r="E44" s="627">
        <v>0</v>
      </c>
      <c r="F44" s="627">
        <v>1594</v>
      </c>
      <c r="G44" s="617">
        <f t="shared" si="8"/>
        <v>999</v>
      </c>
      <c r="H44" s="628">
        <v>0</v>
      </c>
      <c r="I44" s="628">
        <v>999</v>
      </c>
      <c r="J44" s="620">
        <f t="shared" si="9"/>
        <v>1727</v>
      </c>
      <c r="K44" s="628">
        <v>0</v>
      </c>
      <c r="L44" s="628">
        <v>1727</v>
      </c>
      <c r="M44" s="617">
        <f t="shared" si="10"/>
        <v>1419.8</v>
      </c>
      <c r="N44" s="627">
        <f>H44/9*12</f>
        <v>0</v>
      </c>
      <c r="O44" s="627">
        <v>1419.8</v>
      </c>
    </row>
    <row r="45" spans="1:15" ht="51.75" x14ac:dyDescent="0.25">
      <c r="A45" s="624" t="s">
        <v>123</v>
      </c>
      <c r="B45" s="624" t="s">
        <v>133</v>
      </c>
      <c r="C45" s="625" t="s">
        <v>112</v>
      </c>
      <c r="D45" s="617">
        <f t="shared" si="7"/>
        <v>11588</v>
      </c>
      <c r="E45" s="617">
        <f>E46+E47+E48+E49</f>
        <v>9983</v>
      </c>
      <c r="F45" s="617">
        <f>F47+F48+F49</f>
        <v>1605</v>
      </c>
      <c r="G45" s="617">
        <f t="shared" si="8"/>
        <v>3617</v>
      </c>
      <c r="H45" s="620">
        <f>H46+H47+H48+H49</f>
        <v>2612</v>
      </c>
      <c r="I45" s="620">
        <f>I46+I47+I48+I49</f>
        <v>1005</v>
      </c>
      <c r="J45" s="620">
        <f t="shared" si="9"/>
        <v>7207</v>
      </c>
      <c r="K45" s="620">
        <f>K46+K47+K48+K49</f>
        <v>5520</v>
      </c>
      <c r="L45" s="620">
        <f>L46+L47+L48+L49</f>
        <v>1687</v>
      </c>
      <c r="M45" s="617">
        <f t="shared" si="10"/>
        <v>4931.7777777777783</v>
      </c>
      <c r="N45" s="617">
        <f>N46+N47+N48+N49</f>
        <v>3484.666666666667</v>
      </c>
      <c r="O45" s="617">
        <f>O46+O47+O48+O49</f>
        <v>1447.1111111111113</v>
      </c>
    </row>
    <row r="46" spans="1:15" x14ac:dyDescent="0.25">
      <c r="A46" s="614" t="s">
        <v>123</v>
      </c>
      <c r="B46" s="614" t="s">
        <v>132</v>
      </c>
      <c r="C46" s="626" t="s">
        <v>142</v>
      </c>
      <c r="D46" s="617">
        <f t="shared" si="7"/>
        <v>0</v>
      </c>
      <c r="E46" s="627">
        <v>0</v>
      </c>
      <c r="F46" s="627">
        <v>0</v>
      </c>
      <c r="G46" s="617">
        <f t="shared" si="8"/>
        <v>0</v>
      </c>
      <c r="H46" s="628">
        <v>0</v>
      </c>
      <c r="I46" s="628">
        <v>0</v>
      </c>
      <c r="J46" s="620">
        <f t="shared" si="9"/>
        <v>0</v>
      </c>
      <c r="K46" s="628">
        <v>0</v>
      </c>
      <c r="L46" s="628">
        <v>0</v>
      </c>
      <c r="M46" s="617">
        <f t="shared" si="10"/>
        <v>0</v>
      </c>
      <c r="N46" s="627">
        <f>H46/9*12</f>
        <v>0</v>
      </c>
      <c r="O46" s="627">
        <f>I46/9*12</f>
        <v>0</v>
      </c>
    </row>
    <row r="47" spans="1:15" ht="64.5" x14ac:dyDescent="0.25">
      <c r="A47" s="635" t="s">
        <v>123</v>
      </c>
      <c r="B47" s="635" t="s">
        <v>127</v>
      </c>
      <c r="C47" s="636" t="s">
        <v>1181</v>
      </c>
      <c r="D47" s="617">
        <f t="shared" si="7"/>
        <v>10296</v>
      </c>
      <c r="E47" s="627">
        <v>9883</v>
      </c>
      <c r="F47" s="627">
        <v>413</v>
      </c>
      <c r="G47" s="617">
        <f t="shared" si="8"/>
        <v>2850</v>
      </c>
      <c r="H47" s="628">
        <v>2612</v>
      </c>
      <c r="I47" s="628">
        <v>238</v>
      </c>
      <c r="J47" s="620">
        <f t="shared" si="9"/>
        <v>6045</v>
      </c>
      <c r="K47" s="628">
        <v>5520</v>
      </c>
      <c r="L47" s="628">
        <v>525</v>
      </c>
      <c r="M47" s="617">
        <f t="shared" si="10"/>
        <v>3826.4444444444448</v>
      </c>
      <c r="N47" s="627">
        <f>H47/9*12</f>
        <v>3482.666666666667</v>
      </c>
      <c r="O47" s="627">
        <f>I47/9*13</f>
        <v>343.77777777777777</v>
      </c>
    </row>
    <row r="48" spans="1:15" ht="26.25" x14ac:dyDescent="0.25">
      <c r="A48" s="635" t="s">
        <v>123</v>
      </c>
      <c r="B48" s="635" t="s">
        <v>143</v>
      </c>
      <c r="C48" s="636" t="s">
        <v>144</v>
      </c>
      <c r="D48" s="617">
        <f t="shared" si="7"/>
        <v>1102</v>
      </c>
      <c r="E48" s="627">
        <v>100</v>
      </c>
      <c r="F48" s="627">
        <v>1002</v>
      </c>
      <c r="G48" s="617">
        <f t="shared" si="8"/>
        <v>726</v>
      </c>
      <c r="H48" s="628">
        <v>0</v>
      </c>
      <c r="I48" s="628">
        <v>726</v>
      </c>
      <c r="J48" s="620">
        <f t="shared" si="9"/>
        <v>1072</v>
      </c>
      <c r="K48" s="628">
        <v>0</v>
      </c>
      <c r="L48" s="628">
        <v>1072</v>
      </c>
      <c r="M48" s="617">
        <f t="shared" si="10"/>
        <v>1050.6666666666667</v>
      </c>
      <c r="N48" s="627">
        <v>2</v>
      </c>
      <c r="O48" s="627">
        <f>I48/9*13</f>
        <v>1048.6666666666667</v>
      </c>
    </row>
    <row r="49" spans="1:15" ht="51.75" x14ac:dyDescent="0.25">
      <c r="A49" s="635" t="s">
        <v>123</v>
      </c>
      <c r="B49" s="635" t="s">
        <v>131</v>
      </c>
      <c r="C49" s="636" t="s">
        <v>145</v>
      </c>
      <c r="D49" s="617">
        <f t="shared" si="7"/>
        <v>190</v>
      </c>
      <c r="E49" s="627">
        <v>0</v>
      </c>
      <c r="F49" s="627">
        <v>190</v>
      </c>
      <c r="G49" s="617">
        <f t="shared" si="8"/>
        <v>41</v>
      </c>
      <c r="H49" s="628">
        <v>0</v>
      </c>
      <c r="I49" s="628">
        <v>41</v>
      </c>
      <c r="J49" s="620">
        <f t="shared" si="9"/>
        <v>90</v>
      </c>
      <c r="K49" s="628">
        <v>0</v>
      </c>
      <c r="L49" s="628">
        <v>90</v>
      </c>
      <c r="M49" s="617">
        <f t="shared" si="10"/>
        <v>54.666666666666664</v>
      </c>
      <c r="N49" s="627">
        <f>H49/9*12</f>
        <v>0</v>
      </c>
      <c r="O49" s="627">
        <f>I49/9*12</f>
        <v>54.666666666666664</v>
      </c>
    </row>
    <row r="50" spans="1:15" x14ac:dyDescent="0.25">
      <c r="A50" s="637" t="s">
        <v>136</v>
      </c>
      <c r="B50" s="637" t="s">
        <v>133</v>
      </c>
      <c r="C50" s="638" t="s">
        <v>113</v>
      </c>
      <c r="D50" s="617">
        <f t="shared" si="7"/>
        <v>61751</v>
      </c>
      <c r="E50" s="617">
        <f>E51+E52+E53+E54+E55+E56</f>
        <v>50059</v>
      </c>
      <c r="F50" s="617">
        <f>F51+F52+F53+F54+F55+F56</f>
        <v>11692</v>
      </c>
      <c r="G50" s="617">
        <f t="shared" si="8"/>
        <v>35924</v>
      </c>
      <c r="H50" s="620">
        <f>H51+H52+H53+H54+H55+H56</f>
        <v>29140</v>
      </c>
      <c r="I50" s="620">
        <f>I51+I52+I53+I54+I55+I56</f>
        <v>6784</v>
      </c>
      <c r="J50" s="620">
        <f t="shared" si="9"/>
        <v>95364</v>
      </c>
      <c r="K50" s="620">
        <f>K51+K52+K53+K54+K55+K56</f>
        <v>57531</v>
      </c>
      <c r="L50" s="620">
        <f>L51+L52+L53+L54+L55+L56</f>
        <v>37833</v>
      </c>
      <c r="M50" s="617">
        <f t="shared" si="10"/>
        <v>32698.666666666664</v>
      </c>
      <c r="N50" s="617">
        <f>N51+N52+N53+N54+N55+N56</f>
        <v>23653.333333333332</v>
      </c>
      <c r="O50" s="617">
        <f>O51+O52+O53+O54+O55+O56</f>
        <v>9045.3333333333339</v>
      </c>
    </row>
    <row r="51" spans="1:15" x14ac:dyDescent="0.25">
      <c r="A51" s="635" t="s">
        <v>136</v>
      </c>
      <c r="B51" s="635" t="s">
        <v>122</v>
      </c>
      <c r="C51" s="636" t="s">
        <v>146</v>
      </c>
      <c r="D51" s="617">
        <f t="shared" si="7"/>
        <v>0</v>
      </c>
      <c r="E51" s="627">
        <v>0</v>
      </c>
      <c r="F51" s="627">
        <v>0</v>
      </c>
      <c r="G51" s="617">
        <f t="shared" si="8"/>
        <v>0</v>
      </c>
      <c r="H51" s="628"/>
      <c r="I51" s="628">
        <v>0</v>
      </c>
      <c r="J51" s="620">
        <f t="shared" si="9"/>
        <v>0</v>
      </c>
      <c r="K51" s="628">
        <v>0</v>
      </c>
      <c r="L51" s="628">
        <v>0</v>
      </c>
      <c r="M51" s="617">
        <f t="shared" si="10"/>
        <v>0</v>
      </c>
      <c r="N51" s="627">
        <v>0</v>
      </c>
      <c r="O51" s="627">
        <f>I51/9*12</f>
        <v>0</v>
      </c>
    </row>
    <row r="52" spans="1:15" ht="26.25" x14ac:dyDescent="0.25">
      <c r="A52" s="635" t="s">
        <v>136</v>
      </c>
      <c r="B52" s="635" t="s">
        <v>124</v>
      </c>
      <c r="C52" s="636" t="s">
        <v>147</v>
      </c>
      <c r="D52" s="617">
        <f t="shared" si="7"/>
        <v>1997</v>
      </c>
      <c r="E52" s="627">
        <v>1997</v>
      </c>
      <c r="F52" s="627">
        <v>0</v>
      </c>
      <c r="G52" s="617">
        <f t="shared" si="8"/>
        <v>1041</v>
      </c>
      <c r="H52" s="628">
        <v>1041</v>
      </c>
      <c r="I52" s="628">
        <v>0</v>
      </c>
      <c r="J52" s="620">
        <f t="shared" si="9"/>
        <v>1251</v>
      </c>
      <c r="K52" s="628">
        <v>1251</v>
      </c>
      <c r="L52" s="628">
        <v>0</v>
      </c>
      <c r="M52" s="617">
        <f t="shared" si="10"/>
        <v>0</v>
      </c>
      <c r="N52" s="627">
        <v>0</v>
      </c>
      <c r="O52" s="627">
        <f>I52/9*12</f>
        <v>0</v>
      </c>
    </row>
    <row r="53" spans="1:15" x14ac:dyDescent="0.25">
      <c r="A53" s="635" t="s">
        <v>136</v>
      </c>
      <c r="B53" s="635" t="s">
        <v>125</v>
      </c>
      <c r="C53" s="639" t="s">
        <v>1182</v>
      </c>
      <c r="D53" s="617">
        <f t="shared" si="7"/>
        <v>50</v>
      </c>
      <c r="E53" s="627">
        <v>50</v>
      </c>
      <c r="F53" s="627">
        <v>0</v>
      </c>
      <c r="G53" s="617">
        <f t="shared" si="8"/>
        <v>0</v>
      </c>
      <c r="H53" s="628">
        <v>0</v>
      </c>
      <c r="I53" s="628">
        <v>0</v>
      </c>
      <c r="J53" s="620">
        <f t="shared" si="9"/>
        <v>0</v>
      </c>
      <c r="K53" s="628">
        <v>0</v>
      </c>
      <c r="L53" s="628">
        <v>0</v>
      </c>
      <c r="M53" s="617">
        <f t="shared" si="10"/>
        <v>0</v>
      </c>
      <c r="N53" s="627">
        <v>0</v>
      </c>
      <c r="O53" s="627">
        <v>0</v>
      </c>
    </row>
    <row r="54" spans="1:15" x14ac:dyDescent="0.25">
      <c r="A54" s="635" t="s">
        <v>136</v>
      </c>
      <c r="B54" s="635" t="s">
        <v>126</v>
      </c>
      <c r="C54" s="636" t="s">
        <v>148</v>
      </c>
      <c r="D54" s="617">
        <f t="shared" si="7"/>
        <v>3005</v>
      </c>
      <c r="E54" s="627">
        <v>2650</v>
      </c>
      <c r="F54" s="627">
        <v>355</v>
      </c>
      <c r="G54" s="617">
        <f t="shared" si="8"/>
        <v>4257</v>
      </c>
      <c r="H54" s="628">
        <v>2062</v>
      </c>
      <c r="I54" s="628">
        <v>2195</v>
      </c>
      <c r="J54" s="620">
        <f t="shared" si="9"/>
        <v>5836</v>
      </c>
      <c r="K54" s="628">
        <v>2690</v>
      </c>
      <c r="L54" s="628">
        <v>3146</v>
      </c>
      <c r="M54" s="617">
        <f t="shared" si="10"/>
        <v>5676</v>
      </c>
      <c r="N54" s="627">
        <f>H54/9*12</f>
        <v>2749.3333333333335</v>
      </c>
      <c r="O54" s="627">
        <f>I54/9*12</f>
        <v>2926.6666666666665</v>
      </c>
    </row>
    <row r="55" spans="1:15" x14ac:dyDescent="0.25">
      <c r="A55" s="635" t="s">
        <v>136</v>
      </c>
      <c r="B55" s="635" t="s">
        <v>127</v>
      </c>
      <c r="C55" s="636" t="s">
        <v>1183</v>
      </c>
      <c r="D55" s="617">
        <f t="shared" si="7"/>
        <v>53812</v>
      </c>
      <c r="E55" s="627">
        <v>44342</v>
      </c>
      <c r="F55" s="627">
        <v>9470</v>
      </c>
      <c r="G55" s="617">
        <f t="shared" si="8"/>
        <v>30017</v>
      </c>
      <c r="H55" s="628">
        <v>25605</v>
      </c>
      <c r="I55" s="628">
        <v>4412</v>
      </c>
      <c r="J55" s="620">
        <f t="shared" si="9"/>
        <v>86073</v>
      </c>
      <c r="K55" s="628">
        <v>52483</v>
      </c>
      <c r="L55" s="628">
        <v>33590</v>
      </c>
      <c r="M55" s="617">
        <f t="shared" si="10"/>
        <v>26210.666666666668</v>
      </c>
      <c r="N55" s="627">
        <v>20328</v>
      </c>
      <c r="O55" s="627">
        <f t="shared" ref="N55:O56" si="11">I55/9*12</f>
        <v>5882.666666666667</v>
      </c>
    </row>
    <row r="56" spans="1:15" ht="26.25" x14ac:dyDescent="0.25">
      <c r="A56" s="635" t="s">
        <v>136</v>
      </c>
      <c r="B56" s="635" t="s">
        <v>129</v>
      </c>
      <c r="C56" s="636" t="s">
        <v>149</v>
      </c>
      <c r="D56" s="617">
        <f t="shared" si="7"/>
        <v>2887</v>
      </c>
      <c r="E56" s="627">
        <v>1020</v>
      </c>
      <c r="F56" s="627">
        <v>1867</v>
      </c>
      <c r="G56" s="617">
        <f t="shared" si="8"/>
        <v>609</v>
      </c>
      <c r="H56" s="628">
        <v>432</v>
      </c>
      <c r="I56" s="628">
        <v>177</v>
      </c>
      <c r="J56" s="620">
        <f t="shared" si="9"/>
        <v>2204</v>
      </c>
      <c r="K56" s="628">
        <v>1107</v>
      </c>
      <c r="L56" s="628">
        <v>1097</v>
      </c>
      <c r="M56" s="617">
        <f t="shared" si="10"/>
        <v>812</v>
      </c>
      <c r="N56" s="627">
        <f t="shared" si="11"/>
        <v>576</v>
      </c>
      <c r="O56" s="627">
        <f t="shared" si="11"/>
        <v>236</v>
      </c>
    </row>
    <row r="57" spans="1:15" ht="26.25" x14ac:dyDescent="0.25">
      <c r="A57" s="637" t="s">
        <v>124</v>
      </c>
      <c r="B57" s="637" t="s">
        <v>133</v>
      </c>
      <c r="C57" s="638" t="s">
        <v>114</v>
      </c>
      <c r="D57" s="617">
        <f t="shared" si="7"/>
        <v>329355</v>
      </c>
      <c r="E57" s="617">
        <f>E58+E59+E60+E61</f>
        <v>172429</v>
      </c>
      <c r="F57" s="617">
        <f>F58+F59+F60+F61</f>
        <v>156926</v>
      </c>
      <c r="G57" s="617">
        <f t="shared" si="8"/>
        <v>342074</v>
      </c>
      <c r="H57" s="620">
        <f>SUM(H58:H61)</f>
        <v>206277</v>
      </c>
      <c r="I57" s="620">
        <f>SUM(I58:I61)</f>
        <v>135797</v>
      </c>
      <c r="J57" s="620">
        <f t="shared" si="9"/>
        <v>602450</v>
      </c>
      <c r="K57" s="620">
        <f>K58+K59+K60+K61</f>
        <v>322812</v>
      </c>
      <c r="L57" s="620">
        <f>L58+L59+L60+L61</f>
        <v>279638</v>
      </c>
      <c r="M57" s="617">
        <f t="shared" si="10"/>
        <v>444075.33333333337</v>
      </c>
      <c r="N57" s="617">
        <f>N58+N59+N60+N61</f>
        <v>263012.66666666669</v>
      </c>
      <c r="O57" s="617">
        <f>O58+O59+O60+O61</f>
        <v>181062.66666666669</v>
      </c>
    </row>
    <row r="58" spans="1:15" x14ac:dyDescent="0.25">
      <c r="A58" s="635" t="s">
        <v>124</v>
      </c>
      <c r="B58" s="635" t="s">
        <v>122</v>
      </c>
      <c r="C58" s="636" t="s">
        <v>150</v>
      </c>
      <c r="D58" s="617">
        <f t="shared" si="7"/>
        <v>174842</v>
      </c>
      <c r="E58" s="627">
        <v>40759</v>
      </c>
      <c r="F58" s="627">
        <v>134083</v>
      </c>
      <c r="G58" s="617">
        <f t="shared" si="8"/>
        <v>173773</v>
      </c>
      <c r="H58" s="628">
        <v>99652</v>
      </c>
      <c r="I58" s="628">
        <v>74121</v>
      </c>
      <c r="J58" s="620">
        <f t="shared" si="9"/>
        <v>350633</v>
      </c>
      <c r="K58" s="628">
        <v>193953</v>
      </c>
      <c r="L58" s="628">
        <v>156680</v>
      </c>
      <c r="M58" s="617">
        <f t="shared" si="10"/>
        <v>242769.77777777778</v>
      </c>
      <c r="N58" s="627">
        <f>H58/9*13</f>
        <v>143941.77777777778</v>
      </c>
      <c r="O58" s="627">
        <f>I58/9*12</f>
        <v>98828</v>
      </c>
    </row>
    <row r="59" spans="1:15" x14ac:dyDescent="0.25">
      <c r="A59" s="635" t="s">
        <v>124</v>
      </c>
      <c r="B59" s="635" t="s">
        <v>132</v>
      </c>
      <c r="C59" s="636" t="s">
        <v>151</v>
      </c>
      <c r="D59" s="617">
        <f t="shared" si="7"/>
        <v>123551</v>
      </c>
      <c r="E59" s="627">
        <v>119795</v>
      </c>
      <c r="F59" s="627">
        <v>3756</v>
      </c>
      <c r="G59" s="617">
        <f t="shared" si="8"/>
        <v>124698</v>
      </c>
      <c r="H59" s="628">
        <v>95931</v>
      </c>
      <c r="I59" s="628">
        <v>28767</v>
      </c>
      <c r="J59" s="620">
        <f t="shared" si="9"/>
        <v>183609</v>
      </c>
      <c r="K59" s="628">
        <v>110378</v>
      </c>
      <c r="L59" s="628">
        <v>73231</v>
      </c>
      <c r="M59" s="617">
        <f t="shared" si="10"/>
        <v>141980</v>
      </c>
      <c r="N59" s="627">
        <v>103624</v>
      </c>
      <c r="O59" s="627">
        <f>I59/9*12</f>
        <v>38356</v>
      </c>
    </row>
    <row r="60" spans="1:15" x14ac:dyDescent="0.25">
      <c r="A60" s="635" t="s">
        <v>124</v>
      </c>
      <c r="B60" s="635" t="s">
        <v>123</v>
      </c>
      <c r="C60" s="639" t="s">
        <v>152</v>
      </c>
      <c r="D60" s="617">
        <f t="shared" si="7"/>
        <v>22572</v>
      </c>
      <c r="E60" s="627">
        <v>11875</v>
      </c>
      <c r="F60" s="627">
        <v>10697</v>
      </c>
      <c r="G60" s="617">
        <f t="shared" si="8"/>
        <v>24582</v>
      </c>
      <c r="H60" s="628">
        <v>10694</v>
      </c>
      <c r="I60" s="628">
        <v>13888</v>
      </c>
      <c r="J60" s="620">
        <f t="shared" si="9"/>
        <v>43589</v>
      </c>
      <c r="K60" s="628">
        <v>18481</v>
      </c>
      <c r="L60" s="628">
        <v>25108</v>
      </c>
      <c r="M60" s="617">
        <f t="shared" si="10"/>
        <v>33964.222222222219</v>
      </c>
      <c r="N60" s="627">
        <f>H60/9*13</f>
        <v>15446.888888888889</v>
      </c>
      <c r="O60" s="627">
        <f>I60/9*12</f>
        <v>18517.333333333332</v>
      </c>
    </row>
    <row r="61" spans="1:15" ht="39" x14ac:dyDescent="0.25">
      <c r="A61" s="635" t="s">
        <v>124</v>
      </c>
      <c r="B61" s="635" t="s">
        <v>124</v>
      </c>
      <c r="C61" s="636" t="s">
        <v>153</v>
      </c>
      <c r="D61" s="617">
        <f t="shared" si="7"/>
        <v>8390</v>
      </c>
      <c r="E61" s="627">
        <v>0</v>
      </c>
      <c r="F61" s="627">
        <v>8390</v>
      </c>
      <c r="G61" s="617">
        <f t="shared" si="8"/>
        <v>19021</v>
      </c>
      <c r="H61" s="628">
        <v>0</v>
      </c>
      <c r="I61" s="628">
        <v>19021</v>
      </c>
      <c r="J61" s="620">
        <f t="shared" si="9"/>
        <v>24619</v>
      </c>
      <c r="K61" s="628">
        <v>0</v>
      </c>
      <c r="L61" s="628">
        <v>24619</v>
      </c>
      <c r="M61" s="617">
        <f t="shared" si="10"/>
        <v>25361.333333333332</v>
      </c>
      <c r="N61" s="627">
        <f>H61/9*12</f>
        <v>0</v>
      </c>
      <c r="O61" s="627">
        <f>I61/9*12</f>
        <v>25361.333333333332</v>
      </c>
    </row>
    <row r="62" spans="1:15" x14ac:dyDescent="0.25">
      <c r="A62" s="637" t="s">
        <v>125</v>
      </c>
      <c r="B62" s="637" t="s">
        <v>133</v>
      </c>
      <c r="C62" s="638" t="s">
        <v>115</v>
      </c>
      <c r="D62" s="617">
        <f t="shared" si="7"/>
        <v>0</v>
      </c>
      <c r="E62" s="617">
        <f>E63+E64</f>
        <v>0</v>
      </c>
      <c r="F62" s="617">
        <f>F63+F64</f>
        <v>0</v>
      </c>
      <c r="G62" s="617">
        <f t="shared" si="8"/>
        <v>0</v>
      </c>
      <c r="H62" s="620">
        <f>H63+H64</f>
        <v>0</v>
      </c>
      <c r="I62" s="620">
        <f>I63+I64</f>
        <v>0</v>
      </c>
      <c r="J62" s="620">
        <f>K62+L62</f>
        <v>0</v>
      </c>
      <c r="K62" s="620">
        <f>K63+K64</f>
        <v>0</v>
      </c>
      <c r="L62" s="620">
        <f>L63+L64</f>
        <v>0</v>
      </c>
      <c r="M62" s="617">
        <f t="shared" si="10"/>
        <v>0</v>
      </c>
      <c r="N62" s="617">
        <f>N63+N64</f>
        <v>0</v>
      </c>
      <c r="O62" s="617">
        <f>O63+O64</f>
        <v>0</v>
      </c>
    </row>
    <row r="63" spans="1:15" ht="26.25" x14ac:dyDescent="0.25">
      <c r="A63" s="635" t="s">
        <v>125</v>
      </c>
      <c r="B63" s="635" t="s">
        <v>132</v>
      </c>
      <c r="C63" s="639" t="s">
        <v>154</v>
      </c>
      <c r="D63" s="617">
        <f t="shared" si="7"/>
        <v>0</v>
      </c>
      <c r="E63" s="627">
        <v>0</v>
      </c>
      <c r="F63" s="627">
        <v>0</v>
      </c>
      <c r="G63" s="617">
        <f t="shared" si="8"/>
        <v>0</v>
      </c>
      <c r="H63" s="628">
        <v>0</v>
      </c>
      <c r="I63" s="628">
        <v>0</v>
      </c>
      <c r="J63" s="620">
        <f t="shared" si="9"/>
        <v>0</v>
      </c>
      <c r="K63" s="628">
        <v>0</v>
      </c>
      <c r="L63" s="628">
        <v>0</v>
      </c>
      <c r="M63" s="617">
        <f t="shared" si="10"/>
        <v>0</v>
      </c>
      <c r="N63" s="627">
        <f>H63/9*12</f>
        <v>0</v>
      </c>
      <c r="O63" s="627">
        <v>0</v>
      </c>
    </row>
    <row r="64" spans="1:15" ht="26.25" x14ac:dyDescent="0.25">
      <c r="A64" s="635" t="s">
        <v>125</v>
      </c>
      <c r="B64" s="635" t="s">
        <v>124</v>
      </c>
      <c r="C64" s="639" t="s">
        <v>1184</v>
      </c>
      <c r="D64" s="617">
        <f t="shared" si="7"/>
        <v>0</v>
      </c>
      <c r="E64" s="627">
        <v>0</v>
      </c>
      <c r="F64" s="627">
        <v>0</v>
      </c>
      <c r="G64" s="617">
        <f t="shared" si="8"/>
        <v>0</v>
      </c>
      <c r="H64" s="628">
        <v>0</v>
      </c>
      <c r="I64" s="628">
        <v>0</v>
      </c>
      <c r="J64" s="620">
        <f t="shared" si="9"/>
        <v>0</v>
      </c>
      <c r="K64" s="628">
        <v>0</v>
      </c>
      <c r="L64" s="628">
        <v>0</v>
      </c>
      <c r="M64" s="617">
        <f t="shared" si="10"/>
        <v>0</v>
      </c>
      <c r="N64" s="627">
        <f>H64/9*12</f>
        <v>0</v>
      </c>
      <c r="O64" s="627">
        <f>I64/9*12</f>
        <v>0</v>
      </c>
    </row>
    <row r="65" spans="1:15" x14ac:dyDescent="0.25">
      <c r="A65" s="637" t="s">
        <v>138</v>
      </c>
      <c r="B65" s="637" t="s">
        <v>133</v>
      </c>
      <c r="C65" s="638" t="s">
        <v>116</v>
      </c>
      <c r="D65" s="617">
        <f t="shared" si="7"/>
        <v>432648</v>
      </c>
      <c r="E65" s="617">
        <f>E66+E67+E69+E70+E68</f>
        <v>432106</v>
      </c>
      <c r="F65" s="617">
        <f>F66+F67+F69+F70</f>
        <v>542</v>
      </c>
      <c r="G65" s="617">
        <f t="shared" si="8"/>
        <v>320283</v>
      </c>
      <c r="H65" s="620">
        <f>H66+H69+H67+H70+H68</f>
        <v>319824</v>
      </c>
      <c r="I65" s="620">
        <f>I66+I69+I67+I70</f>
        <v>459</v>
      </c>
      <c r="J65" s="620">
        <f t="shared" si="9"/>
        <v>457340</v>
      </c>
      <c r="K65" s="620">
        <f>K66+K67+K69+K70+K68</f>
        <v>456781</v>
      </c>
      <c r="L65" s="620">
        <f>L66+L67+L69+L70</f>
        <v>559</v>
      </c>
      <c r="M65" s="617">
        <f t="shared" si="10"/>
        <v>419116.33333333331</v>
      </c>
      <c r="N65" s="617">
        <f>N66+N67+N69+N70</f>
        <v>418504.33333333331</v>
      </c>
      <c r="O65" s="617">
        <f>O66+O67+O69+O70</f>
        <v>612</v>
      </c>
    </row>
    <row r="66" spans="1:15" x14ac:dyDescent="0.25">
      <c r="A66" s="635" t="s">
        <v>138</v>
      </c>
      <c r="B66" s="635" t="s">
        <v>122</v>
      </c>
      <c r="C66" s="636" t="s">
        <v>155</v>
      </c>
      <c r="D66" s="617">
        <f t="shared" si="7"/>
        <v>107337</v>
      </c>
      <c r="E66" s="627">
        <v>107337</v>
      </c>
      <c r="F66" s="627">
        <v>0</v>
      </c>
      <c r="G66" s="617">
        <f t="shared" si="8"/>
        <v>79936</v>
      </c>
      <c r="H66" s="628">
        <v>79936</v>
      </c>
      <c r="I66" s="628">
        <v>0</v>
      </c>
      <c r="J66" s="620">
        <f t="shared" si="9"/>
        <v>112689</v>
      </c>
      <c r="K66" s="628">
        <v>112689</v>
      </c>
      <c r="L66" s="628">
        <v>0</v>
      </c>
      <c r="M66" s="617">
        <f t="shared" si="10"/>
        <v>106581.33333333333</v>
      </c>
      <c r="N66" s="627">
        <f>H66/9*12</f>
        <v>106581.33333333333</v>
      </c>
      <c r="O66" s="627">
        <f>I66/9*12</f>
        <v>0</v>
      </c>
    </row>
    <row r="67" spans="1:15" x14ac:dyDescent="0.25">
      <c r="A67" s="635" t="s">
        <v>138</v>
      </c>
      <c r="B67" s="635" t="s">
        <v>132</v>
      </c>
      <c r="C67" s="636" t="s">
        <v>156</v>
      </c>
      <c r="D67" s="617">
        <f t="shared" si="7"/>
        <v>288177</v>
      </c>
      <c r="E67" s="627">
        <v>288177</v>
      </c>
      <c r="F67" s="627">
        <v>0</v>
      </c>
      <c r="G67" s="617">
        <f t="shared" si="8"/>
        <v>211953</v>
      </c>
      <c r="H67" s="628">
        <v>211953</v>
      </c>
      <c r="I67" s="628">
        <v>0</v>
      </c>
      <c r="J67" s="620">
        <f t="shared" si="9"/>
        <v>301783</v>
      </c>
      <c r="K67" s="628">
        <v>301783</v>
      </c>
      <c r="L67" s="628">
        <v>0</v>
      </c>
      <c r="M67" s="617">
        <f t="shared" si="10"/>
        <v>282604</v>
      </c>
      <c r="N67" s="627">
        <f>H67/9*12</f>
        <v>282604</v>
      </c>
      <c r="O67" s="627">
        <f>I67/9*12</f>
        <v>0</v>
      </c>
    </row>
    <row r="68" spans="1:15" ht="26.25" x14ac:dyDescent="0.25">
      <c r="A68" s="635" t="s">
        <v>138</v>
      </c>
      <c r="B68" s="635" t="s">
        <v>123</v>
      </c>
      <c r="C68" s="636" t="s">
        <v>1185</v>
      </c>
      <c r="D68" s="617"/>
      <c r="E68" s="627">
        <v>8030</v>
      </c>
      <c r="F68" s="627"/>
      <c r="G68" s="617"/>
      <c r="H68" s="628">
        <v>5112</v>
      </c>
      <c r="I68" s="628"/>
      <c r="J68" s="620"/>
      <c r="K68" s="628">
        <v>8631</v>
      </c>
      <c r="L68" s="628"/>
      <c r="M68" s="617"/>
      <c r="N68" s="627">
        <f>H68/9*12</f>
        <v>6816</v>
      </c>
      <c r="O68" s="627"/>
    </row>
    <row r="69" spans="1:15" ht="26.25" x14ac:dyDescent="0.25">
      <c r="A69" s="635" t="s">
        <v>138</v>
      </c>
      <c r="B69" s="635" t="s">
        <v>138</v>
      </c>
      <c r="C69" s="636" t="s">
        <v>157</v>
      </c>
      <c r="D69" s="617">
        <f t="shared" si="7"/>
        <v>4594</v>
      </c>
      <c r="E69" s="627">
        <v>4052</v>
      </c>
      <c r="F69" s="627">
        <v>542</v>
      </c>
      <c r="G69" s="617">
        <f t="shared" si="8"/>
        <v>4676</v>
      </c>
      <c r="H69" s="628">
        <v>4217</v>
      </c>
      <c r="I69" s="628">
        <v>459</v>
      </c>
      <c r="J69" s="620">
        <f t="shared" si="9"/>
        <v>5042</v>
      </c>
      <c r="K69" s="628">
        <v>4483</v>
      </c>
      <c r="L69" s="628">
        <v>559</v>
      </c>
      <c r="M69" s="617">
        <f t="shared" si="10"/>
        <v>5123</v>
      </c>
      <c r="N69" s="627">
        <v>4511</v>
      </c>
      <c r="O69" s="627">
        <f>I69/9*12</f>
        <v>612</v>
      </c>
    </row>
    <row r="70" spans="1:15" ht="26.25" x14ac:dyDescent="0.25">
      <c r="A70" s="635" t="s">
        <v>138</v>
      </c>
      <c r="B70" s="635" t="s">
        <v>127</v>
      </c>
      <c r="C70" s="636" t="s">
        <v>158</v>
      </c>
      <c r="D70" s="617">
        <f t="shared" si="7"/>
        <v>24510</v>
      </c>
      <c r="E70" s="627">
        <v>24510</v>
      </c>
      <c r="F70" s="627">
        <v>0</v>
      </c>
      <c r="G70" s="617">
        <f t="shared" si="8"/>
        <v>18606</v>
      </c>
      <c r="H70" s="628">
        <v>18606</v>
      </c>
      <c r="I70" s="628">
        <v>0</v>
      </c>
      <c r="J70" s="620">
        <f t="shared" si="9"/>
        <v>29195</v>
      </c>
      <c r="K70" s="628">
        <v>29195</v>
      </c>
      <c r="L70" s="628">
        <v>0</v>
      </c>
      <c r="M70" s="617">
        <f t="shared" si="10"/>
        <v>24808</v>
      </c>
      <c r="N70" s="627">
        <f>H70/9*12</f>
        <v>24808</v>
      </c>
      <c r="O70" s="627">
        <f>I70/9*12</f>
        <v>0</v>
      </c>
    </row>
    <row r="71" spans="1:15" x14ac:dyDescent="0.25">
      <c r="A71" s="637" t="s">
        <v>126</v>
      </c>
      <c r="B71" s="637" t="s">
        <v>133</v>
      </c>
      <c r="C71" s="638" t="s">
        <v>253</v>
      </c>
      <c r="D71" s="617">
        <f t="shared" si="7"/>
        <v>62857</v>
      </c>
      <c r="E71" s="617">
        <f>E72</f>
        <v>36410</v>
      </c>
      <c r="F71" s="617">
        <f>F72+F73</f>
        <v>26447</v>
      </c>
      <c r="G71" s="617">
        <f t="shared" si="8"/>
        <v>40011</v>
      </c>
      <c r="H71" s="620">
        <f>H72</f>
        <v>18959</v>
      </c>
      <c r="I71" s="620">
        <f>I72</f>
        <v>21052</v>
      </c>
      <c r="J71" s="620">
        <f t="shared" si="9"/>
        <v>72024</v>
      </c>
      <c r="K71" s="620">
        <f>K72</f>
        <v>41524</v>
      </c>
      <c r="L71" s="620">
        <f>L72</f>
        <v>30500</v>
      </c>
      <c r="M71" s="617">
        <f t="shared" si="10"/>
        <v>57561.111111111117</v>
      </c>
      <c r="N71" s="617">
        <f>N72</f>
        <v>29491.777777777781</v>
      </c>
      <c r="O71" s="617">
        <f>O72</f>
        <v>28069.333333333336</v>
      </c>
    </row>
    <row r="72" spans="1:15" x14ac:dyDescent="0.25">
      <c r="A72" s="635" t="s">
        <v>126</v>
      </c>
      <c r="B72" s="635" t="s">
        <v>122</v>
      </c>
      <c r="C72" s="636" t="s">
        <v>159</v>
      </c>
      <c r="D72" s="617">
        <f t="shared" si="7"/>
        <v>62857</v>
      </c>
      <c r="E72" s="627">
        <v>36410</v>
      </c>
      <c r="F72" s="627">
        <v>26447</v>
      </c>
      <c r="G72" s="617">
        <f t="shared" si="8"/>
        <v>40011</v>
      </c>
      <c r="H72" s="628">
        <v>18959</v>
      </c>
      <c r="I72" s="628">
        <v>21052</v>
      </c>
      <c r="J72" s="620">
        <f t="shared" si="9"/>
        <v>72024</v>
      </c>
      <c r="K72" s="628">
        <v>41524</v>
      </c>
      <c r="L72" s="628">
        <v>30500</v>
      </c>
      <c r="M72" s="617">
        <f t="shared" si="10"/>
        <v>57561.111111111117</v>
      </c>
      <c r="N72" s="627">
        <f>H72/9*14</f>
        <v>29491.777777777781</v>
      </c>
      <c r="O72" s="627">
        <f>I72/9*12</f>
        <v>28069.333333333336</v>
      </c>
    </row>
    <row r="73" spans="1:15" ht="26.25" x14ac:dyDescent="0.25">
      <c r="A73" s="635" t="s">
        <v>126</v>
      </c>
      <c r="B73" s="635" t="s">
        <v>136</v>
      </c>
      <c r="C73" s="636" t="s">
        <v>1186</v>
      </c>
      <c r="D73" s="617"/>
      <c r="E73" s="627"/>
      <c r="F73" s="627">
        <v>0</v>
      </c>
      <c r="G73" s="617"/>
      <c r="H73" s="628"/>
      <c r="I73" s="628"/>
      <c r="J73" s="620"/>
      <c r="K73" s="628"/>
      <c r="L73" s="628"/>
      <c r="M73" s="617"/>
      <c r="N73" s="627"/>
      <c r="O73" s="627"/>
    </row>
    <row r="74" spans="1:15" x14ac:dyDescent="0.25">
      <c r="A74" s="637" t="s">
        <v>127</v>
      </c>
      <c r="B74" s="637" t="s">
        <v>133</v>
      </c>
      <c r="C74" s="638" t="s">
        <v>117</v>
      </c>
      <c r="D74" s="617">
        <f t="shared" si="7"/>
        <v>0</v>
      </c>
      <c r="E74" s="617">
        <f>E75+E76+E77+E79+E78</f>
        <v>0</v>
      </c>
      <c r="F74" s="617">
        <v>0</v>
      </c>
      <c r="G74" s="617">
        <f t="shared" si="8"/>
        <v>0</v>
      </c>
      <c r="H74" s="620">
        <v>0</v>
      </c>
      <c r="I74" s="620">
        <f>SUM(I75:I79)</f>
        <v>0</v>
      </c>
      <c r="J74" s="620">
        <f t="shared" si="9"/>
        <v>0</v>
      </c>
      <c r="K74" s="620">
        <f>K75+K76+K77+K79+K78</f>
        <v>0</v>
      </c>
      <c r="L74" s="620">
        <f>L75+L76+L77+L79+L78</f>
        <v>0</v>
      </c>
      <c r="M74" s="617">
        <f t="shared" si="10"/>
        <v>0</v>
      </c>
      <c r="N74" s="617">
        <f>N75+N76+N77+N79</f>
        <v>0</v>
      </c>
      <c r="O74" s="617">
        <f>O75+O76+O77+O79</f>
        <v>0</v>
      </c>
    </row>
    <row r="75" spans="1:15" ht="26.25" x14ac:dyDescent="0.25">
      <c r="A75" s="640" t="s">
        <v>127</v>
      </c>
      <c r="B75" s="640" t="s">
        <v>122</v>
      </c>
      <c r="C75" s="634" t="s">
        <v>1187</v>
      </c>
      <c r="D75" s="617">
        <f t="shared" si="7"/>
        <v>0</v>
      </c>
      <c r="E75" s="627">
        <v>0</v>
      </c>
      <c r="F75" s="627">
        <v>0</v>
      </c>
      <c r="G75" s="617">
        <f t="shared" si="8"/>
        <v>0</v>
      </c>
      <c r="H75" s="628">
        <v>0</v>
      </c>
      <c r="I75" s="628">
        <v>0</v>
      </c>
      <c r="J75" s="620">
        <f t="shared" si="9"/>
        <v>0</v>
      </c>
      <c r="K75" s="628">
        <v>0</v>
      </c>
      <c r="L75" s="628">
        <v>0</v>
      </c>
      <c r="M75" s="617">
        <f t="shared" si="10"/>
        <v>0</v>
      </c>
      <c r="N75" s="627">
        <f t="shared" ref="N75:O78" si="12">H75/9*12</f>
        <v>0</v>
      </c>
      <c r="O75" s="627">
        <f t="shared" si="12"/>
        <v>0</v>
      </c>
    </row>
    <row r="76" spans="1:15" x14ac:dyDescent="0.25">
      <c r="A76" s="640" t="s">
        <v>127</v>
      </c>
      <c r="B76" s="640" t="s">
        <v>132</v>
      </c>
      <c r="C76" s="634" t="s">
        <v>1188</v>
      </c>
      <c r="D76" s="617">
        <f t="shared" si="7"/>
        <v>0</v>
      </c>
      <c r="E76" s="627">
        <v>0</v>
      </c>
      <c r="F76" s="627">
        <v>0</v>
      </c>
      <c r="G76" s="617">
        <f t="shared" si="8"/>
        <v>0</v>
      </c>
      <c r="H76" s="628">
        <v>0</v>
      </c>
      <c r="I76" s="628">
        <v>0</v>
      </c>
      <c r="J76" s="620">
        <f t="shared" si="9"/>
        <v>0</v>
      </c>
      <c r="K76" s="628">
        <v>0</v>
      </c>
      <c r="L76" s="628">
        <v>0</v>
      </c>
      <c r="M76" s="617">
        <f t="shared" si="10"/>
        <v>0</v>
      </c>
      <c r="N76" s="627">
        <f t="shared" si="12"/>
        <v>0</v>
      </c>
      <c r="O76" s="627">
        <f t="shared" si="12"/>
        <v>0</v>
      </c>
    </row>
    <row r="77" spans="1:15" x14ac:dyDescent="0.25">
      <c r="A77" s="640" t="s">
        <v>127</v>
      </c>
      <c r="B77" s="640" t="s">
        <v>136</v>
      </c>
      <c r="C77" s="634" t="s">
        <v>1189</v>
      </c>
      <c r="D77" s="617">
        <f t="shared" si="7"/>
        <v>0</v>
      </c>
      <c r="E77" s="627">
        <v>0</v>
      </c>
      <c r="F77" s="627">
        <v>0</v>
      </c>
      <c r="G77" s="617">
        <f t="shared" si="8"/>
        <v>0</v>
      </c>
      <c r="H77" s="628">
        <v>0</v>
      </c>
      <c r="I77" s="628">
        <v>0</v>
      </c>
      <c r="J77" s="620">
        <f t="shared" si="9"/>
        <v>0</v>
      </c>
      <c r="K77" s="628">
        <v>0</v>
      </c>
      <c r="L77" s="628">
        <v>0</v>
      </c>
      <c r="M77" s="617">
        <f t="shared" si="10"/>
        <v>0</v>
      </c>
      <c r="N77" s="627">
        <f t="shared" si="12"/>
        <v>0</v>
      </c>
      <c r="O77" s="627">
        <f t="shared" si="12"/>
        <v>0</v>
      </c>
    </row>
    <row r="78" spans="1:15" ht="39" x14ac:dyDescent="0.25">
      <c r="A78" s="640" t="s">
        <v>127</v>
      </c>
      <c r="B78" s="640" t="s">
        <v>138</v>
      </c>
      <c r="C78" s="634" t="s">
        <v>160</v>
      </c>
      <c r="D78" s="617">
        <f t="shared" si="7"/>
        <v>0</v>
      </c>
      <c r="E78" s="627">
        <v>0</v>
      </c>
      <c r="F78" s="627">
        <v>0</v>
      </c>
      <c r="G78" s="617">
        <f t="shared" si="8"/>
        <v>0</v>
      </c>
      <c r="H78" s="628">
        <v>0</v>
      </c>
      <c r="I78" s="628">
        <v>0</v>
      </c>
      <c r="J78" s="620">
        <f t="shared" si="9"/>
        <v>0</v>
      </c>
      <c r="K78" s="628">
        <v>0</v>
      </c>
      <c r="L78" s="628">
        <v>0</v>
      </c>
      <c r="M78" s="617">
        <f t="shared" si="10"/>
        <v>0</v>
      </c>
      <c r="N78" s="627">
        <f t="shared" si="12"/>
        <v>0</v>
      </c>
      <c r="O78" s="627">
        <f t="shared" si="12"/>
        <v>0</v>
      </c>
    </row>
    <row r="79" spans="1:15" ht="26.25" x14ac:dyDescent="0.25">
      <c r="A79" s="640" t="s">
        <v>127</v>
      </c>
      <c r="B79" s="640" t="s">
        <v>127</v>
      </c>
      <c r="C79" s="634" t="s">
        <v>161</v>
      </c>
      <c r="D79" s="617">
        <f t="shared" si="7"/>
        <v>0</v>
      </c>
      <c r="E79" s="627">
        <v>0</v>
      </c>
      <c r="F79" s="627">
        <v>0</v>
      </c>
      <c r="G79" s="617">
        <f t="shared" si="8"/>
        <v>0</v>
      </c>
      <c r="H79" s="628">
        <v>0</v>
      </c>
      <c r="I79" s="628">
        <v>0</v>
      </c>
      <c r="J79" s="620">
        <f t="shared" si="9"/>
        <v>0</v>
      </c>
      <c r="K79" s="628">
        <v>0</v>
      </c>
      <c r="L79" s="628">
        <v>0</v>
      </c>
      <c r="M79" s="617">
        <f>N79+O79</f>
        <v>0</v>
      </c>
      <c r="N79" s="627">
        <v>0</v>
      </c>
      <c r="O79" s="627">
        <f>I79/9*12</f>
        <v>0</v>
      </c>
    </row>
    <row r="80" spans="1:15" x14ac:dyDescent="0.25">
      <c r="A80" s="641" t="s">
        <v>143</v>
      </c>
      <c r="B80" s="641" t="s">
        <v>133</v>
      </c>
      <c r="C80" s="625" t="s">
        <v>118</v>
      </c>
      <c r="D80" s="617">
        <f t="shared" si="7"/>
        <v>37790</v>
      </c>
      <c r="E80" s="617">
        <f>E81+E82+E83+E84</f>
        <v>36149</v>
      </c>
      <c r="F80" s="617">
        <f>F81+F82+F83+F84</f>
        <v>1641</v>
      </c>
      <c r="G80" s="617">
        <f t="shared" si="8"/>
        <v>25687</v>
      </c>
      <c r="H80" s="620">
        <f>SUM(H81:H84)</f>
        <v>24237</v>
      </c>
      <c r="I80" s="620">
        <f>SUM(I81:I84)</f>
        <v>1450</v>
      </c>
      <c r="J80" s="620">
        <f t="shared" si="9"/>
        <v>35593</v>
      </c>
      <c r="K80" s="620">
        <f>K81+K82+K83+K84</f>
        <v>33329</v>
      </c>
      <c r="L80" s="620">
        <f>L81+L82+L83+L84</f>
        <v>2264</v>
      </c>
      <c r="M80" s="617">
        <f t="shared" si="10"/>
        <v>34249.333333333336</v>
      </c>
      <c r="N80" s="617">
        <f>N81+N82+N83+N84</f>
        <v>32316.000000000004</v>
      </c>
      <c r="O80" s="617">
        <f>O81+O82+O83+O84</f>
        <v>1933.3333333333335</v>
      </c>
    </row>
    <row r="81" spans="1:15" x14ac:dyDescent="0.25">
      <c r="A81" s="640" t="s">
        <v>143</v>
      </c>
      <c r="B81" s="640" t="s">
        <v>122</v>
      </c>
      <c r="C81" s="634" t="s">
        <v>162</v>
      </c>
      <c r="D81" s="617">
        <f t="shared" si="7"/>
        <v>3381</v>
      </c>
      <c r="E81" s="627">
        <v>2096</v>
      </c>
      <c r="F81" s="627">
        <v>1285</v>
      </c>
      <c r="G81" s="617">
        <f t="shared" si="8"/>
        <v>2869</v>
      </c>
      <c r="H81" s="628">
        <v>1860</v>
      </c>
      <c r="I81" s="628">
        <v>1009</v>
      </c>
      <c r="J81" s="620">
        <f t="shared" si="9"/>
        <v>3782</v>
      </c>
      <c r="K81" s="628">
        <v>2099</v>
      </c>
      <c r="L81" s="628">
        <v>1683</v>
      </c>
      <c r="M81" s="617">
        <f t="shared" si="10"/>
        <v>3825.3333333333335</v>
      </c>
      <c r="N81" s="627">
        <f t="shared" ref="N81:O84" si="13">H81/9*12</f>
        <v>2480</v>
      </c>
      <c r="O81" s="627">
        <f t="shared" si="13"/>
        <v>1345.3333333333335</v>
      </c>
    </row>
    <row r="82" spans="1:15" ht="26.25" x14ac:dyDescent="0.25">
      <c r="A82" s="640" t="s">
        <v>143</v>
      </c>
      <c r="B82" s="640" t="s">
        <v>123</v>
      </c>
      <c r="C82" s="634" t="s">
        <v>163</v>
      </c>
      <c r="D82" s="617">
        <f t="shared" si="7"/>
        <v>1894</v>
      </c>
      <c r="E82" s="627">
        <v>1546</v>
      </c>
      <c r="F82" s="627">
        <v>348</v>
      </c>
      <c r="G82" s="617">
        <f t="shared" si="8"/>
        <v>1701</v>
      </c>
      <c r="H82" s="628">
        <v>1264</v>
      </c>
      <c r="I82" s="628">
        <v>437</v>
      </c>
      <c r="J82" s="620">
        <f t="shared" si="9"/>
        <v>2954</v>
      </c>
      <c r="K82" s="628">
        <v>2381</v>
      </c>
      <c r="L82" s="628">
        <v>573</v>
      </c>
      <c r="M82" s="617">
        <f t="shared" si="10"/>
        <v>2268</v>
      </c>
      <c r="N82" s="627">
        <f t="shared" si="13"/>
        <v>1685.3333333333335</v>
      </c>
      <c r="O82" s="627">
        <f t="shared" si="13"/>
        <v>582.66666666666674</v>
      </c>
    </row>
    <row r="83" spans="1:15" x14ac:dyDescent="0.25">
      <c r="A83" s="640" t="s">
        <v>143</v>
      </c>
      <c r="B83" s="640" t="s">
        <v>136</v>
      </c>
      <c r="C83" s="634" t="s">
        <v>164</v>
      </c>
      <c r="D83" s="617">
        <f t="shared" si="7"/>
        <v>30757</v>
      </c>
      <c r="E83" s="627">
        <v>30757</v>
      </c>
      <c r="F83" s="627">
        <v>0</v>
      </c>
      <c r="G83" s="617">
        <f t="shared" si="8"/>
        <v>20116</v>
      </c>
      <c r="H83" s="628">
        <v>20116</v>
      </c>
      <c r="I83" s="628">
        <v>0</v>
      </c>
      <c r="J83" s="620">
        <f t="shared" si="9"/>
        <v>27035</v>
      </c>
      <c r="K83" s="628">
        <v>27035</v>
      </c>
      <c r="L83" s="628">
        <v>0</v>
      </c>
      <c r="M83" s="617">
        <f t="shared" si="10"/>
        <v>26821.333333333336</v>
      </c>
      <c r="N83" s="627">
        <f t="shared" si="13"/>
        <v>26821.333333333336</v>
      </c>
      <c r="O83" s="627">
        <f t="shared" si="13"/>
        <v>0</v>
      </c>
    </row>
    <row r="84" spans="1:15" ht="26.25" x14ac:dyDescent="0.25">
      <c r="A84" s="640" t="s">
        <v>143</v>
      </c>
      <c r="B84" s="640" t="s">
        <v>125</v>
      </c>
      <c r="C84" s="634" t="s">
        <v>1190</v>
      </c>
      <c r="D84" s="617">
        <f t="shared" si="7"/>
        <v>1758</v>
      </c>
      <c r="E84" s="627">
        <v>1750</v>
      </c>
      <c r="F84" s="627">
        <v>8</v>
      </c>
      <c r="G84" s="617">
        <f t="shared" si="8"/>
        <v>1001</v>
      </c>
      <c r="H84" s="628">
        <v>997</v>
      </c>
      <c r="I84" s="628">
        <v>4</v>
      </c>
      <c r="J84" s="620">
        <f t="shared" si="9"/>
        <v>1822</v>
      </c>
      <c r="K84" s="628">
        <v>1814</v>
      </c>
      <c r="L84" s="628">
        <v>8</v>
      </c>
      <c r="M84" s="617">
        <f t="shared" si="10"/>
        <v>1334.6666666666665</v>
      </c>
      <c r="N84" s="627">
        <f t="shared" si="13"/>
        <v>1329.3333333333333</v>
      </c>
      <c r="O84" s="627">
        <f t="shared" si="13"/>
        <v>5.333333333333333</v>
      </c>
    </row>
    <row r="85" spans="1:15" ht="26.25" x14ac:dyDescent="0.25">
      <c r="A85" s="641" t="s">
        <v>128</v>
      </c>
      <c r="B85" s="641" t="s">
        <v>133</v>
      </c>
      <c r="C85" s="625" t="s">
        <v>165</v>
      </c>
      <c r="D85" s="617">
        <f t="shared" si="7"/>
        <v>4074</v>
      </c>
      <c r="E85" s="617">
        <f>E86+E88+E89+E87</f>
        <v>1450</v>
      </c>
      <c r="F85" s="617">
        <f>F86+F88+F89+F87</f>
        <v>2624</v>
      </c>
      <c r="G85" s="617">
        <f t="shared" si="8"/>
        <v>5323</v>
      </c>
      <c r="H85" s="620">
        <f>SUM(H86:H89)</f>
        <v>3102</v>
      </c>
      <c r="I85" s="620">
        <f>SUM(I86:I89)</f>
        <v>2221</v>
      </c>
      <c r="J85" s="620">
        <f t="shared" si="9"/>
        <v>9936</v>
      </c>
      <c r="K85" s="620">
        <f>K86+K88+K89+K87</f>
        <v>6151</v>
      </c>
      <c r="L85" s="620">
        <f>L86+L88+L89</f>
        <v>3785</v>
      </c>
      <c r="M85" s="617">
        <f t="shared" si="10"/>
        <v>7105.4444444444443</v>
      </c>
      <c r="N85" s="617">
        <f>N86+N88+N89+N87</f>
        <v>4136</v>
      </c>
      <c r="O85" s="617">
        <f>O86+O88+O89</f>
        <v>2969.4444444444443</v>
      </c>
    </row>
    <row r="86" spans="1:15" x14ac:dyDescent="0.25">
      <c r="A86" s="640" t="s">
        <v>128</v>
      </c>
      <c r="B86" s="640" t="s">
        <v>122</v>
      </c>
      <c r="C86" s="634" t="s">
        <v>119</v>
      </c>
      <c r="D86" s="617">
        <f t="shared" si="7"/>
        <v>690</v>
      </c>
      <c r="E86" s="627">
        <v>550</v>
      </c>
      <c r="F86" s="627">
        <v>140</v>
      </c>
      <c r="G86" s="617">
        <f t="shared" si="8"/>
        <v>429</v>
      </c>
      <c r="H86" s="628">
        <v>356</v>
      </c>
      <c r="I86" s="628">
        <v>73</v>
      </c>
      <c r="J86" s="620">
        <f t="shared" si="9"/>
        <v>2980</v>
      </c>
      <c r="K86" s="628">
        <v>2780</v>
      </c>
      <c r="L86" s="628">
        <v>200</v>
      </c>
      <c r="M86" s="617">
        <f t="shared" si="10"/>
        <v>580.11111111111109</v>
      </c>
      <c r="N86" s="627">
        <f>H86/9*12</f>
        <v>474.66666666666669</v>
      </c>
      <c r="O86" s="627">
        <f>I86/9*13</f>
        <v>105.44444444444444</v>
      </c>
    </row>
    <row r="87" spans="1:15" x14ac:dyDescent="0.25">
      <c r="A87" s="640" t="s">
        <v>128</v>
      </c>
      <c r="B87" s="640" t="s">
        <v>132</v>
      </c>
      <c r="C87" s="634" t="s">
        <v>166</v>
      </c>
      <c r="D87" s="617">
        <f t="shared" si="7"/>
        <v>900</v>
      </c>
      <c r="E87" s="627">
        <v>900</v>
      </c>
      <c r="F87" s="627">
        <v>0</v>
      </c>
      <c r="G87" s="617">
        <f t="shared" si="8"/>
        <v>2746</v>
      </c>
      <c r="H87" s="628">
        <v>2746</v>
      </c>
      <c r="I87" s="628">
        <v>0</v>
      </c>
      <c r="J87" s="620">
        <f t="shared" si="9"/>
        <v>3371</v>
      </c>
      <c r="K87" s="628">
        <v>3371</v>
      </c>
      <c r="L87" s="628">
        <v>0</v>
      </c>
      <c r="M87" s="617">
        <f t="shared" si="10"/>
        <v>3661.333333333333</v>
      </c>
      <c r="N87" s="627">
        <f>H87/9*12</f>
        <v>3661.333333333333</v>
      </c>
      <c r="O87" s="627">
        <v>0</v>
      </c>
    </row>
    <row r="88" spans="1:15" ht="39" x14ac:dyDescent="0.25">
      <c r="A88" s="640" t="s">
        <v>128</v>
      </c>
      <c r="B88" s="640" t="s">
        <v>136</v>
      </c>
      <c r="C88" s="642" t="s">
        <v>167</v>
      </c>
      <c r="D88" s="617">
        <f t="shared" si="7"/>
        <v>0</v>
      </c>
      <c r="E88" s="627">
        <v>0</v>
      </c>
      <c r="F88" s="627">
        <v>0</v>
      </c>
      <c r="G88" s="617">
        <f t="shared" si="8"/>
        <v>0</v>
      </c>
      <c r="H88" s="628">
        <v>0</v>
      </c>
      <c r="I88" s="628">
        <v>0</v>
      </c>
      <c r="J88" s="620">
        <f t="shared" si="9"/>
        <v>0</v>
      </c>
      <c r="K88" s="628">
        <v>0</v>
      </c>
      <c r="L88" s="628">
        <v>0</v>
      </c>
      <c r="M88" s="617">
        <f t="shared" si="10"/>
        <v>0</v>
      </c>
      <c r="N88" s="627">
        <f>H88/9*12</f>
        <v>0</v>
      </c>
      <c r="O88" s="627"/>
    </row>
    <row r="89" spans="1:15" ht="26.25" x14ac:dyDescent="0.25">
      <c r="A89" s="640" t="s">
        <v>128</v>
      </c>
      <c r="B89" s="640" t="s">
        <v>124</v>
      </c>
      <c r="C89" s="642" t="s">
        <v>168</v>
      </c>
      <c r="D89" s="617">
        <f t="shared" si="7"/>
        <v>2484</v>
      </c>
      <c r="E89" s="627">
        <v>0</v>
      </c>
      <c r="F89" s="627">
        <v>2484</v>
      </c>
      <c r="G89" s="617">
        <f t="shared" si="8"/>
        <v>2148</v>
      </c>
      <c r="H89" s="628">
        <v>0</v>
      </c>
      <c r="I89" s="628">
        <v>2148</v>
      </c>
      <c r="J89" s="620">
        <f t="shared" si="9"/>
        <v>3585</v>
      </c>
      <c r="K89" s="628">
        <v>0</v>
      </c>
      <c r="L89" s="628">
        <v>3585</v>
      </c>
      <c r="M89" s="617">
        <f t="shared" si="10"/>
        <v>2864</v>
      </c>
      <c r="N89" s="627">
        <f>H89/9*12</f>
        <v>0</v>
      </c>
      <c r="O89" s="627">
        <f>I89/9*12</f>
        <v>2864</v>
      </c>
    </row>
    <row r="90" spans="1:15" ht="39" x14ac:dyDescent="0.25">
      <c r="A90" s="641" t="s">
        <v>130</v>
      </c>
      <c r="B90" s="641" t="s">
        <v>133</v>
      </c>
      <c r="C90" s="643" t="s">
        <v>120</v>
      </c>
      <c r="D90" s="617">
        <f t="shared" si="7"/>
        <v>100</v>
      </c>
      <c r="E90" s="617">
        <f>SUM(E91)</f>
        <v>0</v>
      </c>
      <c r="F90" s="617">
        <f>SUM(F91)</f>
        <v>100</v>
      </c>
      <c r="G90" s="617">
        <f t="shared" si="8"/>
        <v>43</v>
      </c>
      <c r="H90" s="620">
        <f>SUM(H91)</f>
        <v>0</v>
      </c>
      <c r="I90" s="620">
        <f>SUM(I91)</f>
        <v>43</v>
      </c>
      <c r="J90" s="620">
        <f t="shared" si="9"/>
        <v>150</v>
      </c>
      <c r="K90" s="620">
        <f>SUM(K91)</f>
        <v>0</v>
      </c>
      <c r="L90" s="620">
        <f>SUM(L91)</f>
        <v>150</v>
      </c>
      <c r="M90" s="617">
        <f t="shared" si="10"/>
        <v>57.333333333333329</v>
      </c>
      <c r="N90" s="617">
        <f>SUM(N91)</f>
        <v>0</v>
      </c>
      <c r="O90" s="617">
        <f>SUM(O91)</f>
        <v>57.333333333333329</v>
      </c>
    </row>
    <row r="91" spans="1:15" ht="39" x14ac:dyDescent="0.25">
      <c r="A91" s="640" t="s">
        <v>130</v>
      </c>
      <c r="B91" s="640" t="s">
        <v>122</v>
      </c>
      <c r="C91" s="642" t="s">
        <v>1191</v>
      </c>
      <c r="D91" s="617">
        <f t="shared" si="7"/>
        <v>100</v>
      </c>
      <c r="E91" s="627">
        <v>0</v>
      </c>
      <c r="F91" s="627">
        <v>100</v>
      </c>
      <c r="G91" s="617">
        <f t="shared" si="8"/>
        <v>43</v>
      </c>
      <c r="H91" s="628">
        <v>0</v>
      </c>
      <c r="I91" s="628">
        <v>43</v>
      </c>
      <c r="J91" s="620">
        <f t="shared" si="9"/>
        <v>150</v>
      </c>
      <c r="K91" s="628">
        <v>0</v>
      </c>
      <c r="L91" s="628">
        <v>150</v>
      </c>
      <c r="M91" s="617">
        <f t="shared" si="10"/>
        <v>57.333333333333329</v>
      </c>
      <c r="N91" s="627">
        <f>H91/9*12</f>
        <v>0</v>
      </c>
      <c r="O91" s="627">
        <f>I91/9*12</f>
        <v>57.333333333333329</v>
      </c>
    </row>
    <row r="92" spans="1:15" ht="90" x14ac:dyDescent="0.25">
      <c r="A92" s="641" t="s">
        <v>131</v>
      </c>
      <c r="B92" s="641" t="s">
        <v>133</v>
      </c>
      <c r="C92" s="643" t="s">
        <v>1192</v>
      </c>
      <c r="D92" s="617">
        <f t="shared" si="7"/>
        <v>20000</v>
      </c>
      <c r="E92" s="617">
        <f>SUM(E93)</f>
        <v>20000</v>
      </c>
      <c r="F92" s="617">
        <f>F93+F94</f>
        <v>0</v>
      </c>
      <c r="G92" s="617">
        <f t="shared" si="8"/>
        <v>15305</v>
      </c>
      <c r="H92" s="620">
        <f>H93+H94</f>
        <v>15205</v>
      </c>
      <c r="I92" s="620">
        <f>I93+I94</f>
        <v>100</v>
      </c>
      <c r="J92" s="620">
        <f t="shared" si="9"/>
        <v>20100</v>
      </c>
      <c r="K92" s="620">
        <f>K93+K94</f>
        <v>20000</v>
      </c>
      <c r="L92" s="620">
        <f>L93+L94</f>
        <v>100</v>
      </c>
      <c r="M92" s="617">
        <f t="shared" si="10"/>
        <v>18100</v>
      </c>
      <c r="N92" s="617">
        <f>N93+N94</f>
        <v>18000</v>
      </c>
      <c r="O92" s="617">
        <f>O93+O94</f>
        <v>100</v>
      </c>
    </row>
    <row r="93" spans="1:15" ht="64.5" x14ac:dyDescent="0.25">
      <c r="A93" s="640" t="s">
        <v>131</v>
      </c>
      <c r="B93" s="640" t="s">
        <v>122</v>
      </c>
      <c r="C93" s="642" t="s">
        <v>169</v>
      </c>
      <c r="D93" s="617">
        <f t="shared" si="7"/>
        <v>20000</v>
      </c>
      <c r="E93" s="627">
        <v>20000</v>
      </c>
      <c r="F93" s="627">
        <v>0</v>
      </c>
      <c r="G93" s="617">
        <f t="shared" si="8"/>
        <v>15205</v>
      </c>
      <c r="H93" s="628">
        <v>15205</v>
      </c>
      <c r="I93" s="628">
        <v>0</v>
      </c>
      <c r="J93" s="620">
        <f t="shared" si="9"/>
        <v>20000</v>
      </c>
      <c r="K93" s="628">
        <v>20000</v>
      </c>
      <c r="L93" s="628">
        <v>0</v>
      </c>
      <c r="M93" s="617">
        <f t="shared" si="10"/>
        <v>18000</v>
      </c>
      <c r="N93" s="627">
        <v>18000</v>
      </c>
      <c r="O93" s="627">
        <f>I93/9*12</f>
        <v>0</v>
      </c>
    </row>
    <row r="94" spans="1:15" ht="39" x14ac:dyDescent="0.25">
      <c r="A94" s="640" t="s">
        <v>131</v>
      </c>
      <c r="B94" s="640" t="s">
        <v>123</v>
      </c>
      <c r="C94" s="642" t="s">
        <v>1193</v>
      </c>
      <c r="D94" s="617">
        <f t="shared" si="7"/>
        <v>0</v>
      </c>
      <c r="E94" s="627">
        <v>0</v>
      </c>
      <c r="F94" s="627">
        <v>0</v>
      </c>
      <c r="G94" s="617">
        <f t="shared" si="8"/>
        <v>100</v>
      </c>
      <c r="H94" s="628">
        <v>0</v>
      </c>
      <c r="I94" s="628">
        <v>100</v>
      </c>
      <c r="J94" s="620">
        <f t="shared" si="9"/>
        <v>100</v>
      </c>
      <c r="K94" s="628">
        <v>0</v>
      </c>
      <c r="L94" s="628">
        <v>100</v>
      </c>
      <c r="M94" s="617">
        <f t="shared" si="10"/>
        <v>100</v>
      </c>
      <c r="N94" s="627">
        <v>0</v>
      </c>
      <c r="O94" s="627">
        <v>100</v>
      </c>
    </row>
    <row r="95" spans="1:15" x14ac:dyDescent="0.25">
      <c r="A95" s="641" t="s">
        <v>170</v>
      </c>
      <c r="B95" s="641" t="s">
        <v>133</v>
      </c>
      <c r="C95" s="625" t="s">
        <v>171</v>
      </c>
      <c r="D95" s="617">
        <f>D34+D43+D45+D50+D57+D62+D65+D71+D74+D80+D85</f>
        <v>1090661</v>
      </c>
      <c r="E95" s="617">
        <f>E34+E43+E45+E50+E57+E62+E65+E71+E74+E80+E85+E90+E92</f>
        <v>838949</v>
      </c>
      <c r="F95" s="617">
        <f>F34+F43+F45+F50+F57+F62+F65+F71+F74+F80+F85+F90+F92</f>
        <v>271812</v>
      </c>
      <c r="G95" s="617">
        <f t="shared" si="8"/>
        <v>903944</v>
      </c>
      <c r="H95" s="620">
        <f>H34+H43+H45+H50+H57+H62+H65+H71+H74+H80+H85+H90+H92</f>
        <v>679697</v>
      </c>
      <c r="I95" s="620">
        <f>I34+I43+I45+I50+I57+I62+I65+I71+I74+I80+I85+I90+I92</f>
        <v>224247</v>
      </c>
      <c r="J95" s="620">
        <f t="shared" si="9"/>
        <v>1466649</v>
      </c>
      <c r="K95" s="620">
        <f>K34+K43+K45+K50+K57+K62+K65+K71+K74+K80+K85+K90+K92</f>
        <v>1032777</v>
      </c>
      <c r="L95" s="620">
        <f>L34+L43+L45+L50+L57+L62+L65+L71+L74+L80+L85+L90+L92</f>
        <v>433872</v>
      </c>
      <c r="M95" s="617">
        <f t="shared" si="10"/>
        <v>1172761.9111111111</v>
      </c>
      <c r="N95" s="617">
        <f>N34+N43+N45+N50+N57+N62+N65+N71+N74+N80+N85+N90+N92</f>
        <v>873564.22222222225</v>
      </c>
      <c r="O95" s="617">
        <f>O34+O43+O45+O50+O57+O62+O65+O71+O74+O80+O85+O90+O92</f>
        <v>299197.68888888886</v>
      </c>
    </row>
    <row r="96" spans="1:15" x14ac:dyDescent="0.25">
      <c r="A96" s="1246" t="s">
        <v>1194</v>
      </c>
      <c r="B96" s="1247"/>
      <c r="C96" s="1248"/>
      <c r="D96" s="617">
        <f>D31-D95</f>
        <v>-357299</v>
      </c>
      <c r="E96" s="617">
        <f>E31-E95</f>
        <v>-246786</v>
      </c>
      <c r="F96" s="617">
        <f>F31-F95</f>
        <v>-130613</v>
      </c>
      <c r="G96" s="617">
        <f t="shared" si="8"/>
        <v>-173764</v>
      </c>
      <c r="H96" s="620">
        <f>H31-H95</f>
        <v>-118519</v>
      </c>
      <c r="I96" s="620">
        <f>I31-I95</f>
        <v>-55245</v>
      </c>
      <c r="J96" s="620">
        <f t="shared" si="9"/>
        <v>-377399</v>
      </c>
      <c r="K96" s="620">
        <f>K31-K95</f>
        <v>-242345</v>
      </c>
      <c r="L96" s="620">
        <f>L31-L95</f>
        <v>-135054</v>
      </c>
      <c r="M96" s="617">
        <f>N96+O96</f>
        <v>352616.42222222243</v>
      </c>
      <c r="N96" s="617">
        <f>K105+N31-N95</f>
        <v>241680.11111111124</v>
      </c>
      <c r="O96" s="617">
        <f>L105+O31-O95</f>
        <v>110936.31111111119</v>
      </c>
    </row>
    <row r="97" spans="1:15" x14ac:dyDescent="0.25">
      <c r="A97" s="1256" t="s">
        <v>1195</v>
      </c>
      <c r="B97" s="1257"/>
      <c r="C97" s="1257"/>
      <c r="D97" s="1257"/>
      <c r="E97" s="1257"/>
      <c r="F97" s="1257"/>
      <c r="G97" s="1257"/>
      <c r="H97" s="1257"/>
      <c r="I97" s="1257"/>
      <c r="J97" s="1257"/>
      <c r="K97" s="1257"/>
      <c r="L97" s="1257"/>
      <c r="M97" s="1257"/>
      <c r="N97" s="1257"/>
      <c r="O97" s="1258"/>
    </row>
    <row r="98" spans="1:15" ht="30.75" customHeight="1" x14ac:dyDescent="0.25">
      <c r="A98" s="1246" t="s">
        <v>1196</v>
      </c>
      <c r="B98" s="1247"/>
      <c r="C98" s="1248"/>
      <c r="D98" s="617">
        <f>SUM(E98:F98)</f>
        <v>377399</v>
      </c>
      <c r="E98" s="617">
        <f>-E96</f>
        <v>246786</v>
      </c>
      <c r="F98" s="617">
        <f>-F96</f>
        <v>130613</v>
      </c>
      <c r="G98" s="617">
        <f>SUM(H98:I98)</f>
        <v>173764</v>
      </c>
      <c r="H98" s="620">
        <f>-H96</f>
        <v>118519</v>
      </c>
      <c r="I98" s="620">
        <f>-I96</f>
        <v>55245</v>
      </c>
      <c r="J98" s="620">
        <f>SUM(K98:L98)</f>
        <v>377399</v>
      </c>
      <c r="K98" s="620">
        <f>-K96</f>
        <v>242345</v>
      </c>
      <c r="L98" s="620">
        <f>-L96</f>
        <v>135054</v>
      </c>
      <c r="M98" s="617">
        <f>N98+O98</f>
        <v>-352616.42222222243</v>
      </c>
      <c r="N98" s="617">
        <f>-N96</f>
        <v>-241680.11111111124</v>
      </c>
      <c r="O98" s="617">
        <f>-O96</f>
        <v>-110936.31111111119</v>
      </c>
    </row>
    <row r="99" spans="1:15" ht="30.75" customHeight="1" x14ac:dyDescent="0.25">
      <c r="A99" s="1246" t="s">
        <v>1197</v>
      </c>
      <c r="B99" s="1247"/>
      <c r="C99" s="1248"/>
      <c r="D99" s="617">
        <f t="shared" ref="D99:D104" si="14">SUM(E99:F99)</f>
        <v>0</v>
      </c>
      <c r="E99" s="644">
        <v>0</v>
      </c>
      <c r="F99" s="644">
        <v>0</v>
      </c>
      <c r="G99" s="617">
        <f t="shared" ref="G99:G105" si="15">SUM(H99:I99)</f>
        <v>0</v>
      </c>
      <c r="H99" s="645">
        <v>0</v>
      </c>
      <c r="I99" s="646">
        <v>0</v>
      </c>
      <c r="J99" s="620">
        <f t="shared" ref="J99:J105" si="16">SUM(K99:L99)</f>
        <v>0</v>
      </c>
      <c r="K99" s="646">
        <v>0</v>
      </c>
      <c r="L99" s="646">
        <v>0</v>
      </c>
      <c r="M99" s="617">
        <f t="shared" ref="M99:M103" si="17">-M97</f>
        <v>0</v>
      </c>
      <c r="N99" s="644">
        <v>0</v>
      </c>
      <c r="O99" s="644">
        <v>0</v>
      </c>
    </row>
    <row r="100" spans="1:15" ht="63.75" customHeight="1" x14ac:dyDescent="0.25">
      <c r="A100" s="1246" t="s">
        <v>1198</v>
      </c>
      <c r="B100" s="1247"/>
      <c r="C100" s="1248"/>
      <c r="D100" s="617">
        <f t="shared" si="14"/>
        <v>0</v>
      </c>
      <c r="E100" s="644">
        <v>0</v>
      </c>
      <c r="F100" s="644">
        <v>0</v>
      </c>
      <c r="G100" s="617">
        <f t="shared" si="15"/>
        <v>0</v>
      </c>
      <c r="H100" s="646">
        <v>0</v>
      </c>
      <c r="I100" s="646">
        <v>0</v>
      </c>
      <c r="J100" s="620">
        <f t="shared" si="16"/>
        <v>0</v>
      </c>
      <c r="K100" s="646">
        <v>0</v>
      </c>
      <c r="L100" s="646">
        <v>0</v>
      </c>
      <c r="M100" s="617">
        <v>0</v>
      </c>
      <c r="N100" s="644">
        <v>0</v>
      </c>
      <c r="O100" s="644">
        <v>0</v>
      </c>
    </row>
    <row r="101" spans="1:15" ht="63.75" customHeight="1" x14ac:dyDescent="0.25">
      <c r="A101" s="1246" t="s">
        <v>1199</v>
      </c>
      <c r="B101" s="1247"/>
      <c r="C101" s="1248"/>
      <c r="D101" s="617">
        <f t="shared" si="14"/>
        <v>0</v>
      </c>
      <c r="E101" s="644">
        <v>0</v>
      </c>
      <c r="F101" s="644">
        <v>0</v>
      </c>
      <c r="G101" s="617">
        <f t="shared" si="15"/>
        <v>5000</v>
      </c>
      <c r="H101" s="646">
        <v>0</v>
      </c>
      <c r="I101" s="646">
        <v>5000</v>
      </c>
      <c r="J101" s="620">
        <f t="shared" si="16"/>
        <v>5000</v>
      </c>
      <c r="K101" s="646">
        <v>0</v>
      </c>
      <c r="L101" s="646">
        <v>5000</v>
      </c>
      <c r="M101" s="617">
        <f t="shared" si="17"/>
        <v>0</v>
      </c>
      <c r="N101" s="644">
        <v>5000</v>
      </c>
      <c r="O101" s="644">
        <v>5000</v>
      </c>
    </row>
    <row r="102" spans="1:15" ht="63.75" customHeight="1" x14ac:dyDescent="0.25">
      <c r="A102" s="1246" t="s">
        <v>1200</v>
      </c>
      <c r="B102" s="1247"/>
      <c r="C102" s="1248"/>
      <c r="D102" s="617">
        <f t="shared" si="14"/>
        <v>-3966</v>
      </c>
      <c r="E102" s="644">
        <v>0</v>
      </c>
      <c r="F102" s="644">
        <v>-3966</v>
      </c>
      <c r="G102" s="617">
        <f t="shared" si="15"/>
        <v>-3053</v>
      </c>
      <c r="H102" s="646">
        <v>0</v>
      </c>
      <c r="I102" s="646">
        <v>-3053</v>
      </c>
      <c r="J102" s="620">
        <f t="shared" si="16"/>
        <v>-4526</v>
      </c>
      <c r="K102" s="646">
        <v>0</v>
      </c>
      <c r="L102" s="646">
        <v>-4526</v>
      </c>
      <c r="M102" s="617">
        <f>-M100</f>
        <v>0</v>
      </c>
      <c r="N102" s="644">
        <v>4526</v>
      </c>
      <c r="O102" s="644">
        <v>4286</v>
      </c>
    </row>
    <row r="103" spans="1:15" ht="46.5" customHeight="1" x14ac:dyDescent="0.25">
      <c r="A103" s="1246" t="s">
        <v>1201</v>
      </c>
      <c r="B103" s="1247"/>
      <c r="C103" s="1248"/>
      <c r="D103" s="617">
        <f t="shared" si="14"/>
        <v>0</v>
      </c>
      <c r="E103" s="644">
        <v>0</v>
      </c>
      <c r="F103" s="644">
        <v>0</v>
      </c>
      <c r="G103" s="617">
        <f t="shared" si="15"/>
        <v>-5000</v>
      </c>
      <c r="H103" s="646">
        <v>-5000</v>
      </c>
      <c r="I103" s="646">
        <v>0</v>
      </c>
      <c r="J103" s="620">
        <f t="shared" si="16"/>
        <v>-5000</v>
      </c>
      <c r="K103" s="646">
        <v>-5000</v>
      </c>
      <c r="L103" s="646">
        <v>0</v>
      </c>
      <c r="M103" s="617">
        <f t="shared" si="17"/>
        <v>0</v>
      </c>
      <c r="N103" s="644">
        <v>0</v>
      </c>
      <c r="O103" s="644">
        <v>-5000</v>
      </c>
    </row>
    <row r="104" spans="1:15" ht="45.75" customHeight="1" x14ac:dyDescent="0.25">
      <c r="A104" s="1253" t="s">
        <v>1202</v>
      </c>
      <c r="B104" s="1254"/>
      <c r="C104" s="1255"/>
      <c r="D104" s="617">
        <f t="shared" si="14"/>
        <v>3966</v>
      </c>
      <c r="E104" s="644">
        <v>3966</v>
      </c>
      <c r="F104" s="644">
        <v>0</v>
      </c>
      <c r="G104" s="617">
        <f t="shared" si="15"/>
        <v>3053</v>
      </c>
      <c r="H104" s="646">
        <v>3053</v>
      </c>
      <c r="I104" s="646">
        <v>0</v>
      </c>
      <c r="J104" s="620">
        <f t="shared" si="16"/>
        <v>4526</v>
      </c>
      <c r="K104" s="646">
        <v>4526</v>
      </c>
      <c r="L104" s="646">
        <v>0</v>
      </c>
      <c r="M104" s="617">
        <f>-M102</f>
        <v>0</v>
      </c>
      <c r="N104" s="644">
        <v>0</v>
      </c>
      <c r="O104" s="644">
        <v>4286</v>
      </c>
    </row>
    <row r="105" spans="1:15" ht="33" customHeight="1" x14ac:dyDescent="0.25">
      <c r="A105" s="1246" t="s">
        <v>172</v>
      </c>
      <c r="B105" s="1247"/>
      <c r="C105" s="1248"/>
      <c r="D105" s="617">
        <f>SUM(E105:F105)</f>
        <v>583683</v>
      </c>
      <c r="E105" s="644">
        <v>439759</v>
      </c>
      <c r="F105" s="644">
        <v>143924</v>
      </c>
      <c r="G105" s="617">
        <f t="shared" si="15"/>
        <v>430845</v>
      </c>
      <c r="H105" s="646">
        <v>301546</v>
      </c>
      <c r="I105" s="646">
        <v>129299</v>
      </c>
      <c r="J105" s="620">
        <f t="shared" si="16"/>
        <v>583683</v>
      </c>
      <c r="K105" s="646">
        <v>439759</v>
      </c>
      <c r="L105" s="646">
        <v>143924</v>
      </c>
      <c r="M105" s="617">
        <f>-M103</f>
        <v>0</v>
      </c>
      <c r="N105" s="644">
        <v>0</v>
      </c>
      <c r="O105" s="644">
        <v>0</v>
      </c>
    </row>
    <row r="106" spans="1:15" ht="15.75" customHeight="1" x14ac:dyDescent="0.25">
      <c r="A106" s="1256" t="s">
        <v>1203</v>
      </c>
      <c r="B106" s="1257"/>
      <c r="C106" s="1257"/>
      <c r="D106" s="1257"/>
      <c r="E106" s="1257"/>
      <c r="F106" s="1257"/>
      <c r="G106" s="1257"/>
      <c r="H106" s="1257"/>
      <c r="I106" s="1257"/>
      <c r="J106" s="1257"/>
      <c r="K106" s="1257"/>
      <c r="L106" s="1257"/>
      <c r="M106" s="1257"/>
      <c r="N106" s="1257"/>
      <c r="O106" s="1258"/>
    </row>
    <row r="107" spans="1:15" x14ac:dyDescent="0.25">
      <c r="A107" s="1246" t="s">
        <v>1204</v>
      </c>
      <c r="B107" s="1247"/>
      <c r="C107" s="1248"/>
      <c r="D107" s="617">
        <f>E107+F107</f>
        <v>102579</v>
      </c>
      <c r="E107" s="627">
        <v>58305</v>
      </c>
      <c r="F107" s="627">
        <v>44274</v>
      </c>
      <c r="G107" s="617">
        <f t="shared" si="8"/>
        <v>80167</v>
      </c>
      <c r="H107" s="628">
        <v>45075</v>
      </c>
      <c r="I107" s="628">
        <v>35092</v>
      </c>
      <c r="J107" s="620">
        <f t="shared" si="9"/>
        <v>114956</v>
      </c>
      <c r="K107" s="628">
        <v>64600</v>
      </c>
      <c r="L107" s="628">
        <v>50356</v>
      </c>
      <c r="M107" s="617">
        <f t="shared" ref="M107:M115" si="18">N107+O107</f>
        <v>106889.33333333334</v>
      </c>
      <c r="N107" s="627">
        <f t="shared" ref="N107:O109" si="19">H107/9*12</f>
        <v>60100</v>
      </c>
      <c r="O107" s="627">
        <f t="shared" si="19"/>
        <v>46789.333333333336</v>
      </c>
    </row>
    <row r="108" spans="1:15" ht="32.25" customHeight="1" x14ac:dyDescent="0.25">
      <c r="A108" s="1246" t="s">
        <v>1205</v>
      </c>
      <c r="B108" s="1247"/>
      <c r="C108" s="1248"/>
      <c r="D108" s="617">
        <f t="shared" ref="D108:D115" si="20">E108+F108</f>
        <v>1176218</v>
      </c>
      <c r="E108" s="627">
        <v>1029766</v>
      </c>
      <c r="F108" s="627">
        <v>146452</v>
      </c>
      <c r="G108" s="617">
        <f t="shared" si="8"/>
        <v>807632</v>
      </c>
      <c r="H108" s="628">
        <v>673479</v>
      </c>
      <c r="I108" s="628">
        <v>134153</v>
      </c>
      <c r="J108" s="620">
        <f t="shared" si="9"/>
        <v>1289803</v>
      </c>
      <c r="K108" s="628">
        <v>1015710</v>
      </c>
      <c r="L108" s="628">
        <v>274093</v>
      </c>
      <c r="M108" s="617">
        <f t="shared" si="18"/>
        <v>1076842.6666666667</v>
      </c>
      <c r="N108" s="627">
        <f t="shared" si="19"/>
        <v>897972</v>
      </c>
      <c r="O108" s="627">
        <f t="shared" si="19"/>
        <v>178870.66666666666</v>
      </c>
    </row>
    <row r="109" spans="1:15" x14ac:dyDescent="0.25">
      <c r="A109" s="1246" t="s">
        <v>1206</v>
      </c>
      <c r="B109" s="1247"/>
      <c r="C109" s="1248"/>
      <c r="D109" s="617">
        <f t="shared" si="20"/>
        <v>349588</v>
      </c>
      <c r="E109" s="627">
        <v>349588</v>
      </c>
      <c r="F109" s="627">
        <v>0</v>
      </c>
      <c r="G109" s="617">
        <f t="shared" si="8"/>
        <v>204967</v>
      </c>
      <c r="H109" s="628">
        <v>115636</v>
      </c>
      <c r="I109" s="628">
        <v>89331</v>
      </c>
      <c r="J109" s="620">
        <f t="shared" si="9"/>
        <v>432851</v>
      </c>
      <c r="K109" s="628">
        <v>223322</v>
      </c>
      <c r="L109" s="628">
        <v>209529</v>
      </c>
      <c r="M109" s="617">
        <f t="shared" si="18"/>
        <v>273289.33333333337</v>
      </c>
      <c r="N109" s="627">
        <f t="shared" si="19"/>
        <v>154181.33333333334</v>
      </c>
      <c r="O109" s="627">
        <f t="shared" si="19"/>
        <v>119108</v>
      </c>
    </row>
    <row r="110" spans="1:15" x14ac:dyDescent="0.25">
      <c r="A110" s="1252" t="s">
        <v>1207</v>
      </c>
      <c r="B110" s="1247"/>
      <c r="C110" s="1248"/>
      <c r="D110" s="617">
        <f>E110+F110</f>
        <v>226530</v>
      </c>
      <c r="E110" s="627">
        <v>218076</v>
      </c>
      <c r="F110" s="627">
        <v>8454</v>
      </c>
      <c r="G110" s="617">
        <f>SUM(H110:I110)</f>
        <v>198627</v>
      </c>
      <c r="H110" s="628">
        <v>188575</v>
      </c>
      <c r="I110" s="628">
        <v>10052</v>
      </c>
      <c r="J110" s="620">
        <f t="shared" si="9"/>
        <v>272845</v>
      </c>
      <c r="K110" s="628">
        <v>256895</v>
      </c>
      <c r="L110" s="628">
        <v>15950</v>
      </c>
      <c r="M110" s="617">
        <f t="shared" si="18"/>
        <v>272845</v>
      </c>
      <c r="N110" s="627">
        <f>K110</f>
        <v>256895</v>
      </c>
      <c r="O110" s="627">
        <f>L110</f>
        <v>15950</v>
      </c>
    </row>
    <row r="111" spans="1:15" x14ac:dyDescent="0.25">
      <c r="A111" s="1246" t="s">
        <v>1208</v>
      </c>
      <c r="B111" s="1247"/>
      <c r="C111" s="1248"/>
      <c r="D111" s="617">
        <f>E111+F111</f>
        <v>64242</v>
      </c>
      <c r="E111" s="647">
        <v>57655</v>
      </c>
      <c r="F111" s="647">
        <v>6587</v>
      </c>
      <c r="G111" s="617">
        <f>SUM(H111:I111)</f>
        <v>34750</v>
      </c>
      <c r="H111" s="648">
        <v>28449</v>
      </c>
      <c r="I111" s="648">
        <v>6301</v>
      </c>
      <c r="J111" s="620">
        <f t="shared" si="9"/>
        <v>67720</v>
      </c>
      <c r="K111" s="648">
        <v>58076</v>
      </c>
      <c r="L111" s="648">
        <v>9644</v>
      </c>
      <c r="M111" s="617">
        <f t="shared" si="18"/>
        <v>67720</v>
      </c>
      <c r="N111" s="627">
        <f>K111</f>
        <v>58076</v>
      </c>
      <c r="O111" s="627">
        <f>L111</f>
        <v>9644</v>
      </c>
    </row>
    <row r="112" spans="1:15" ht="51.75" customHeight="1" x14ac:dyDescent="0.25">
      <c r="A112" s="1246" t="s">
        <v>1209</v>
      </c>
      <c r="B112" s="1247"/>
      <c r="C112" s="1248"/>
      <c r="D112" s="617">
        <f t="shared" si="20"/>
        <v>3966</v>
      </c>
      <c r="E112" s="627">
        <v>3966</v>
      </c>
      <c r="F112" s="627">
        <v>0</v>
      </c>
      <c r="G112" s="617">
        <v>0</v>
      </c>
      <c r="H112" s="628">
        <v>-5000</v>
      </c>
      <c r="I112" s="628">
        <v>0</v>
      </c>
      <c r="J112" s="620">
        <v>0</v>
      </c>
      <c r="K112" s="628">
        <v>-4526</v>
      </c>
      <c r="L112" s="628">
        <v>0</v>
      </c>
      <c r="M112" s="617">
        <f t="shared" si="18"/>
        <v>-5000</v>
      </c>
      <c r="N112" s="627">
        <v>0</v>
      </c>
      <c r="O112" s="627">
        <v>-5000</v>
      </c>
    </row>
    <row r="113" spans="1:15" ht="48.75" customHeight="1" x14ac:dyDescent="0.25">
      <c r="A113" s="1246" t="s">
        <v>1210</v>
      </c>
      <c r="B113" s="1247"/>
      <c r="C113" s="1248"/>
      <c r="D113" s="617">
        <f t="shared" si="20"/>
        <v>-3966</v>
      </c>
      <c r="E113" s="627">
        <v>0</v>
      </c>
      <c r="F113" s="627">
        <v>-3966</v>
      </c>
      <c r="G113" s="617">
        <v>0</v>
      </c>
      <c r="H113" s="628">
        <v>0</v>
      </c>
      <c r="I113" s="628">
        <v>-5000</v>
      </c>
      <c r="J113" s="620">
        <v>0</v>
      </c>
      <c r="K113" s="628">
        <v>0</v>
      </c>
      <c r="L113" s="628">
        <v>-4526</v>
      </c>
      <c r="M113" s="617">
        <f t="shared" si="18"/>
        <v>4286</v>
      </c>
      <c r="N113" s="627">
        <v>0</v>
      </c>
      <c r="O113" s="627">
        <v>4286</v>
      </c>
    </row>
    <row r="114" spans="1:15" ht="49.5" customHeight="1" x14ac:dyDescent="0.25">
      <c r="A114" s="1246" t="s">
        <v>1211</v>
      </c>
      <c r="B114" s="1247"/>
      <c r="C114" s="1248"/>
      <c r="D114" s="617">
        <f>E114+F114</f>
        <v>780597</v>
      </c>
      <c r="E114" s="627">
        <f>E95-E24</f>
        <v>510598</v>
      </c>
      <c r="F114" s="627">
        <f>F95-F24</f>
        <v>269999</v>
      </c>
      <c r="G114" s="617">
        <f t="shared" si="8"/>
        <v>651916</v>
      </c>
      <c r="H114" s="628">
        <f>H95-H24</f>
        <v>428796</v>
      </c>
      <c r="I114" s="628">
        <f>I95-I24</f>
        <v>223120</v>
      </c>
      <c r="J114" s="620">
        <f t="shared" si="9"/>
        <v>1149384</v>
      </c>
      <c r="K114" s="628">
        <f>K95-K24</f>
        <v>717456</v>
      </c>
      <c r="L114" s="628">
        <f>L95-L24</f>
        <v>431928</v>
      </c>
      <c r="M114" s="617">
        <f t="shared" si="18"/>
        <v>854997.91111111105</v>
      </c>
      <c r="N114" s="627">
        <f>N95-N24</f>
        <v>557609.22222222225</v>
      </c>
      <c r="O114" s="627">
        <f>O95-O24</f>
        <v>297388.68888888886</v>
      </c>
    </row>
    <row r="115" spans="1:15" x14ac:dyDescent="0.25">
      <c r="A115" s="1249" t="s">
        <v>1212</v>
      </c>
      <c r="B115" s="1250"/>
      <c r="C115" s="1251"/>
      <c r="D115" s="617">
        <f t="shared" si="20"/>
        <v>206284</v>
      </c>
      <c r="E115" s="627">
        <f>E105+E31-E95</f>
        <v>192973</v>
      </c>
      <c r="F115" s="627">
        <f>F105+F31-F95</f>
        <v>13311</v>
      </c>
      <c r="G115" s="617">
        <f t="shared" si="8"/>
        <v>257081</v>
      </c>
      <c r="H115" s="628">
        <f>H105+H31-H95</f>
        <v>183027</v>
      </c>
      <c r="I115" s="628">
        <f>I105+I31-I95</f>
        <v>74054</v>
      </c>
      <c r="J115" s="620">
        <f t="shared" si="9"/>
        <v>206284</v>
      </c>
      <c r="K115" s="628">
        <f>K105+K31-K95</f>
        <v>197414</v>
      </c>
      <c r="L115" s="628">
        <f>L105+L31-L95</f>
        <v>8870</v>
      </c>
      <c r="M115" s="617">
        <f t="shared" si="18"/>
        <v>371428.42222222243</v>
      </c>
      <c r="N115" s="627">
        <f>(K105+N31+N101+N104)-(N95-N100-N102-N103)</f>
        <v>251206.11111111124</v>
      </c>
      <c r="O115" s="627">
        <f>(L105+O31+O101+O99)-(O95-O100-O102)</f>
        <v>120222.31111111119</v>
      </c>
    </row>
    <row r="124" spans="1:15" x14ac:dyDescent="0.25">
      <c r="D124" s="649"/>
      <c r="E124" s="649"/>
      <c r="G124" s="649"/>
    </row>
  </sheetData>
  <mergeCells count="31">
    <mergeCell ref="A98:C98"/>
    <mergeCell ref="C1:O1"/>
    <mergeCell ref="C3:O3"/>
    <mergeCell ref="A4:B5"/>
    <mergeCell ref="C4:C5"/>
    <mergeCell ref="D4:F4"/>
    <mergeCell ref="G4:I4"/>
    <mergeCell ref="J4:L4"/>
    <mergeCell ref="M4:O4"/>
    <mergeCell ref="A6:O6"/>
    <mergeCell ref="A31:C31"/>
    <mergeCell ref="A32:O32"/>
    <mergeCell ref="A96:C96"/>
    <mergeCell ref="A97:O97"/>
    <mergeCell ref="A110:C110"/>
    <mergeCell ref="A99:C99"/>
    <mergeCell ref="A100:C100"/>
    <mergeCell ref="A101:C101"/>
    <mergeCell ref="A102:C102"/>
    <mergeCell ref="A103:C103"/>
    <mergeCell ref="A104:C104"/>
    <mergeCell ref="A105:C105"/>
    <mergeCell ref="A106:O106"/>
    <mergeCell ref="A107:C107"/>
    <mergeCell ref="A108:C108"/>
    <mergeCell ref="A109:C109"/>
    <mergeCell ref="A111:C111"/>
    <mergeCell ref="A112:C112"/>
    <mergeCell ref="A113:C113"/>
    <mergeCell ref="A114:C114"/>
    <mergeCell ref="A115:C115"/>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585" customWidth="1"/>
    <col min="2" max="2" width="34" style="585" customWidth="1"/>
    <col min="3" max="3" width="23" style="585" customWidth="1"/>
    <col min="4" max="4" width="20.42578125" style="585" customWidth="1"/>
    <col min="5" max="5" width="18.5703125" style="585" customWidth="1"/>
    <col min="6" max="6" width="22.140625" style="585" customWidth="1"/>
    <col min="7" max="7" width="17.7109375" style="585" customWidth="1"/>
    <col min="8" max="8" width="18.5703125" style="585" customWidth="1"/>
    <col min="9" max="9" width="18.85546875" style="585" customWidth="1"/>
    <col min="10" max="11" width="15.7109375" style="585" customWidth="1"/>
    <col min="12" max="12" width="18.85546875" style="585" customWidth="1"/>
    <col min="13" max="13" width="14.7109375" style="585" customWidth="1"/>
    <col min="14" max="15" width="18.42578125" style="585" customWidth="1"/>
    <col min="16" max="16384" width="9.140625" style="585"/>
  </cols>
  <sheetData>
    <row r="1" spans="1:15" x14ac:dyDescent="0.25">
      <c r="C1" s="1279"/>
      <c r="D1" s="1279"/>
      <c r="E1" s="1279"/>
      <c r="F1" s="1279"/>
    </row>
    <row r="2" spans="1:15" ht="18.75" customHeight="1" x14ac:dyDescent="0.3">
      <c r="A2" s="1280" t="s">
        <v>1344</v>
      </c>
      <c r="B2" s="1280"/>
      <c r="C2" s="1280"/>
      <c r="D2" s="1280"/>
      <c r="E2" s="1280"/>
      <c r="F2" s="1280"/>
      <c r="G2" s="1280"/>
      <c r="H2" s="1280"/>
      <c r="I2" s="1280"/>
      <c r="J2" s="1280"/>
      <c r="K2" s="1280"/>
      <c r="L2" s="1280"/>
      <c r="M2" s="1280"/>
      <c r="N2" s="1280"/>
      <c r="O2" s="1280"/>
    </row>
    <row r="3" spans="1:15" x14ac:dyDescent="0.25">
      <c r="C3" s="1281"/>
      <c r="D3" s="1281"/>
      <c r="E3" s="1281"/>
      <c r="F3" s="1281"/>
      <c r="G3" s="652"/>
      <c r="H3" s="652"/>
    </row>
    <row r="5" spans="1:15" x14ac:dyDescent="0.25">
      <c r="O5" s="653" t="s">
        <v>1345</v>
      </c>
    </row>
    <row r="6" spans="1:15" s="654" customFormat="1" ht="157.5" x14ac:dyDescent="0.25">
      <c r="A6" s="650" t="s">
        <v>935</v>
      </c>
      <c r="B6" s="650" t="s">
        <v>1346</v>
      </c>
      <c r="C6" s="650" t="s">
        <v>1351</v>
      </c>
      <c r="D6" s="650" t="s">
        <v>1352</v>
      </c>
      <c r="E6" s="650" t="s">
        <v>1353</v>
      </c>
      <c r="F6" s="650" t="s">
        <v>1354</v>
      </c>
      <c r="G6" s="650" t="s">
        <v>1355</v>
      </c>
      <c r="H6" s="650" t="s">
        <v>1356</v>
      </c>
      <c r="I6" s="650" t="s">
        <v>1357</v>
      </c>
      <c r="J6" s="650" t="s">
        <v>1358</v>
      </c>
      <c r="K6" s="650" t="s">
        <v>1359</v>
      </c>
      <c r="L6" s="650" t="s">
        <v>1360</v>
      </c>
      <c r="M6" s="650" t="s">
        <v>1361</v>
      </c>
      <c r="N6" s="650" t="s">
        <v>1362</v>
      </c>
      <c r="O6" s="650" t="s">
        <v>1363</v>
      </c>
    </row>
    <row r="7" spans="1:15" s="654" customFormat="1" x14ac:dyDescent="0.25">
      <c r="A7" s="655">
        <v>1</v>
      </c>
      <c r="B7" s="19" t="s">
        <v>1347</v>
      </c>
      <c r="C7" s="656">
        <v>0</v>
      </c>
      <c r="D7" s="656">
        <v>0</v>
      </c>
      <c r="E7" s="656">
        <v>0</v>
      </c>
      <c r="F7" s="656">
        <f>C7+D7-E7</f>
        <v>0</v>
      </c>
      <c r="G7" s="656">
        <v>0</v>
      </c>
      <c r="H7" s="656">
        <v>0</v>
      </c>
      <c r="I7" s="656">
        <f>F7+G7-H7</f>
        <v>0</v>
      </c>
      <c r="J7" s="656">
        <v>0</v>
      </c>
      <c r="K7" s="656">
        <v>0</v>
      </c>
      <c r="L7" s="656">
        <f>I7+J7-K7</f>
        <v>0</v>
      </c>
      <c r="M7" s="656">
        <v>0</v>
      </c>
      <c r="N7" s="656">
        <v>0</v>
      </c>
      <c r="O7" s="656">
        <f>L7+M7-N7</f>
        <v>0</v>
      </c>
    </row>
    <row r="8" spans="1:15" s="654" customFormat="1" ht="47.25" x14ac:dyDescent="0.25">
      <c r="A8" s="655">
        <f>A7+1</f>
        <v>2</v>
      </c>
      <c r="B8" s="19" t="s">
        <v>173</v>
      </c>
      <c r="C8" s="656">
        <v>0</v>
      </c>
      <c r="D8" s="656">
        <v>0</v>
      </c>
      <c r="E8" s="656">
        <v>0</v>
      </c>
      <c r="F8" s="656">
        <f t="shared" ref="F8:F11" si="0">C8+D8-E8</f>
        <v>0</v>
      </c>
      <c r="G8" s="656">
        <v>0</v>
      </c>
      <c r="H8" s="656">
        <v>0</v>
      </c>
      <c r="I8" s="656">
        <f t="shared" ref="I8:I11" si="1">F8+G8-H8</f>
        <v>0</v>
      </c>
      <c r="J8" s="656">
        <v>0</v>
      </c>
      <c r="K8" s="656">
        <v>0</v>
      </c>
      <c r="L8" s="656">
        <f t="shared" ref="L8:L11" si="2">I8+J8-K8</f>
        <v>0</v>
      </c>
      <c r="M8" s="656">
        <v>0</v>
      </c>
      <c r="N8" s="656">
        <v>0</v>
      </c>
      <c r="O8" s="656">
        <f t="shared" ref="O8:O11" si="3">L8+M8-N8</f>
        <v>0</v>
      </c>
    </row>
    <row r="9" spans="1:15" ht="47.25" x14ac:dyDescent="0.25">
      <c r="A9" s="655">
        <f t="shared" ref="A9:A10" si="4">A8+1</f>
        <v>3</v>
      </c>
      <c r="B9" s="19" t="s">
        <v>1348</v>
      </c>
      <c r="C9" s="657">
        <v>0</v>
      </c>
      <c r="D9" s="657">
        <v>0</v>
      </c>
      <c r="E9" s="657">
        <v>0</v>
      </c>
      <c r="F9" s="656">
        <v>0</v>
      </c>
      <c r="G9" s="657">
        <v>0</v>
      </c>
      <c r="H9" s="657">
        <v>0</v>
      </c>
      <c r="I9" s="656">
        <f t="shared" si="1"/>
        <v>0</v>
      </c>
      <c r="J9" s="657">
        <v>0</v>
      </c>
      <c r="K9" s="657">
        <v>0</v>
      </c>
      <c r="L9" s="656">
        <f>I9+J9-K9</f>
        <v>0</v>
      </c>
      <c r="M9" s="657">
        <v>0</v>
      </c>
      <c r="N9" s="657">
        <v>0</v>
      </c>
      <c r="O9" s="656">
        <f t="shared" si="3"/>
        <v>0</v>
      </c>
    </row>
    <row r="10" spans="1:15" x14ac:dyDescent="0.25">
      <c r="A10" s="655">
        <f t="shared" si="4"/>
        <v>4</v>
      </c>
      <c r="B10" s="19" t="s">
        <v>1349</v>
      </c>
      <c r="C10" s="657">
        <v>0</v>
      </c>
      <c r="D10" s="657">
        <v>0</v>
      </c>
      <c r="E10" s="657">
        <v>0</v>
      </c>
      <c r="F10" s="656">
        <f t="shared" si="0"/>
        <v>0</v>
      </c>
      <c r="G10" s="657">
        <v>0</v>
      </c>
      <c r="H10" s="657">
        <v>0</v>
      </c>
      <c r="I10" s="656">
        <f t="shared" si="1"/>
        <v>0</v>
      </c>
      <c r="J10" s="657">
        <v>0</v>
      </c>
      <c r="K10" s="657">
        <v>0</v>
      </c>
      <c r="L10" s="656">
        <f t="shared" si="2"/>
        <v>0</v>
      </c>
      <c r="M10" s="657">
        <v>0</v>
      </c>
      <c r="N10" s="657">
        <v>0</v>
      </c>
      <c r="O10" s="656">
        <f t="shared" si="3"/>
        <v>0</v>
      </c>
    </row>
    <row r="11" spans="1:15" ht="31.5" x14ac:dyDescent="0.25">
      <c r="A11" s="655"/>
      <c r="B11" s="19" t="s">
        <v>1350</v>
      </c>
      <c r="C11" s="657">
        <f>SUM(C7:C10)</f>
        <v>0</v>
      </c>
      <c r="D11" s="657">
        <f t="shared" ref="D11:N11" si="5">SUM(D7:D10)</f>
        <v>0</v>
      </c>
      <c r="E11" s="657">
        <f t="shared" si="5"/>
        <v>0</v>
      </c>
      <c r="F11" s="656">
        <f t="shared" si="0"/>
        <v>0</v>
      </c>
      <c r="G11" s="657">
        <f t="shared" si="5"/>
        <v>0</v>
      </c>
      <c r="H11" s="657">
        <f t="shared" si="5"/>
        <v>0</v>
      </c>
      <c r="I11" s="656">
        <f t="shared" si="1"/>
        <v>0</v>
      </c>
      <c r="J11" s="657">
        <f t="shared" si="5"/>
        <v>0</v>
      </c>
      <c r="K11" s="657">
        <f t="shared" si="5"/>
        <v>0</v>
      </c>
      <c r="L11" s="656">
        <f t="shared" si="2"/>
        <v>0</v>
      </c>
      <c r="M11" s="657">
        <f t="shared" si="5"/>
        <v>0</v>
      </c>
      <c r="N11" s="657">
        <f t="shared" si="5"/>
        <v>0</v>
      </c>
      <c r="O11" s="656">
        <f t="shared" si="3"/>
        <v>0</v>
      </c>
    </row>
    <row r="12" spans="1:15" x14ac:dyDescent="0.25">
      <c r="B12" s="280"/>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3"/>
  <sheetViews>
    <sheetView topLeftCell="A115" workbookViewId="0">
      <selection activeCell="I124" sqref="I124:I128"/>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1"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4" x14ac:dyDescent="0.25">
      <c r="A1" s="1335" t="s">
        <v>933</v>
      </c>
      <c r="B1" s="1335"/>
      <c r="C1" s="1335"/>
      <c r="D1" s="1335"/>
      <c r="E1" s="1335"/>
      <c r="F1" s="1335"/>
      <c r="G1" s="1335"/>
      <c r="H1" s="1335"/>
      <c r="I1" s="1335"/>
      <c r="J1" s="1335"/>
      <c r="K1" s="1335"/>
      <c r="L1" s="1335"/>
    </row>
    <row r="2" spans="1:14" x14ac:dyDescent="0.25">
      <c r="A2" s="1131" t="s">
        <v>1395</v>
      </c>
      <c r="B2" s="1131"/>
      <c r="C2" s="1131"/>
      <c r="D2" s="1131"/>
      <c r="E2" s="1131"/>
      <c r="F2" s="1131"/>
      <c r="G2" s="1131"/>
      <c r="H2" s="1131"/>
      <c r="I2" s="1131"/>
      <c r="J2" s="1131"/>
      <c r="K2" s="1131"/>
      <c r="L2" s="1131"/>
    </row>
    <row r="4" spans="1:14" x14ac:dyDescent="0.25">
      <c r="A4" s="1308" t="s">
        <v>934</v>
      </c>
      <c r="B4" s="1308"/>
      <c r="C4" s="1308"/>
      <c r="D4" s="1308"/>
      <c r="E4" s="1308"/>
      <c r="F4" s="1308"/>
      <c r="G4" s="1308"/>
      <c r="H4" s="1308"/>
      <c r="I4" s="1308"/>
      <c r="J4" s="1308"/>
      <c r="K4" s="1308"/>
      <c r="L4" s="1308"/>
    </row>
    <row r="5" spans="1:14" x14ac:dyDescent="0.25">
      <c r="A5" s="1336" t="s">
        <v>935</v>
      </c>
      <c r="B5" s="1321" t="s">
        <v>121</v>
      </c>
      <c r="C5" s="1322"/>
      <c r="D5" s="1322"/>
      <c r="E5" s="1322"/>
      <c r="F5" s="1322"/>
      <c r="G5" s="1322"/>
      <c r="H5" s="1323"/>
      <c r="I5" s="1132" t="s">
        <v>1</v>
      </c>
      <c r="J5" s="1136" t="s">
        <v>936</v>
      </c>
      <c r="K5" s="1137"/>
      <c r="L5" s="1138"/>
    </row>
    <row r="6" spans="1:14" x14ac:dyDescent="0.25">
      <c r="A6" s="1337"/>
      <c r="B6" s="1324"/>
      <c r="C6" s="1325"/>
      <c r="D6" s="1325"/>
      <c r="E6" s="1325"/>
      <c r="F6" s="1325"/>
      <c r="G6" s="1325"/>
      <c r="H6" s="1326"/>
      <c r="I6" s="1133"/>
      <c r="J6" s="341">
        <v>2019</v>
      </c>
      <c r="K6" s="78">
        <v>2020</v>
      </c>
      <c r="L6" s="78">
        <v>2021</v>
      </c>
    </row>
    <row r="7" spans="1:14" ht="26.25" customHeight="1" x14ac:dyDescent="0.25">
      <c r="A7" s="344">
        <v>1</v>
      </c>
      <c r="B7" s="387" t="s">
        <v>15</v>
      </c>
      <c r="C7" s="387" t="s">
        <v>1055</v>
      </c>
      <c r="D7" s="387" t="s">
        <v>132</v>
      </c>
      <c r="E7" s="387" t="s">
        <v>1570</v>
      </c>
      <c r="F7" s="387" t="s">
        <v>124</v>
      </c>
      <c r="G7" s="387" t="s">
        <v>1057</v>
      </c>
      <c r="H7" s="395" t="s">
        <v>1571</v>
      </c>
      <c r="I7" s="451" t="s">
        <v>185</v>
      </c>
      <c r="J7" s="347">
        <v>4081811.64</v>
      </c>
      <c r="K7" s="41">
        <v>0</v>
      </c>
      <c r="L7" s="41">
        <v>0</v>
      </c>
    </row>
    <row r="8" spans="1:14" ht="49.5" customHeight="1" x14ac:dyDescent="0.25">
      <c r="A8" s="1376">
        <v>2</v>
      </c>
      <c r="B8" s="387" t="s">
        <v>16</v>
      </c>
      <c r="C8" s="387" t="s">
        <v>1055</v>
      </c>
      <c r="D8" s="387" t="s">
        <v>132</v>
      </c>
      <c r="E8" s="387" t="s">
        <v>1578</v>
      </c>
      <c r="F8" s="387" t="s">
        <v>124</v>
      </c>
      <c r="G8" s="387" t="s">
        <v>1057</v>
      </c>
      <c r="H8" s="395" t="s">
        <v>1571</v>
      </c>
      <c r="I8" s="436" t="s">
        <v>1579</v>
      </c>
      <c r="J8" s="317">
        <v>4734300</v>
      </c>
      <c r="K8" s="41">
        <v>0</v>
      </c>
      <c r="L8" s="41">
        <v>0</v>
      </c>
    </row>
    <row r="9" spans="1:14" ht="96" customHeight="1" x14ac:dyDescent="0.25">
      <c r="A9" s="1424"/>
      <c r="B9" s="695" t="s">
        <v>34</v>
      </c>
      <c r="C9" s="695" t="s">
        <v>1580</v>
      </c>
      <c r="D9" s="695" t="s">
        <v>1581</v>
      </c>
      <c r="E9" s="695" t="s">
        <v>1583</v>
      </c>
      <c r="F9" s="695" t="s">
        <v>1584</v>
      </c>
      <c r="G9" s="695" t="s">
        <v>1582</v>
      </c>
      <c r="H9" s="439" t="s">
        <v>35</v>
      </c>
      <c r="I9" s="436" t="s">
        <v>1587</v>
      </c>
      <c r="J9" s="349">
        <v>-2000000</v>
      </c>
      <c r="K9" s="110">
        <v>0</v>
      </c>
      <c r="L9" s="110">
        <v>0</v>
      </c>
    </row>
    <row r="10" spans="1:14" ht="82.5" customHeight="1" x14ac:dyDescent="0.25">
      <c r="A10" s="1378"/>
      <c r="B10" s="350" t="s">
        <v>34</v>
      </c>
      <c r="C10" s="350" t="s">
        <v>1580</v>
      </c>
      <c r="D10" s="350" t="s">
        <v>1584</v>
      </c>
      <c r="E10" s="350" t="s">
        <v>1585</v>
      </c>
      <c r="F10" s="350" t="s">
        <v>1584</v>
      </c>
      <c r="G10" s="350" t="s">
        <v>1586</v>
      </c>
      <c r="H10" s="999" t="s">
        <v>35</v>
      </c>
      <c r="I10" s="436" t="s">
        <v>1588</v>
      </c>
      <c r="J10" s="1023">
        <v>-2734300</v>
      </c>
      <c r="K10" s="110">
        <v>0</v>
      </c>
      <c r="L10" s="110">
        <v>0</v>
      </c>
    </row>
    <row r="11" spans="1:14" ht="110.25" x14ac:dyDescent="0.25">
      <c r="A11" s="344">
        <v>3</v>
      </c>
      <c r="B11" s="350" t="s">
        <v>18</v>
      </c>
      <c r="C11" s="350" t="s">
        <v>1589</v>
      </c>
      <c r="D11" s="350" t="s">
        <v>1590</v>
      </c>
      <c r="E11" s="350" t="s">
        <v>1591</v>
      </c>
      <c r="F11" s="350" t="s">
        <v>1592</v>
      </c>
      <c r="G11" s="350" t="s">
        <v>1586</v>
      </c>
      <c r="H11" s="999" t="s">
        <v>1571</v>
      </c>
      <c r="I11" s="436" t="s">
        <v>1595</v>
      </c>
      <c r="J11" s="1023">
        <v>-238966</v>
      </c>
      <c r="K11" s="110">
        <v>0</v>
      </c>
      <c r="L11" s="110">
        <v>0</v>
      </c>
    </row>
    <row r="12" spans="1:14" ht="41.25" hidden="1" customHeight="1" x14ac:dyDescent="0.25">
      <c r="A12" s="344"/>
      <c r="B12" s="350"/>
      <c r="C12" s="350"/>
      <c r="D12" s="350"/>
      <c r="E12" s="350"/>
      <c r="F12" s="350"/>
      <c r="G12" s="350"/>
      <c r="H12" s="350"/>
      <c r="I12" s="709"/>
      <c r="J12" s="351"/>
      <c r="K12" s="365"/>
      <c r="L12" s="365"/>
      <c r="N12" s="360"/>
    </row>
    <row r="13" spans="1:14" ht="36" hidden="1" customHeight="1" x14ac:dyDescent="0.25">
      <c r="A13" s="344"/>
      <c r="B13" s="350"/>
      <c r="C13" s="350"/>
      <c r="D13" s="350"/>
      <c r="E13" s="350"/>
      <c r="F13" s="350"/>
      <c r="G13" s="350"/>
      <c r="H13" s="350"/>
      <c r="I13" s="436"/>
      <c r="J13" s="351"/>
      <c r="K13" s="365"/>
      <c r="L13" s="365"/>
      <c r="N13" s="360"/>
    </row>
    <row r="14" spans="1:14" ht="39" hidden="1" customHeight="1" x14ac:dyDescent="0.25">
      <c r="A14" s="344"/>
      <c r="B14" s="350"/>
      <c r="C14" s="350"/>
      <c r="D14" s="350"/>
      <c r="E14" s="350"/>
      <c r="F14" s="350"/>
      <c r="G14" s="350"/>
      <c r="H14" s="350"/>
      <c r="I14" s="436"/>
      <c r="J14" s="351"/>
      <c r="K14" s="110">
        <v>0</v>
      </c>
      <c r="L14" s="110">
        <v>0</v>
      </c>
      <c r="N14" s="360"/>
    </row>
    <row r="15" spans="1:14" ht="26.25" hidden="1" customHeight="1" x14ac:dyDescent="0.25">
      <c r="A15" s="851"/>
      <c r="B15" s="855"/>
      <c r="C15" s="855"/>
      <c r="D15" s="855"/>
      <c r="E15" s="855"/>
      <c r="F15" s="855"/>
      <c r="G15" s="855"/>
      <c r="H15" s="855"/>
      <c r="I15" s="436"/>
      <c r="J15" s="856"/>
      <c r="K15" s="918">
        <v>0</v>
      </c>
      <c r="L15" s="918">
        <v>0</v>
      </c>
      <c r="N15" s="360"/>
    </row>
    <row r="16" spans="1:14" ht="23.25" customHeight="1" x14ac:dyDescent="0.25">
      <c r="A16" s="82"/>
      <c r="B16" s="1342" t="s">
        <v>937</v>
      </c>
      <c r="C16" s="1342"/>
      <c r="D16" s="1342"/>
      <c r="E16" s="1342"/>
      <c r="F16" s="1342"/>
      <c r="G16" s="1342"/>
      <c r="H16" s="1342"/>
      <c r="I16" s="1342"/>
      <c r="J16" s="46">
        <f>SUM(J7:J15)</f>
        <v>3842845.6400000006</v>
      </c>
      <c r="K16" s="46">
        <f t="shared" ref="K16:L16" si="0">SUM(K7:K15)</f>
        <v>0</v>
      </c>
      <c r="L16" s="46">
        <f t="shared" si="0"/>
        <v>0</v>
      </c>
      <c r="N16" s="360"/>
    </row>
    <row r="17" spans="1:14" x14ac:dyDescent="0.25">
      <c r="B17" s="361"/>
      <c r="C17" s="361"/>
      <c r="D17" s="361"/>
      <c r="E17" s="361"/>
      <c r="F17" s="361"/>
      <c r="G17" s="361"/>
    </row>
    <row r="18" spans="1:14" x14ac:dyDescent="0.25">
      <c r="B18" s="1308" t="s">
        <v>938</v>
      </c>
      <c r="C18" s="1308"/>
      <c r="D18" s="1308"/>
      <c r="E18" s="1308"/>
      <c r="F18" s="1308"/>
      <c r="G18" s="1308"/>
      <c r="H18" s="1308"/>
      <c r="I18" s="1308"/>
      <c r="J18" s="1308"/>
    </row>
    <row r="19" spans="1:14" x14ac:dyDescent="0.25">
      <c r="A19" s="1343" t="s">
        <v>935</v>
      </c>
      <c r="B19" s="1321" t="s">
        <v>121</v>
      </c>
      <c r="C19" s="1322"/>
      <c r="D19" s="1322"/>
      <c r="E19" s="1322"/>
      <c r="F19" s="1322"/>
      <c r="G19" s="1322"/>
      <c r="H19" s="1323"/>
      <c r="I19" s="1132" t="s">
        <v>1</v>
      </c>
      <c r="J19" s="1136" t="s">
        <v>936</v>
      </c>
      <c r="K19" s="1137"/>
      <c r="L19" s="1138"/>
    </row>
    <row r="20" spans="1:14" x14ac:dyDescent="0.25">
      <c r="A20" s="1344"/>
      <c r="B20" s="1324"/>
      <c r="C20" s="1325"/>
      <c r="D20" s="1325"/>
      <c r="E20" s="1325"/>
      <c r="F20" s="1325"/>
      <c r="G20" s="1325"/>
      <c r="H20" s="1326"/>
      <c r="I20" s="1133"/>
      <c r="J20" s="694">
        <v>2019</v>
      </c>
      <c r="K20" s="78">
        <v>2020</v>
      </c>
      <c r="L20" s="78">
        <v>2021</v>
      </c>
    </row>
    <row r="21" spans="1:14" ht="21.75" hidden="1" customHeight="1" x14ac:dyDescent="0.25">
      <c r="A21" s="362"/>
      <c r="B21" s="1338"/>
      <c r="C21" s="1338"/>
      <c r="D21" s="1338"/>
      <c r="E21" s="1338"/>
      <c r="F21" s="1338"/>
      <c r="G21" s="1338"/>
      <c r="H21" s="1338"/>
      <c r="I21" s="363"/>
      <c r="J21" s="364"/>
      <c r="K21" s="110">
        <v>0</v>
      </c>
      <c r="L21" s="84">
        <v>0</v>
      </c>
      <c r="N21" s="360"/>
    </row>
    <row r="22" spans="1:14" hidden="1" x14ac:dyDescent="0.25">
      <c r="A22" s="344"/>
      <c r="B22" s="1339"/>
      <c r="C22" s="1340"/>
      <c r="D22" s="1340"/>
      <c r="E22" s="1340"/>
      <c r="F22" s="1340"/>
      <c r="G22" s="1340"/>
      <c r="H22" s="1341"/>
      <c r="I22" s="363"/>
      <c r="J22" s="364"/>
      <c r="K22" s="84"/>
      <c r="L22" s="84">
        <v>0</v>
      </c>
    </row>
    <row r="23" spans="1:14" hidden="1" x14ac:dyDescent="0.25">
      <c r="A23" s="366"/>
      <c r="B23" s="1345"/>
      <c r="C23" s="1346"/>
      <c r="D23" s="1346"/>
      <c r="E23" s="1346"/>
      <c r="F23" s="1346"/>
      <c r="G23" s="1346"/>
      <c r="H23" s="1347"/>
      <c r="I23" s="367"/>
      <c r="J23" s="41"/>
      <c r="K23" s="84"/>
      <c r="L23" s="84"/>
    </row>
    <row r="24" spans="1:14" ht="0.75" hidden="1" customHeight="1" x14ac:dyDescent="0.25">
      <c r="A24" s="366"/>
      <c r="B24" s="1345"/>
      <c r="C24" s="1346"/>
      <c r="D24" s="1346"/>
      <c r="E24" s="1346"/>
      <c r="F24" s="1346"/>
      <c r="G24" s="1346"/>
      <c r="H24" s="1347"/>
      <c r="I24" s="367"/>
      <c r="J24" s="41"/>
      <c r="K24" s="82"/>
      <c r="L24" s="82"/>
    </row>
    <row r="25" spans="1:14" hidden="1" x14ac:dyDescent="0.25">
      <c r="A25" s="82"/>
      <c r="B25" s="1345"/>
      <c r="C25" s="1346"/>
      <c r="D25" s="1346"/>
      <c r="E25" s="1346"/>
      <c r="F25" s="1346"/>
      <c r="G25" s="1346"/>
      <c r="H25" s="1346"/>
      <c r="I25" s="21"/>
      <c r="J25" s="41"/>
      <c r="K25" s="82"/>
      <c r="L25" s="82"/>
    </row>
    <row r="26" spans="1:14" x14ac:dyDescent="0.25">
      <c r="A26" s="82"/>
      <c r="B26" s="1297" t="s">
        <v>939</v>
      </c>
      <c r="C26" s="1298"/>
      <c r="D26" s="1298"/>
      <c r="E26" s="1298"/>
      <c r="F26" s="1298"/>
      <c r="G26" s="1298"/>
      <c r="H26" s="1298"/>
      <c r="I26" s="1299"/>
      <c r="J26" s="46">
        <f>SUM(J21:J25)</f>
        <v>0</v>
      </c>
      <c r="K26" s="46">
        <f>SUM(K21:K25)</f>
        <v>0</v>
      </c>
      <c r="L26" s="46">
        <f>SUM(L21:L25)</f>
        <v>0</v>
      </c>
    </row>
    <row r="27" spans="1:14" x14ac:dyDescent="0.25">
      <c r="B27" s="361"/>
      <c r="C27" s="361"/>
      <c r="D27" s="361"/>
      <c r="E27" s="361"/>
      <c r="F27" s="361"/>
      <c r="G27" s="361"/>
    </row>
    <row r="28" spans="1:14" ht="0.75" customHeight="1" x14ac:dyDescent="0.25">
      <c r="B28" s="361"/>
      <c r="C28" s="361"/>
      <c r="D28" s="361"/>
      <c r="E28" s="361"/>
      <c r="F28" s="361"/>
      <c r="G28" s="361"/>
    </row>
    <row r="29" spans="1:14" ht="23.25" customHeight="1" x14ac:dyDescent="0.25">
      <c r="B29" s="1308" t="s">
        <v>940</v>
      </c>
      <c r="C29" s="1308"/>
      <c r="D29" s="1308"/>
      <c r="E29" s="1308"/>
      <c r="F29" s="1308"/>
      <c r="G29" s="1308"/>
      <c r="H29" s="1308"/>
      <c r="I29" s="1308"/>
      <c r="J29" s="1308"/>
    </row>
    <row r="30" spans="1:14" x14ac:dyDescent="0.25">
      <c r="A30" s="1336" t="s">
        <v>935</v>
      </c>
      <c r="B30" s="1320" t="s">
        <v>941</v>
      </c>
      <c r="C30" s="1320" t="s">
        <v>134</v>
      </c>
      <c r="D30" s="1320" t="s">
        <v>264</v>
      </c>
      <c r="E30" s="1321" t="s">
        <v>197</v>
      </c>
      <c r="F30" s="1322"/>
      <c r="G30" s="1323"/>
      <c r="H30" s="1320" t="s">
        <v>225</v>
      </c>
      <c r="I30" s="1348" t="s">
        <v>1</v>
      </c>
      <c r="J30" s="1136" t="s">
        <v>936</v>
      </c>
      <c r="K30" s="1137"/>
      <c r="L30" s="1138"/>
    </row>
    <row r="31" spans="1:14" x14ac:dyDescent="0.25">
      <c r="A31" s="1337"/>
      <c r="B31" s="1320"/>
      <c r="C31" s="1320"/>
      <c r="D31" s="1320"/>
      <c r="E31" s="1324"/>
      <c r="F31" s="1325"/>
      <c r="G31" s="1326"/>
      <c r="H31" s="1320"/>
      <c r="I31" s="1348"/>
      <c r="J31" s="694">
        <v>2019</v>
      </c>
      <c r="K31" s="78">
        <v>2020</v>
      </c>
      <c r="L31" s="78">
        <v>2021</v>
      </c>
    </row>
    <row r="32" spans="1:14" x14ac:dyDescent="0.25">
      <c r="A32" s="368"/>
      <c r="B32" s="1307" t="s">
        <v>942</v>
      </c>
      <c r="C32" s="1307"/>
      <c r="D32" s="1307"/>
      <c r="E32" s="1307"/>
      <c r="F32" s="1307"/>
      <c r="G32" s="1307"/>
      <c r="H32" s="1307"/>
      <c r="I32" s="1307"/>
      <c r="J32" s="369">
        <f>SUM(J33:J39)+J40+J41+J42+J43+J46+J45+J47</f>
        <v>0</v>
      </c>
      <c r="K32" s="369">
        <f>SUM(K33:K39)+K40+K41+K42+K43+K44</f>
        <v>0</v>
      </c>
      <c r="L32" s="369">
        <f>SUM(L33:L39)+L40+L41+L42+L43+L44</f>
        <v>0</v>
      </c>
    </row>
    <row r="33" spans="1:17" ht="57.75" customHeight="1" x14ac:dyDescent="0.25">
      <c r="A33" s="1366">
        <v>1</v>
      </c>
      <c r="B33" s="1368" t="s">
        <v>15</v>
      </c>
      <c r="C33" s="1368" t="s">
        <v>122</v>
      </c>
      <c r="D33" s="1368" t="s">
        <v>130</v>
      </c>
      <c r="E33" s="1368" t="s">
        <v>1548</v>
      </c>
      <c r="F33" s="1327" t="s">
        <v>1561</v>
      </c>
      <c r="G33" s="1294"/>
      <c r="H33" s="857" t="s">
        <v>38</v>
      </c>
      <c r="I33" s="1315" t="s">
        <v>1562</v>
      </c>
      <c r="J33" s="364">
        <v>-10588.95</v>
      </c>
      <c r="K33" s="110">
        <v>0</v>
      </c>
      <c r="L33" s="110">
        <v>0</v>
      </c>
      <c r="N33" s="360"/>
      <c r="Q33" s="360"/>
    </row>
    <row r="34" spans="1:17" s="1" customFormat="1" ht="53.25" customHeight="1" x14ac:dyDescent="0.25">
      <c r="A34" s="1367"/>
      <c r="B34" s="1369"/>
      <c r="C34" s="1369"/>
      <c r="D34" s="1369"/>
      <c r="E34" s="1369"/>
      <c r="F34" s="1330"/>
      <c r="G34" s="1296"/>
      <c r="H34" s="822" t="s">
        <v>275</v>
      </c>
      <c r="I34" s="1316"/>
      <c r="J34" s="364">
        <v>10588.95</v>
      </c>
      <c r="K34" s="110">
        <v>0</v>
      </c>
      <c r="L34" s="110">
        <v>0</v>
      </c>
    </row>
    <row r="35" spans="1:17" s="1" customFormat="1" ht="99.75" hidden="1" customHeight="1" x14ac:dyDescent="0.25">
      <c r="A35" s="941"/>
      <c r="B35" s="838"/>
      <c r="C35" s="838"/>
      <c r="D35" s="838"/>
      <c r="E35" s="838"/>
      <c r="F35" s="1284"/>
      <c r="G35" s="1285"/>
      <c r="H35" s="822"/>
      <c r="I35" s="266"/>
      <c r="J35" s="823"/>
      <c r="K35" s="918">
        <v>0</v>
      </c>
      <c r="L35" s="918">
        <v>0</v>
      </c>
    </row>
    <row r="36" spans="1:17" s="1" customFormat="1" ht="78" customHeight="1" x14ac:dyDescent="0.25">
      <c r="A36" s="1373">
        <v>2</v>
      </c>
      <c r="B36" s="1368" t="s">
        <v>15</v>
      </c>
      <c r="C36" s="1368" t="s">
        <v>122</v>
      </c>
      <c r="D36" s="1368" t="s">
        <v>130</v>
      </c>
      <c r="E36" s="1368" t="s">
        <v>1548</v>
      </c>
      <c r="F36" s="1327" t="s">
        <v>1563</v>
      </c>
      <c r="G36" s="1294"/>
      <c r="H36" s="1028" t="s">
        <v>38</v>
      </c>
      <c r="I36" s="1314" t="s">
        <v>1564</v>
      </c>
      <c r="J36" s="403">
        <v>-11981.53</v>
      </c>
      <c r="K36" s="110">
        <v>0</v>
      </c>
      <c r="L36" s="110">
        <v>0</v>
      </c>
    </row>
    <row r="37" spans="1:17" s="1" customFormat="1" ht="21.75" hidden="1" customHeight="1" x14ac:dyDescent="0.25">
      <c r="A37" s="1374"/>
      <c r="B37" s="1286"/>
      <c r="C37" s="1286"/>
      <c r="D37" s="1286"/>
      <c r="E37" s="1286"/>
      <c r="F37" s="1328"/>
      <c r="G37" s="1329"/>
      <c r="H37" s="822"/>
      <c r="I37" s="1314"/>
      <c r="J37" s="403"/>
      <c r="K37" s="110"/>
      <c r="L37" s="110"/>
    </row>
    <row r="38" spans="1:17" s="1" customFormat="1" ht="79.5" customHeight="1" x14ac:dyDescent="0.25">
      <c r="A38" s="1375"/>
      <c r="B38" s="1369"/>
      <c r="C38" s="1369"/>
      <c r="D38" s="1369"/>
      <c r="E38" s="1369"/>
      <c r="F38" s="1330"/>
      <c r="G38" s="1296"/>
      <c r="H38" s="822" t="s">
        <v>275</v>
      </c>
      <c r="I38" s="1314"/>
      <c r="J38" s="403">
        <v>11981.53</v>
      </c>
      <c r="K38" s="110">
        <v>0</v>
      </c>
      <c r="L38" s="110">
        <v>0</v>
      </c>
    </row>
    <row r="39" spans="1:17" s="1" customFormat="1" ht="31.5" customHeight="1" x14ac:dyDescent="0.25">
      <c r="A39" s="1373">
        <v>3</v>
      </c>
      <c r="B39" s="1368" t="s">
        <v>15</v>
      </c>
      <c r="C39" s="1368" t="s">
        <v>122</v>
      </c>
      <c r="D39" s="1368" t="s">
        <v>123</v>
      </c>
      <c r="E39" s="1368" t="s">
        <v>1556</v>
      </c>
      <c r="F39" s="1327" t="s">
        <v>1557</v>
      </c>
      <c r="G39" s="1294"/>
      <c r="H39" s="822" t="s">
        <v>243</v>
      </c>
      <c r="I39" s="1349" t="s">
        <v>1565</v>
      </c>
      <c r="J39" s="403">
        <v>-1500</v>
      </c>
      <c r="K39" s="110">
        <v>0</v>
      </c>
      <c r="L39" s="110">
        <v>0</v>
      </c>
    </row>
    <row r="40" spans="1:17" s="1" customFormat="1" ht="36.75" hidden="1" customHeight="1" x14ac:dyDescent="0.25">
      <c r="A40" s="1374"/>
      <c r="B40" s="1286"/>
      <c r="C40" s="1286"/>
      <c r="D40" s="1286"/>
      <c r="E40" s="1286"/>
      <c r="F40" s="1328"/>
      <c r="G40" s="1329"/>
      <c r="H40" s="822"/>
      <c r="I40" s="1349"/>
      <c r="J40" s="403"/>
      <c r="K40" s="841"/>
      <c r="L40" s="841"/>
    </row>
    <row r="41" spans="1:17" s="1" customFormat="1" ht="30.75" hidden="1" customHeight="1" x14ac:dyDescent="0.25">
      <c r="A41" s="1374"/>
      <c r="B41" s="1286"/>
      <c r="C41" s="1286"/>
      <c r="D41" s="1286"/>
      <c r="E41" s="1286"/>
      <c r="F41" s="1328"/>
      <c r="G41" s="1329"/>
      <c r="H41" s="822"/>
      <c r="I41" s="1349"/>
      <c r="J41" s="403"/>
      <c r="K41" s="841"/>
      <c r="L41" s="841"/>
    </row>
    <row r="42" spans="1:17" s="1" customFormat="1" ht="155.25" hidden="1" customHeight="1" x14ac:dyDescent="0.25">
      <c r="A42" s="1374"/>
      <c r="B42" s="1286"/>
      <c r="C42" s="1286"/>
      <c r="D42" s="1286"/>
      <c r="E42" s="1286"/>
      <c r="F42" s="1328"/>
      <c r="G42" s="1329"/>
      <c r="H42" s="822"/>
      <c r="I42" s="1349"/>
      <c r="J42" s="403"/>
      <c r="K42" s="841"/>
      <c r="L42" s="841"/>
    </row>
    <row r="43" spans="1:17" s="1" customFormat="1" ht="106.5" hidden="1" customHeight="1" x14ac:dyDescent="0.25">
      <c r="A43" s="1374"/>
      <c r="B43" s="1286"/>
      <c r="C43" s="1286"/>
      <c r="D43" s="1286"/>
      <c r="E43" s="1286"/>
      <c r="F43" s="1328"/>
      <c r="G43" s="1329"/>
      <c r="H43" s="822"/>
      <c r="I43" s="1349"/>
      <c r="J43" s="403"/>
      <c r="K43" s="841"/>
      <c r="L43" s="841"/>
    </row>
    <row r="44" spans="1:17" s="1" customFormat="1" ht="103.5" hidden="1" customHeight="1" x14ac:dyDescent="0.25">
      <c r="A44" s="1374"/>
      <c r="B44" s="1286"/>
      <c r="C44" s="1286"/>
      <c r="D44" s="1286"/>
      <c r="E44" s="1286"/>
      <c r="F44" s="1328"/>
      <c r="G44" s="1329"/>
      <c r="H44" s="857"/>
      <c r="I44" s="1349"/>
      <c r="J44" s="403"/>
      <c r="K44" s="841"/>
      <c r="L44" s="841"/>
    </row>
    <row r="45" spans="1:17" s="1" customFormat="1" ht="34.5" customHeight="1" x14ac:dyDescent="0.25">
      <c r="A45" s="1375"/>
      <c r="B45" s="1369"/>
      <c r="C45" s="1369"/>
      <c r="D45" s="1369"/>
      <c r="E45" s="1369"/>
      <c r="F45" s="1330"/>
      <c r="G45" s="1296"/>
      <c r="H45" s="822" t="s">
        <v>393</v>
      </c>
      <c r="I45" s="1349"/>
      <c r="J45" s="403">
        <v>1500</v>
      </c>
      <c r="K45" s="918">
        <v>0</v>
      </c>
      <c r="L45" s="918">
        <v>0</v>
      </c>
    </row>
    <row r="46" spans="1:17" s="1" customFormat="1" ht="51.75" customHeight="1" x14ac:dyDescent="0.25">
      <c r="A46" s="1373">
        <v>4</v>
      </c>
      <c r="B46" s="1331" t="s">
        <v>15</v>
      </c>
      <c r="C46" s="1331" t="s">
        <v>122</v>
      </c>
      <c r="D46" s="1331" t="s">
        <v>130</v>
      </c>
      <c r="E46" s="1331" t="s">
        <v>1548</v>
      </c>
      <c r="F46" s="1317" t="s">
        <v>1576</v>
      </c>
      <c r="G46" s="1292"/>
      <c r="H46" s="818" t="s">
        <v>275</v>
      </c>
      <c r="I46" s="1314" t="s">
        <v>1577</v>
      </c>
      <c r="J46" s="403">
        <v>-3</v>
      </c>
      <c r="K46" s="918">
        <v>0</v>
      </c>
      <c r="L46" s="918">
        <v>0</v>
      </c>
    </row>
    <row r="47" spans="1:17" s="1" customFormat="1" ht="41.25" customHeight="1" x14ac:dyDescent="0.25">
      <c r="A47" s="1375"/>
      <c r="B47" s="1332"/>
      <c r="C47" s="1332"/>
      <c r="D47" s="1332"/>
      <c r="E47" s="1332"/>
      <c r="F47" s="1318"/>
      <c r="G47" s="1319"/>
      <c r="H47" s="818" t="s">
        <v>243</v>
      </c>
      <c r="I47" s="1314"/>
      <c r="J47" s="403">
        <v>3</v>
      </c>
      <c r="K47" s="918">
        <v>0</v>
      </c>
      <c r="L47" s="918">
        <v>0</v>
      </c>
    </row>
    <row r="48" spans="1:17" s="1" customFormat="1" ht="13.5" customHeight="1" x14ac:dyDescent="0.25">
      <c r="A48" s="842"/>
      <c r="B48" s="1309" t="s">
        <v>943</v>
      </c>
      <c r="C48" s="1310"/>
      <c r="D48" s="1310"/>
      <c r="E48" s="1310"/>
      <c r="F48" s="1310"/>
      <c r="G48" s="1310"/>
      <c r="H48" s="1310"/>
      <c r="I48" s="1311"/>
      <c r="J48" s="46">
        <f>J49+J50</f>
        <v>0</v>
      </c>
      <c r="K48" s="46">
        <f>K49+K50</f>
        <v>0</v>
      </c>
      <c r="L48" s="46">
        <f>L49+L50</f>
        <v>0</v>
      </c>
    </row>
    <row r="49" spans="1:12" s="1" customFormat="1" ht="127.5" hidden="1" customHeight="1" x14ac:dyDescent="0.3">
      <c r="A49" s="376"/>
      <c r="B49" s="372"/>
      <c r="C49" s="372"/>
      <c r="D49" s="372"/>
      <c r="E49" s="372"/>
      <c r="F49" s="1312"/>
      <c r="G49" s="1313"/>
      <c r="H49" s="372"/>
      <c r="I49" s="224"/>
      <c r="J49" s="364"/>
      <c r="K49" s="110">
        <v>0</v>
      </c>
      <c r="L49" s="110">
        <v>0</v>
      </c>
    </row>
    <row r="50" spans="1:12" s="1" customFormat="1" ht="66" hidden="1" customHeight="1" x14ac:dyDescent="0.3">
      <c r="A50" s="237"/>
      <c r="B50" s="1049"/>
      <c r="C50" s="1049"/>
      <c r="D50" s="1049"/>
      <c r="E50" s="1049"/>
      <c r="F50" s="1301"/>
      <c r="G50" s="1302"/>
      <c r="H50" s="1049"/>
      <c r="I50" s="698"/>
      <c r="J50" s="364"/>
      <c r="K50" s="365">
        <v>0</v>
      </c>
      <c r="L50" s="365">
        <v>0</v>
      </c>
    </row>
    <row r="51" spans="1:12" s="1" customFormat="1" x14ac:dyDescent="0.25">
      <c r="A51" s="378"/>
      <c r="B51" s="1303" t="s">
        <v>944</v>
      </c>
      <c r="C51" s="1304"/>
      <c r="D51" s="1304"/>
      <c r="E51" s="1304"/>
      <c r="F51" s="1304"/>
      <c r="G51" s="1304"/>
      <c r="H51" s="1304"/>
      <c r="I51" s="1304"/>
      <c r="J51" s="1048">
        <f>SUM(J53:J54)+J52+J55</f>
        <v>0</v>
      </c>
      <c r="K51" s="369">
        <f t="shared" ref="K51:L51" si="1">SUM(K53:K54)</f>
        <v>0</v>
      </c>
      <c r="L51" s="369">
        <f t="shared" si="1"/>
        <v>0</v>
      </c>
    </row>
    <row r="52" spans="1:12" s="1" customFormat="1" ht="21" hidden="1" customHeight="1" x14ac:dyDescent="0.25">
      <c r="A52" s="853"/>
      <c r="B52" s="1040"/>
      <c r="C52" s="1040"/>
      <c r="D52" s="1040"/>
      <c r="E52" s="1040"/>
      <c r="F52" s="1306"/>
      <c r="G52" s="1306"/>
      <c r="H52" s="822"/>
      <c r="I52" s="1050"/>
      <c r="J52" s="758"/>
      <c r="K52" s="854">
        <v>0</v>
      </c>
      <c r="L52" s="854">
        <v>0</v>
      </c>
    </row>
    <row r="53" spans="1:12" s="1" customFormat="1" ht="115.5" hidden="1" customHeight="1" x14ac:dyDescent="0.3">
      <c r="A53" s="426"/>
      <c r="B53" s="1004"/>
      <c r="C53" s="965"/>
      <c r="D53" s="965"/>
      <c r="E53" s="965"/>
      <c r="F53" s="1305"/>
      <c r="G53" s="1305"/>
      <c r="H53" s="1051"/>
      <c r="I53" s="1052"/>
      <c r="J53" s="758"/>
      <c r="K53" s="385">
        <v>0</v>
      </c>
      <c r="L53" s="385">
        <v>0</v>
      </c>
    </row>
    <row r="54" spans="1:12" s="1" customFormat="1" ht="18.75" hidden="1" customHeight="1" x14ac:dyDescent="0.3">
      <c r="A54" s="426"/>
      <c r="B54" s="927"/>
      <c r="C54" s="965"/>
      <c r="D54" s="965"/>
      <c r="E54" s="966"/>
      <c r="F54" s="1305"/>
      <c r="G54" s="1305"/>
      <c r="H54" s="967"/>
      <c r="I54" s="1047"/>
      <c r="J54" s="758"/>
      <c r="K54" s="385">
        <v>0</v>
      </c>
      <c r="L54" s="385">
        <v>0</v>
      </c>
    </row>
    <row r="55" spans="1:12" s="1" customFormat="1" ht="66.75" hidden="1" customHeight="1" x14ac:dyDescent="0.3">
      <c r="A55" s="963"/>
      <c r="B55" s="927"/>
      <c r="C55" s="965"/>
      <c r="D55" s="965"/>
      <c r="E55" s="966"/>
      <c r="F55" s="1305"/>
      <c r="G55" s="1305"/>
      <c r="H55" s="967"/>
      <c r="I55" s="1050"/>
      <c r="J55" s="758"/>
      <c r="K55" s="964">
        <v>0</v>
      </c>
      <c r="L55" s="964">
        <v>0</v>
      </c>
    </row>
    <row r="56" spans="1:12" s="1" customFormat="1" x14ac:dyDescent="0.25">
      <c r="A56" s="378"/>
      <c r="B56" s="1300" t="s">
        <v>945</v>
      </c>
      <c r="C56" s="1300"/>
      <c r="D56" s="1300"/>
      <c r="E56" s="1300"/>
      <c r="F56" s="1300"/>
      <c r="G56" s="1300"/>
      <c r="H56" s="1300"/>
      <c r="I56" s="1300"/>
      <c r="J56" s="1048">
        <f>SUM(J57:J62)+J63+J64+J65+J66</f>
        <v>4081811.64</v>
      </c>
      <c r="K56" s="369">
        <f t="shared" ref="K56:L56" si="2">SUM(K57:K62)</f>
        <v>0</v>
      </c>
      <c r="L56" s="369">
        <f t="shared" si="2"/>
        <v>0</v>
      </c>
    </row>
    <row r="57" spans="1:12" s="390" customFormat="1" ht="128.25" customHeight="1" x14ac:dyDescent="0.25">
      <c r="A57" s="1045">
        <v>1</v>
      </c>
      <c r="B57" s="1041" t="s">
        <v>15</v>
      </c>
      <c r="C57" s="1042" t="s">
        <v>124</v>
      </c>
      <c r="D57" s="1042" t="s">
        <v>132</v>
      </c>
      <c r="E57" s="1042" t="s">
        <v>1567</v>
      </c>
      <c r="F57" s="1435" t="s">
        <v>1568</v>
      </c>
      <c r="G57" s="1436"/>
      <c r="H57" s="1028" t="s">
        <v>243</v>
      </c>
      <c r="I57" s="452" t="s">
        <v>1569</v>
      </c>
      <c r="J57" s="364">
        <v>4081811.64</v>
      </c>
      <c r="K57" s="41">
        <v>0</v>
      </c>
      <c r="L57" s="41">
        <v>0</v>
      </c>
    </row>
    <row r="58" spans="1:12" s="390" customFormat="1" ht="113.25" hidden="1" customHeight="1" x14ac:dyDescent="0.25">
      <c r="A58" s="1045"/>
      <c r="B58" s="873"/>
      <c r="C58" s="874"/>
      <c r="D58" s="874"/>
      <c r="E58" s="874"/>
      <c r="F58" s="1339"/>
      <c r="G58" s="1341"/>
      <c r="H58" s="395"/>
      <c r="I58" s="224"/>
      <c r="J58" s="364"/>
      <c r="K58" s="41">
        <v>0</v>
      </c>
      <c r="L58" s="389">
        <v>0</v>
      </c>
    </row>
    <row r="59" spans="1:12" s="390" customFormat="1" ht="51" hidden="1" customHeight="1" x14ac:dyDescent="0.25">
      <c r="A59" s="1046"/>
      <c r="B59" s="551"/>
      <c r="C59" s="551"/>
      <c r="D59" s="551"/>
      <c r="E59" s="551"/>
      <c r="F59" s="1284"/>
      <c r="G59" s="1285"/>
      <c r="H59" s="783"/>
      <c r="I59" s="224"/>
      <c r="J59" s="364"/>
      <c r="K59" s="41">
        <v>0</v>
      </c>
      <c r="L59" s="389">
        <v>0</v>
      </c>
    </row>
    <row r="60" spans="1:12" s="390" customFormat="1" ht="48" hidden="1" customHeight="1" x14ac:dyDescent="0.25">
      <c r="A60" s="1046"/>
      <c r="B60" s="551"/>
      <c r="C60" s="759"/>
      <c r="D60" s="759"/>
      <c r="E60" s="759"/>
      <c r="F60" s="1284"/>
      <c r="G60" s="1285"/>
      <c r="H60" s="783"/>
      <c r="I60" s="450"/>
      <c r="J60" s="364"/>
      <c r="K60" s="41"/>
      <c r="L60" s="389"/>
    </row>
    <row r="61" spans="1:12" s="390" customFormat="1" ht="84" hidden="1" customHeight="1" x14ac:dyDescent="0.25">
      <c r="A61" s="1045"/>
      <c r="B61" s="838"/>
      <c r="C61" s="838"/>
      <c r="D61" s="838"/>
      <c r="E61" s="838"/>
      <c r="F61" s="1284"/>
      <c r="G61" s="1285"/>
      <c r="H61" s="998"/>
      <c r="I61" s="224"/>
      <c r="J61" s="364"/>
      <c r="K61" s="41">
        <v>0</v>
      </c>
      <c r="L61" s="389">
        <v>0</v>
      </c>
    </row>
    <row r="62" spans="1:12" ht="0.75" hidden="1" customHeight="1" x14ac:dyDescent="0.25">
      <c r="A62" s="880"/>
      <c r="B62" s="824"/>
      <c r="C62" s="825"/>
      <c r="D62" s="825"/>
      <c r="E62" s="825"/>
      <c r="F62" s="1437"/>
      <c r="G62" s="1438"/>
      <c r="H62" s="822"/>
      <c r="I62" s="828"/>
      <c r="J62" s="364"/>
      <c r="K62" s="84">
        <v>0</v>
      </c>
      <c r="L62" s="84">
        <v>0</v>
      </c>
    </row>
    <row r="63" spans="1:12" ht="29.25" hidden="1" customHeight="1" x14ac:dyDescent="0.25">
      <c r="A63" s="1377"/>
      <c r="B63" s="997"/>
      <c r="C63" s="1286"/>
      <c r="D63" s="1286"/>
      <c r="E63" s="1286"/>
      <c r="F63" s="1328"/>
      <c r="G63" s="1329"/>
      <c r="H63" s="857"/>
      <c r="I63" s="1354"/>
      <c r="J63" s="823"/>
      <c r="K63" s="852">
        <v>0</v>
      </c>
      <c r="L63" s="852">
        <v>0</v>
      </c>
    </row>
    <row r="64" spans="1:12" ht="28.5" hidden="1" customHeight="1" x14ac:dyDescent="0.25">
      <c r="A64" s="1433"/>
      <c r="B64" s="824"/>
      <c r="C64" s="1287"/>
      <c r="D64" s="1287"/>
      <c r="E64" s="1287"/>
      <c r="F64" s="1295"/>
      <c r="G64" s="1296"/>
      <c r="H64" s="822"/>
      <c r="I64" s="1417"/>
      <c r="J64" s="823"/>
      <c r="K64" s="852">
        <v>0</v>
      </c>
      <c r="L64" s="852">
        <v>0</v>
      </c>
    </row>
    <row r="65" spans="1:12" ht="19.5" hidden="1" customHeight="1" x14ac:dyDescent="0.25">
      <c r="A65" s="901"/>
      <c r="B65" s="866"/>
      <c r="C65" s="902"/>
      <c r="D65" s="902"/>
      <c r="E65" s="902"/>
      <c r="F65" s="1291"/>
      <c r="G65" s="1292"/>
      <c r="H65" s="394"/>
      <c r="I65" s="449"/>
      <c r="J65" s="823"/>
      <c r="K65" s="852">
        <v>0</v>
      </c>
      <c r="L65" s="852">
        <v>0</v>
      </c>
    </row>
    <row r="66" spans="1:12" ht="106.5" hidden="1" customHeight="1" x14ac:dyDescent="0.25">
      <c r="A66" s="733"/>
      <c r="B66" s="838"/>
      <c r="C66" s="903"/>
      <c r="D66" s="903"/>
      <c r="E66" s="903"/>
      <c r="F66" s="1284"/>
      <c r="G66" s="1285"/>
      <c r="H66" s="822"/>
      <c r="I66" s="224"/>
      <c r="J66" s="823"/>
      <c r="K66" s="852">
        <v>0</v>
      </c>
      <c r="L66" s="852">
        <v>0</v>
      </c>
    </row>
    <row r="67" spans="1:12" x14ac:dyDescent="0.25">
      <c r="A67" s="236"/>
      <c r="B67" s="1391" t="s">
        <v>946</v>
      </c>
      <c r="C67" s="1392"/>
      <c r="D67" s="1392"/>
      <c r="E67" s="1392"/>
      <c r="F67" s="1392"/>
      <c r="G67" s="1392"/>
      <c r="H67" s="1392"/>
      <c r="I67" s="1393"/>
      <c r="J67" s="46">
        <f>J68</f>
        <v>0</v>
      </c>
      <c r="K67" s="46">
        <f>K68</f>
        <v>0</v>
      </c>
      <c r="L67" s="46">
        <f>L68</f>
        <v>0</v>
      </c>
    </row>
    <row r="68" spans="1:12" ht="15" hidden="1" customHeight="1" x14ac:dyDescent="0.25">
      <c r="A68" s="344"/>
      <c r="B68" s="345"/>
      <c r="C68" s="345"/>
      <c r="D68" s="345"/>
      <c r="E68" s="345"/>
      <c r="F68" s="345"/>
      <c r="G68" s="345"/>
      <c r="H68" s="391"/>
      <c r="I68" s="396"/>
      <c r="J68" s="397"/>
      <c r="K68" s="389"/>
      <c r="L68" s="389"/>
    </row>
    <row r="69" spans="1:12" ht="4.5" hidden="1" customHeight="1" x14ac:dyDescent="0.25">
      <c r="A69" s="236"/>
      <c r="B69" s="398"/>
      <c r="C69" s="26"/>
      <c r="D69" s="26"/>
      <c r="E69" s="26"/>
      <c r="F69" s="26"/>
      <c r="G69" s="26"/>
      <c r="H69" s="103"/>
      <c r="I69" s="26"/>
      <c r="J69" s="41"/>
      <c r="K69" s="84"/>
      <c r="L69" s="84"/>
    </row>
    <row r="70" spans="1:12" ht="21" customHeight="1" x14ac:dyDescent="0.25">
      <c r="A70" s="399"/>
      <c r="B70" s="1434" t="s">
        <v>947</v>
      </c>
      <c r="C70" s="1434"/>
      <c r="D70" s="1434"/>
      <c r="E70" s="1434"/>
      <c r="F70" s="1434"/>
      <c r="G70" s="1434"/>
      <c r="H70" s="1434"/>
      <c r="I70" s="1434"/>
      <c r="J70" s="369">
        <f>SUM(J71:J109)+J110+J111+J112+J113+J114+J115+J116+J117+J118+J119+J121+J120</f>
        <v>-238966</v>
      </c>
      <c r="K70" s="369">
        <f>SUM(K71:K109)</f>
        <v>0</v>
      </c>
      <c r="L70" s="369">
        <f>SUM(L71:L109)</f>
        <v>0</v>
      </c>
    </row>
    <row r="71" spans="1:12" ht="84.75" customHeight="1" x14ac:dyDescent="0.25">
      <c r="A71" s="1366">
        <v>1</v>
      </c>
      <c r="B71" s="1368" t="s">
        <v>18</v>
      </c>
      <c r="C71" s="825" t="s">
        <v>138</v>
      </c>
      <c r="D71" s="825" t="s">
        <v>122</v>
      </c>
      <c r="E71" s="1368" t="s">
        <v>1046</v>
      </c>
      <c r="F71" s="1327" t="s">
        <v>1555</v>
      </c>
      <c r="G71" s="1294"/>
      <c r="H71" s="1431">
        <v>600</v>
      </c>
      <c r="I71" s="1430" t="s">
        <v>1566</v>
      </c>
      <c r="J71" s="403">
        <v>-5500000</v>
      </c>
      <c r="K71" s="84">
        <v>0</v>
      </c>
      <c r="L71" s="84">
        <v>0</v>
      </c>
    </row>
    <row r="72" spans="1:12" ht="90.75" customHeight="1" x14ac:dyDescent="0.25">
      <c r="A72" s="1367"/>
      <c r="B72" s="1369"/>
      <c r="C72" s="759" t="s">
        <v>138</v>
      </c>
      <c r="D72" s="759" t="s">
        <v>132</v>
      </c>
      <c r="E72" s="1369"/>
      <c r="F72" s="1330"/>
      <c r="G72" s="1296"/>
      <c r="H72" s="1432"/>
      <c r="I72" s="1430"/>
      <c r="J72" s="403">
        <v>5500000</v>
      </c>
      <c r="K72" s="84">
        <v>0</v>
      </c>
      <c r="L72" s="84">
        <v>0</v>
      </c>
    </row>
    <row r="73" spans="1:12" ht="53.25" hidden="1" customHeight="1" x14ac:dyDescent="0.25">
      <c r="A73" s="941"/>
      <c r="B73" s="825"/>
      <c r="C73" s="825"/>
      <c r="D73" s="825"/>
      <c r="E73" s="825"/>
      <c r="F73" s="825"/>
      <c r="G73" s="825"/>
      <c r="H73" s="827"/>
      <c r="I73" s="828"/>
      <c r="J73" s="403"/>
      <c r="K73" s="41">
        <v>0</v>
      </c>
      <c r="L73" s="41">
        <v>0</v>
      </c>
    </row>
    <row r="74" spans="1:12" ht="46.5" hidden="1" customHeight="1" x14ac:dyDescent="0.25">
      <c r="A74" s="941"/>
      <c r="B74" s="825"/>
      <c r="C74" s="825"/>
      <c r="D74" s="825"/>
      <c r="E74" s="825"/>
      <c r="F74" s="825"/>
      <c r="G74" s="825"/>
      <c r="H74" s="827"/>
      <c r="I74" s="828"/>
      <c r="J74" s="403"/>
      <c r="K74" s="41">
        <v>0</v>
      </c>
      <c r="L74" s="41">
        <v>0</v>
      </c>
    </row>
    <row r="75" spans="1:12" ht="39" hidden="1" customHeight="1" x14ac:dyDescent="0.25">
      <c r="A75" s="941"/>
      <c r="B75" s="825"/>
      <c r="C75" s="824"/>
      <c r="D75" s="824"/>
      <c r="E75" s="825"/>
      <c r="F75" s="825"/>
      <c r="G75" s="825"/>
      <c r="H75" s="825"/>
      <c r="I75" s="828"/>
      <c r="J75" s="403"/>
      <c r="K75" s="41">
        <v>0</v>
      </c>
      <c r="L75" s="41">
        <v>0</v>
      </c>
    </row>
    <row r="76" spans="1:12" ht="15.75" hidden="1" customHeight="1" x14ac:dyDescent="0.25">
      <c r="A76" s="941"/>
      <c r="B76" s="825"/>
      <c r="C76" s="824"/>
      <c r="D76" s="824"/>
      <c r="E76" s="825"/>
      <c r="F76" s="825"/>
      <c r="G76" s="825"/>
      <c r="H76" s="825"/>
      <c r="I76" s="828"/>
      <c r="J76" s="403"/>
      <c r="K76" s="41"/>
      <c r="L76" s="41"/>
    </row>
    <row r="77" spans="1:12" ht="0.75" hidden="1" customHeight="1" x14ac:dyDescent="0.25">
      <c r="A77" s="941"/>
      <c r="B77" s="825"/>
      <c r="C77" s="824"/>
      <c r="D77" s="824"/>
      <c r="E77" s="825"/>
      <c r="F77" s="825"/>
      <c r="G77" s="825"/>
      <c r="H77" s="825"/>
      <c r="I77" s="828"/>
      <c r="J77" s="403"/>
      <c r="K77" s="84"/>
      <c r="L77" s="84"/>
    </row>
    <row r="78" spans="1:12" ht="15.75" hidden="1" customHeight="1" x14ac:dyDescent="0.25">
      <c r="A78" s="941"/>
      <c r="B78" s="825"/>
      <c r="C78" s="824"/>
      <c r="D78" s="824"/>
      <c r="E78" s="825"/>
      <c r="F78" s="825"/>
      <c r="G78" s="825"/>
      <c r="H78" s="825"/>
      <c r="I78" s="828"/>
      <c r="J78" s="403"/>
      <c r="K78" s="84"/>
      <c r="L78" s="84"/>
    </row>
    <row r="79" spans="1:12" ht="15.75" hidden="1" customHeight="1" x14ac:dyDescent="0.25">
      <c r="A79" s="941"/>
      <c r="B79" s="825"/>
      <c r="C79" s="824"/>
      <c r="D79" s="824"/>
      <c r="E79" s="825"/>
      <c r="F79" s="825"/>
      <c r="G79" s="825"/>
      <c r="H79" s="825"/>
      <c r="I79" s="828"/>
      <c r="J79" s="403"/>
      <c r="K79" s="84"/>
      <c r="L79" s="84"/>
    </row>
    <row r="80" spans="1:12" ht="15.75" hidden="1" customHeight="1" x14ac:dyDescent="0.25">
      <c r="A80" s="941"/>
      <c r="B80" s="825"/>
      <c r="C80" s="824"/>
      <c r="D80" s="824"/>
      <c r="E80" s="825"/>
      <c r="F80" s="825"/>
      <c r="G80" s="825"/>
      <c r="H80" s="825"/>
      <c r="I80" s="828"/>
      <c r="J80" s="403"/>
      <c r="K80" s="389"/>
      <c r="L80" s="389"/>
    </row>
    <row r="81" spans="1:12" ht="15.75" hidden="1" customHeight="1" x14ac:dyDescent="0.25">
      <c r="A81" s="941"/>
      <c r="B81" s="825"/>
      <c r="C81" s="824"/>
      <c r="D81" s="824"/>
      <c r="E81" s="825"/>
      <c r="F81" s="825"/>
      <c r="G81" s="825"/>
      <c r="H81" s="825"/>
      <c r="I81" s="828"/>
      <c r="J81" s="403"/>
      <c r="K81" s="84"/>
      <c r="L81" s="84"/>
    </row>
    <row r="82" spans="1:12" ht="15.75" hidden="1" customHeight="1" x14ac:dyDescent="0.25">
      <c r="A82" s="941"/>
      <c r="B82" s="825"/>
      <c r="C82" s="824"/>
      <c r="D82" s="824"/>
      <c r="E82" s="825"/>
      <c r="F82" s="825"/>
      <c r="G82" s="825"/>
      <c r="H82" s="825"/>
      <c r="I82" s="828"/>
      <c r="J82" s="403"/>
      <c r="K82" s="389"/>
      <c r="L82" s="389"/>
    </row>
    <row r="83" spans="1:12" ht="15.75" hidden="1" customHeight="1" x14ac:dyDescent="0.25">
      <c r="A83" s="941"/>
      <c r="B83" s="825"/>
      <c r="C83" s="824"/>
      <c r="D83" s="824"/>
      <c r="E83" s="825"/>
      <c r="F83" s="825"/>
      <c r="G83" s="825"/>
      <c r="H83" s="825"/>
      <c r="I83" s="828"/>
      <c r="J83" s="403"/>
      <c r="K83" s="389"/>
      <c r="L83" s="389"/>
    </row>
    <row r="84" spans="1:12" ht="15.75" hidden="1" customHeight="1" x14ac:dyDescent="0.25">
      <c r="A84" s="941"/>
      <c r="B84" s="825"/>
      <c r="C84" s="824"/>
      <c r="D84" s="824"/>
      <c r="E84" s="825"/>
      <c r="F84" s="825"/>
      <c r="G84" s="825"/>
      <c r="H84" s="825"/>
      <c r="I84" s="828"/>
      <c r="J84" s="403"/>
      <c r="K84" s="84"/>
      <c r="L84" s="84"/>
    </row>
    <row r="85" spans="1:12" ht="15.75" hidden="1" customHeight="1" x14ac:dyDescent="0.25">
      <c r="A85" s="941"/>
      <c r="B85" s="825"/>
      <c r="C85" s="824"/>
      <c r="D85" s="824"/>
      <c r="E85" s="825"/>
      <c r="F85" s="825"/>
      <c r="G85" s="825"/>
      <c r="H85" s="825"/>
      <c r="I85" s="828"/>
      <c r="J85" s="403"/>
      <c r="K85" s="84"/>
      <c r="L85" s="84"/>
    </row>
    <row r="86" spans="1:12" ht="15.75" hidden="1" customHeight="1" x14ac:dyDescent="0.25">
      <c r="A86" s="941"/>
      <c r="B86" s="825"/>
      <c r="C86" s="824"/>
      <c r="D86" s="824"/>
      <c r="E86" s="825"/>
      <c r="F86" s="825"/>
      <c r="G86" s="825"/>
      <c r="H86" s="825"/>
      <c r="I86" s="828"/>
      <c r="J86" s="403"/>
      <c r="K86" s="84"/>
      <c r="L86" s="84"/>
    </row>
    <row r="87" spans="1:12" ht="15.75" hidden="1" customHeight="1" x14ac:dyDescent="0.25">
      <c r="A87" s="941"/>
      <c r="B87" s="825"/>
      <c r="C87" s="824"/>
      <c r="D87" s="824"/>
      <c r="E87" s="825"/>
      <c r="F87" s="825"/>
      <c r="G87" s="825"/>
      <c r="H87" s="825"/>
      <c r="I87" s="828"/>
      <c r="J87" s="403"/>
      <c r="K87" s="84"/>
      <c r="L87" s="84"/>
    </row>
    <row r="88" spans="1:12" ht="15.75" hidden="1" customHeight="1" x14ac:dyDescent="0.25">
      <c r="A88" s="941"/>
      <c r="B88" s="825"/>
      <c r="C88" s="824"/>
      <c r="D88" s="824"/>
      <c r="E88" s="825"/>
      <c r="F88" s="825"/>
      <c r="G88" s="825"/>
      <c r="H88" s="825"/>
      <c r="I88" s="828"/>
      <c r="J88" s="403"/>
      <c r="K88" s="84"/>
      <c r="L88" s="84"/>
    </row>
    <row r="89" spans="1:12" ht="15.75" hidden="1" customHeight="1" x14ac:dyDescent="0.25">
      <c r="A89" s="941"/>
      <c r="B89" s="825"/>
      <c r="C89" s="824"/>
      <c r="D89" s="824"/>
      <c r="E89" s="825"/>
      <c r="F89" s="825"/>
      <c r="G89" s="825"/>
      <c r="H89" s="825"/>
      <c r="I89" s="828"/>
      <c r="J89" s="403"/>
      <c r="K89" s="84"/>
      <c r="L89" s="84"/>
    </row>
    <row r="90" spans="1:12" ht="15.75" hidden="1" customHeight="1" x14ac:dyDescent="0.25">
      <c r="A90" s="941"/>
      <c r="B90" s="825"/>
      <c r="C90" s="824"/>
      <c r="D90" s="824"/>
      <c r="E90" s="825"/>
      <c r="F90" s="825"/>
      <c r="G90" s="825"/>
      <c r="H90" s="825"/>
      <c r="I90" s="828"/>
      <c r="J90" s="403"/>
      <c r="K90" s="84"/>
      <c r="L90" s="84"/>
    </row>
    <row r="91" spans="1:12" ht="15.75" hidden="1" customHeight="1" x14ac:dyDescent="0.25">
      <c r="A91" s="941"/>
      <c r="B91" s="825"/>
      <c r="C91" s="824"/>
      <c r="D91" s="824"/>
      <c r="E91" s="825"/>
      <c r="F91" s="825"/>
      <c r="G91" s="825"/>
      <c r="H91" s="825"/>
      <c r="I91" s="828"/>
      <c r="J91" s="403"/>
      <c r="K91" s="84"/>
      <c r="L91" s="84"/>
    </row>
    <row r="92" spans="1:12" ht="15.75" hidden="1" customHeight="1" x14ac:dyDescent="0.25">
      <c r="A92" s="941"/>
      <c r="B92" s="825"/>
      <c r="C92" s="824"/>
      <c r="D92" s="824"/>
      <c r="E92" s="825"/>
      <c r="F92" s="825"/>
      <c r="G92" s="825"/>
      <c r="H92" s="825"/>
      <c r="I92" s="828"/>
      <c r="J92" s="403"/>
      <c r="K92" s="84"/>
      <c r="L92" s="84"/>
    </row>
    <row r="93" spans="1:12" ht="15.75" hidden="1" customHeight="1" x14ac:dyDescent="0.25">
      <c r="A93" s="941"/>
      <c r="B93" s="825"/>
      <c r="C93" s="824"/>
      <c r="D93" s="824"/>
      <c r="E93" s="825"/>
      <c r="F93" s="825"/>
      <c r="G93" s="825"/>
      <c r="H93" s="825"/>
      <c r="I93" s="828"/>
      <c r="J93" s="403"/>
      <c r="K93" s="84"/>
      <c r="L93" s="84"/>
    </row>
    <row r="94" spans="1:12" ht="15.75" hidden="1" customHeight="1" x14ac:dyDescent="0.25">
      <c r="A94" s="941"/>
      <c r="B94" s="825"/>
      <c r="C94" s="829"/>
      <c r="D94" s="829"/>
      <c r="E94" s="825"/>
      <c r="F94" s="825"/>
      <c r="G94" s="825"/>
      <c r="H94" s="825"/>
      <c r="I94" s="828"/>
      <c r="J94" s="403"/>
      <c r="K94" s="84"/>
      <c r="L94" s="84"/>
    </row>
    <row r="95" spans="1:12" ht="81.75" hidden="1" customHeight="1" x14ac:dyDescent="0.25">
      <c r="A95" s="941"/>
      <c r="B95" s="838"/>
      <c r="C95" s="838"/>
      <c r="D95" s="838"/>
      <c r="E95" s="838"/>
      <c r="F95" s="1284"/>
      <c r="G95" s="1285"/>
      <c r="H95" s="822"/>
      <c r="I95" s="224"/>
      <c r="J95" s="403"/>
      <c r="K95" s="84">
        <v>0</v>
      </c>
      <c r="L95" s="84">
        <v>0</v>
      </c>
    </row>
    <row r="96" spans="1:12" ht="87" hidden="1" customHeight="1" x14ac:dyDescent="0.25">
      <c r="A96" s="941"/>
      <c r="B96" s="838"/>
      <c r="C96" s="838"/>
      <c r="D96" s="838"/>
      <c r="E96" s="838"/>
      <c r="F96" s="1284"/>
      <c r="G96" s="1285"/>
      <c r="H96" s="822"/>
      <c r="I96" s="224"/>
      <c r="J96" s="403"/>
      <c r="K96" s="84">
        <v>0</v>
      </c>
      <c r="L96" s="84">
        <v>0</v>
      </c>
    </row>
    <row r="97" spans="1:14" ht="79.5" hidden="1" customHeight="1" x14ac:dyDescent="0.25">
      <c r="A97" s="941"/>
      <c r="B97" s="838"/>
      <c r="C97" s="838"/>
      <c r="D97" s="838"/>
      <c r="E97" s="838"/>
      <c r="F97" s="1284"/>
      <c r="G97" s="1285"/>
      <c r="H97" s="822"/>
      <c r="I97" s="224"/>
      <c r="J97" s="403"/>
      <c r="K97" s="84">
        <v>0</v>
      </c>
      <c r="L97" s="84">
        <v>0</v>
      </c>
    </row>
    <row r="98" spans="1:14" ht="4.5" hidden="1" customHeight="1" x14ac:dyDescent="0.25">
      <c r="A98" s="941"/>
      <c r="B98" s="838"/>
      <c r="C98" s="838"/>
      <c r="D98" s="838"/>
      <c r="E98" s="838"/>
      <c r="F98" s="1284"/>
      <c r="G98" s="1285"/>
      <c r="H98" s="822"/>
      <c r="I98" s="224"/>
      <c r="J98" s="403"/>
      <c r="K98" s="84">
        <v>0</v>
      </c>
      <c r="L98" s="84">
        <v>0</v>
      </c>
    </row>
    <row r="99" spans="1:14" ht="93.75" hidden="1" customHeight="1" x14ac:dyDescent="0.25">
      <c r="A99" s="941"/>
      <c r="B99" s="838"/>
      <c r="C99" s="824"/>
      <c r="D99" s="824"/>
      <c r="E99" s="838"/>
      <c r="F99" s="1284"/>
      <c r="G99" s="1285"/>
      <c r="H99" s="838"/>
      <c r="I99" s="904"/>
      <c r="J99" s="706"/>
      <c r="K99" s="219">
        <v>0</v>
      </c>
      <c r="L99" s="219">
        <v>0</v>
      </c>
    </row>
    <row r="100" spans="1:14" ht="43.5" hidden="1" customHeight="1" x14ac:dyDescent="0.25">
      <c r="A100" s="1370"/>
      <c r="B100" s="1372"/>
      <c r="C100" s="1372"/>
      <c r="D100" s="1372"/>
      <c r="E100" s="1372"/>
      <c r="F100" s="1293"/>
      <c r="G100" s="1294"/>
      <c r="H100" s="816"/>
      <c r="I100" s="1333"/>
      <c r="J100" s="403"/>
      <c r="K100" s="229">
        <v>0</v>
      </c>
      <c r="L100" s="229">
        <v>0</v>
      </c>
    </row>
    <row r="101" spans="1:14" ht="34.5" hidden="1" customHeight="1" x14ac:dyDescent="0.25">
      <c r="A101" s="1371"/>
      <c r="B101" s="1287"/>
      <c r="C101" s="1287"/>
      <c r="D101" s="1287"/>
      <c r="E101" s="1287"/>
      <c r="F101" s="1295"/>
      <c r="G101" s="1296"/>
      <c r="H101" s="555"/>
      <c r="I101" s="1334"/>
      <c r="J101" s="403"/>
      <c r="K101" s="84">
        <v>0</v>
      </c>
      <c r="L101" s="84">
        <v>0</v>
      </c>
    </row>
    <row r="102" spans="1:14" ht="16.5" hidden="1" customHeight="1" x14ac:dyDescent="0.25">
      <c r="A102" s="471"/>
      <c r="B102" s="387"/>
      <c r="C102" s="387"/>
      <c r="D102" s="387"/>
      <c r="E102" s="387"/>
      <c r="F102" s="1290"/>
      <c r="G102" s="1285"/>
      <c r="H102" s="555"/>
      <c r="I102" s="449"/>
      <c r="J102" s="403"/>
      <c r="K102" s="84"/>
      <c r="L102" s="84"/>
    </row>
    <row r="103" spans="1:14" ht="0.75" hidden="1" customHeight="1" x14ac:dyDescent="0.25">
      <c r="A103" s="471"/>
      <c r="B103" s="387"/>
      <c r="C103" s="387"/>
      <c r="D103" s="387"/>
      <c r="E103" s="387"/>
      <c r="F103" s="1290"/>
      <c r="G103" s="1285"/>
      <c r="H103" s="395"/>
      <c r="I103" s="495"/>
      <c r="J103" s="403"/>
      <c r="K103" s="365"/>
      <c r="L103" s="365"/>
    </row>
    <row r="104" spans="1:14" ht="0.75" hidden="1" customHeight="1" x14ac:dyDescent="0.25">
      <c r="A104" s="471"/>
      <c r="B104" s="387"/>
      <c r="C104" s="387"/>
      <c r="D104" s="387"/>
      <c r="E104" s="387"/>
      <c r="F104" s="1290"/>
      <c r="G104" s="1285"/>
      <c r="H104" s="395"/>
      <c r="I104" s="450"/>
      <c r="J104" s="403"/>
      <c r="K104" s="365"/>
      <c r="L104" s="365"/>
    </row>
    <row r="105" spans="1:14" ht="69" hidden="1" customHeight="1" x14ac:dyDescent="0.25">
      <c r="A105" s="471"/>
      <c r="B105" s="387"/>
      <c r="C105" s="387"/>
      <c r="D105" s="387"/>
      <c r="E105" s="387"/>
      <c r="F105" s="1290"/>
      <c r="G105" s="1285"/>
      <c r="H105" s="395"/>
      <c r="I105" s="224"/>
      <c r="J105" s="403"/>
      <c r="K105" s="365"/>
      <c r="L105" s="365"/>
    </row>
    <row r="106" spans="1:14" ht="126.75" hidden="1" customHeight="1" x14ac:dyDescent="0.25">
      <c r="A106" s="471"/>
      <c r="B106" s="387"/>
      <c r="C106" s="387"/>
      <c r="D106" s="387"/>
      <c r="E106" s="387"/>
      <c r="F106" s="1290"/>
      <c r="G106" s="1285"/>
      <c r="H106" s="395"/>
      <c r="I106" s="224"/>
      <c r="J106" s="403"/>
      <c r="K106" s="84"/>
      <c r="L106" s="84"/>
    </row>
    <row r="107" spans="1:14" ht="85.5" hidden="1" customHeight="1" x14ac:dyDescent="0.25">
      <c r="A107" s="471"/>
      <c r="B107" s="387"/>
      <c r="C107" s="387"/>
      <c r="D107" s="387"/>
      <c r="E107" s="387"/>
      <c r="F107" s="1290"/>
      <c r="G107" s="1285"/>
      <c r="H107" s="555"/>
      <c r="I107" s="416"/>
      <c r="J107" s="406"/>
      <c r="K107" s="84"/>
      <c r="L107" s="84"/>
    </row>
    <row r="108" spans="1:14" ht="78.75" hidden="1" customHeight="1" x14ac:dyDescent="0.25">
      <c r="A108" s="471"/>
      <c r="B108" s="387"/>
      <c r="C108" s="387"/>
      <c r="D108" s="387"/>
      <c r="E108" s="387"/>
      <c r="F108" s="1290"/>
      <c r="G108" s="1285"/>
      <c r="H108" s="555"/>
      <c r="I108" s="416"/>
      <c r="J108" s="403"/>
      <c r="K108" s="365"/>
      <c r="L108" s="365"/>
    </row>
    <row r="109" spans="1:14" ht="81.75" hidden="1" customHeight="1" x14ac:dyDescent="0.25">
      <c r="A109" s="1043"/>
      <c r="B109" s="393"/>
      <c r="C109" s="393"/>
      <c r="D109" s="393"/>
      <c r="E109" s="393"/>
      <c r="F109" s="1291"/>
      <c r="G109" s="1292"/>
      <c r="H109" s="701"/>
      <c r="I109" s="449"/>
      <c r="J109" s="403"/>
      <c r="K109" s="365"/>
      <c r="L109" s="365"/>
      <c r="N109" s="360"/>
    </row>
    <row r="110" spans="1:14" ht="12" hidden="1" customHeight="1" x14ac:dyDescent="0.25">
      <c r="A110" s="471"/>
      <c r="B110" s="387"/>
      <c r="C110" s="387"/>
      <c r="D110" s="387"/>
      <c r="E110" s="387"/>
      <c r="F110" s="1290"/>
      <c r="G110" s="1285"/>
      <c r="H110" s="699"/>
      <c r="I110" s="224"/>
      <c r="J110" s="403"/>
      <c r="K110" s="110"/>
      <c r="L110" s="110"/>
      <c r="N110" s="360"/>
    </row>
    <row r="111" spans="1:14" ht="0.75" hidden="1" customHeight="1" x14ac:dyDescent="0.25">
      <c r="A111" s="471"/>
      <c r="B111" s="702"/>
      <c r="C111" s="703"/>
      <c r="D111" s="703"/>
      <c r="E111" s="703"/>
      <c r="F111" s="1288"/>
      <c r="G111" s="1289"/>
      <c r="H111" s="394"/>
      <c r="I111" s="704"/>
      <c r="J111" s="364"/>
      <c r="K111" s="110"/>
      <c r="L111" s="110"/>
      <c r="N111" s="360"/>
    </row>
    <row r="112" spans="1:14" ht="132.75" customHeight="1" x14ac:dyDescent="0.25">
      <c r="A112" s="471">
        <v>2</v>
      </c>
      <c r="B112" s="410" t="s">
        <v>18</v>
      </c>
      <c r="C112" s="410" t="s">
        <v>138</v>
      </c>
      <c r="D112" s="410" t="s">
        <v>132</v>
      </c>
      <c r="E112" s="410" t="s">
        <v>1593</v>
      </c>
      <c r="F112" s="1339" t="s">
        <v>1594</v>
      </c>
      <c r="G112" s="1341"/>
      <c r="H112" s="395" t="s">
        <v>294</v>
      </c>
      <c r="I112" s="449" t="s">
        <v>1596</v>
      </c>
      <c r="J112" s="364">
        <v>-238966</v>
      </c>
      <c r="K112" s="110">
        <v>0</v>
      </c>
      <c r="L112" s="110">
        <v>0</v>
      </c>
      <c r="N112" s="360"/>
    </row>
    <row r="113" spans="1:14" ht="98.25" customHeight="1" x14ac:dyDescent="0.25">
      <c r="A113" s="1428">
        <v>3</v>
      </c>
      <c r="B113" s="1426" t="s">
        <v>18</v>
      </c>
      <c r="C113" s="1426" t="s">
        <v>138</v>
      </c>
      <c r="D113" s="1426" t="s">
        <v>132</v>
      </c>
      <c r="E113" s="1078" t="s">
        <v>1597</v>
      </c>
      <c r="F113" s="1282" t="s">
        <v>1598</v>
      </c>
      <c r="G113" s="1283"/>
      <c r="H113" s="1327" t="s">
        <v>294</v>
      </c>
      <c r="I113" s="1050" t="s">
        <v>1602</v>
      </c>
      <c r="J113" s="364">
        <v>-100000</v>
      </c>
      <c r="K113" s="110">
        <v>0</v>
      </c>
      <c r="L113" s="110">
        <v>0</v>
      </c>
      <c r="N113" s="360"/>
    </row>
    <row r="114" spans="1:14" ht="123.75" customHeight="1" x14ac:dyDescent="0.25">
      <c r="A114" s="1429"/>
      <c r="B114" s="1427"/>
      <c r="C114" s="1427"/>
      <c r="D114" s="1427"/>
      <c r="E114" s="1084" t="s">
        <v>1599</v>
      </c>
      <c r="F114" s="1418" t="s">
        <v>1600</v>
      </c>
      <c r="G114" s="1419"/>
      <c r="H114" s="1425"/>
      <c r="I114" s="1050" t="s">
        <v>1603</v>
      </c>
      <c r="J114" s="364">
        <v>-420910.51</v>
      </c>
      <c r="K114" s="110">
        <v>0</v>
      </c>
      <c r="L114" s="110">
        <v>0</v>
      </c>
      <c r="N114" s="360"/>
    </row>
    <row r="115" spans="1:14" ht="118.5" customHeight="1" x14ac:dyDescent="0.25">
      <c r="A115" s="1380"/>
      <c r="B115" s="1359"/>
      <c r="C115" s="1359"/>
      <c r="D115" s="1359"/>
      <c r="E115" s="1078" t="s">
        <v>1593</v>
      </c>
      <c r="F115" s="1282" t="s">
        <v>1601</v>
      </c>
      <c r="G115" s="1283"/>
      <c r="H115" s="1330"/>
      <c r="I115" s="1077" t="s">
        <v>1604</v>
      </c>
      <c r="J115" s="364">
        <v>520910.51</v>
      </c>
      <c r="K115" s="110">
        <v>0</v>
      </c>
      <c r="L115" s="110">
        <v>0</v>
      </c>
      <c r="N115" s="360"/>
    </row>
    <row r="116" spans="1:14" ht="41.25" hidden="1" customHeight="1" x14ac:dyDescent="0.25">
      <c r="A116" s="1343"/>
      <c r="B116" s="1356"/>
      <c r="C116" s="1358"/>
      <c r="D116" s="1358"/>
      <c r="E116" s="1358"/>
      <c r="F116" s="1420"/>
      <c r="G116" s="1283"/>
      <c r="H116" s="394"/>
      <c r="I116" s="1350"/>
      <c r="J116" s="384"/>
      <c r="K116" s="918">
        <v>0</v>
      </c>
      <c r="L116" s="918">
        <v>0</v>
      </c>
      <c r="N116" s="360"/>
    </row>
    <row r="117" spans="1:14" ht="44.25" hidden="1" customHeight="1" x14ac:dyDescent="0.25">
      <c r="A117" s="1380"/>
      <c r="B117" s="1357"/>
      <c r="C117" s="1359"/>
      <c r="D117" s="1359"/>
      <c r="E117" s="1359"/>
      <c r="F117" s="1362"/>
      <c r="G117" s="1363"/>
      <c r="H117" s="822"/>
      <c r="I117" s="1351"/>
      <c r="J117" s="823"/>
      <c r="K117" s="918">
        <v>0</v>
      </c>
      <c r="L117" s="918">
        <v>0</v>
      </c>
      <c r="N117" s="360"/>
    </row>
    <row r="118" spans="1:14" ht="87" hidden="1" customHeight="1" x14ac:dyDescent="0.25">
      <c r="A118" s="941"/>
      <c r="B118" s="821"/>
      <c r="C118" s="821"/>
      <c r="D118" s="821"/>
      <c r="E118" s="821"/>
      <c r="F118" s="1406"/>
      <c r="G118" s="1341"/>
      <c r="H118" s="822"/>
      <c r="I118" s="224"/>
      <c r="J118" s="823"/>
      <c r="K118" s="918">
        <v>0</v>
      </c>
      <c r="L118" s="918">
        <v>0</v>
      </c>
      <c r="N118" s="360"/>
    </row>
    <row r="119" spans="1:14" ht="48.75" hidden="1" customHeight="1" x14ac:dyDescent="0.25">
      <c r="A119" s="820"/>
      <c r="B119" s="821"/>
      <c r="C119" s="821"/>
      <c r="D119" s="821"/>
      <c r="E119" s="821"/>
      <c r="F119" s="1406"/>
      <c r="G119" s="1341"/>
      <c r="H119" s="822"/>
      <c r="I119" s="224"/>
      <c r="J119" s="823"/>
      <c r="K119" s="918">
        <v>0</v>
      </c>
      <c r="L119" s="918">
        <v>0</v>
      </c>
      <c r="N119" s="360"/>
    </row>
    <row r="120" spans="1:14" ht="114" hidden="1" customHeight="1" x14ac:dyDescent="0.25">
      <c r="A120" s="820"/>
      <c r="B120" s="821"/>
      <c r="C120" s="821"/>
      <c r="D120" s="821"/>
      <c r="E120" s="821"/>
      <c r="F120" s="1406"/>
      <c r="G120" s="1341"/>
      <c r="H120" s="822"/>
      <c r="I120" s="224"/>
      <c r="J120" s="823"/>
      <c r="K120" s="918">
        <v>0</v>
      </c>
      <c r="L120" s="918">
        <v>0</v>
      </c>
      <c r="N120" s="360"/>
    </row>
    <row r="121" spans="1:14" ht="100.5" hidden="1" customHeight="1" x14ac:dyDescent="0.25">
      <c r="A121" s="820"/>
      <c r="B121" s="821"/>
      <c r="C121" s="821"/>
      <c r="D121" s="821"/>
      <c r="E121" s="821"/>
      <c r="F121" s="1406"/>
      <c r="G121" s="1341"/>
      <c r="H121" s="822"/>
      <c r="I121" s="499"/>
      <c r="J121" s="823"/>
      <c r="K121" s="918">
        <v>0</v>
      </c>
      <c r="L121" s="918">
        <v>0</v>
      </c>
      <c r="N121" s="360"/>
    </row>
    <row r="122" spans="1:14" ht="25.5" customHeight="1" x14ac:dyDescent="0.25">
      <c r="A122" s="236"/>
      <c r="B122" s="1421" t="s">
        <v>948</v>
      </c>
      <c r="C122" s="1422"/>
      <c r="D122" s="1422"/>
      <c r="E122" s="1422"/>
      <c r="F122" s="1422"/>
      <c r="G122" s="1422"/>
      <c r="H122" s="1422"/>
      <c r="I122" s="1423"/>
      <c r="J122" s="46">
        <f>SUM(J123:J129)</f>
        <v>0</v>
      </c>
      <c r="K122" s="46">
        <f t="shared" ref="K122:L122" si="3">SUM(K123:K129)</f>
        <v>0</v>
      </c>
      <c r="L122" s="46">
        <f t="shared" si="3"/>
        <v>0</v>
      </c>
    </row>
    <row r="123" spans="1:14" ht="0.75" hidden="1" customHeight="1" x14ac:dyDescent="0.25">
      <c r="A123" s="820"/>
      <c r="B123" s="905"/>
      <c r="C123" s="905"/>
      <c r="D123" s="905"/>
      <c r="E123" s="905"/>
      <c r="F123" s="905"/>
      <c r="G123" s="905"/>
      <c r="H123" s="822"/>
      <c r="I123" s="910"/>
      <c r="J123" s="364"/>
      <c r="K123" s="84">
        <v>0</v>
      </c>
      <c r="L123" s="84">
        <v>0</v>
      </c>
    </row>
    <row r="124" spans="1:14" ht="62.25" customHeight="1" x14ac:dyDescent="0.25">
      <c r="A124" s="1376">
        <v>1</v>
      </c>
      <c r="B124" s="905" t="s">
        <v>16</v>
      </c>
      <c r="C124" s="1358" t="s">
        <v>126</v>
      </c>
      <c r="D124" s="1358" t="s">
        <v>122</v>
      </c>
      <c r="E124" s="1358" t="s">
        <v>1572</v>
      </c>
      <c r="F124" s="1282" t="s">
        <v>1573</v>
      </c>
      <c r="G124" s="1283"/>
      <c r="H124" s="822" t="s">
        <v>427</v>
      </c>
      <c r="I124" s="1353" t="s">
        <v>1684</v>
      </c>
      <c r="J124" s="823">
        <v>-77600</v>
      </c>
      <c r="K124" s="852">
        <v>0</v>
      </c>
      <c r="L124" s="852">
        <v>0</v>
      </c>
    </row>
    <row r="125" spans="1:14" ht="56.25" hidden="1" customHeight="1" x14ac:dyDescent="0.25">
      <c r="A125" s="1377"/>
      <c r="B125" s="905"/>
      <c r="C125" s="1379"/>
      <c r="D125" s="1379"/>
      <c r="E125" s="1379"/>
      <c r="F125" s="1360"/>
      <c r="G125" s="1361"/>
      <c r="H125" s="822"/>
      <c r="I125" s="1354"/>
      <c r="J125" s="823"/>
      <c r="K125" s="852">
        <v>0</v>
      </c>
      <c r="L125" s="852">
        <v>0</v>
      </c>
    </row>
    <row r="126" spans="1:14" ht="126.75" hidden="1" customHeight="1" x14ac:dyDescent="0.25">
      <c r="A126" s="1377"/>
      <c r="B126" s="905"/>
      <c r="C126" s="1379"/>
      <c r="D126" s="1379"/>
      <c r="E126" s="1379"/>
      <c r="F126" s="1360"/>
      <c r="G126" s="1361"/>
      <c r="H126" s="822"/>
      <c r="I126" s="1354"/>
      <c r="J126" s="823"/>
      <c r="K126" s="852">
        <v>0</v>
      </c>
      <c r="L126" s="852">
        <v>0</v>
      </c>
    </row>
    <row r="127" spans="1:14" ht="23.25" hidden="1" customHeight="1" x14ac:dyDescent="0.25">
      <c r="A127" s="1377"/>
      <c r="B127" s="905"/>
      <c r="C127" s="1379"/>
      <c r="D127" s="1379"/>
      <c r="E127" s="1379"/>
      <c r="F127" s="1360"/>
      <c r="G127" s="1361"/>
      <c r="H127" s="822"/>
      <c r="I127" s="1354"/>
      <c r="J127" s="823"/>
      <c r="K127" s="852"/>
      <c r="L127" s="852"/>
    </row>
    <row r="128" spans="1:14" ht="42" customHeight="1" x14ac:dyDescent="0.25">
      <c r="A128" s="1378"/>
      <c r="B128" s="905" t="s">
        <v>15</v>
      </c>
      <c r="C128" s="1359"/>
      <c r="D128" s="1359"/>
      <c r="E128" s="1359"/>
      <c r="F128" s="1362"/>
      <c r="G128" s="1363"/>
      <c r="H128" s="822" t="s">
        <v>275</v>
      </c>
      <c r="I128" s="1355"/>
      <c r="J128" s="823">
        <v>77600</v>
      </c>
      <c r="K128" s="852">
        <v>0</v>
      </c>
      <c r="L128" s="852">
        <v>0</v>
      </c>
    </row>
    <row r="129" spans="1:14" ht="48.75" hidden="1" customHeight="1" x14ac:dyDescent="0.25">
      <c r="A129" s="820"/>
      <c r="B129" s="821"/>
      <c r="C129" s="906"/>
      <c r="D129" s="906"/>
      <c r="E129" s="906"/>
      <c r="F129" s="906"/>
      <c r="G129" s="906"/>
      <c r="H129" s="822"/>
      <c r="I129" s="828"/>
      <c r="J129" s="364"/>
      <c r="K129" s="84"/>
      <c r="L129" s="84"/>
    </row>
    <row r="130" spans="1:14" ht="15" customHeight="1" x14ac:dyDescent="0.25">
      <c r="A130" s="236"/>
      <c r="B130" s="1411" t="s">
        <v>949</v>
      </c>
      <c r="C130" s="1412"/>
      <c r="D130" s="1412"/>
      <c r="E130" s="1412"/>
      <c r="F130" s="1412"/>
      <c r="G130" s="1412"/>
      <c r="H130" s="1412"/>
      <c r="I130" s="1413"/>
      <c r="J130" s="46">
        <f>J136</f>
        <v>0</v>
      </c>
      <c r="K130" s="46">
        <f>K131+K132+K133</f>
        <v>0</v>
      </c>
      <c r="L130" s="46">
        <f>L131+L132+L133</f>
        <v>0</v>
      </c>
    </row>
    <row r="131" spans="1:14" ht="14.25" hidden="1" customHeight="1" x14ac:dyDescent="0.25">
      <c r="A131" s="236"/>
      <c r="B131" s="98"/>
      <c r="C131" s="98"/>
      <c r="D131" s="98"/>
      <c r="E131" s="98"/>
      <c r="F131" s="1414"/>
      <c r="G131" s="1415"/>
      <c r="H131" s="707"/>
      <c r="I131" s="36"/>
      <c r="J131" s="364"/>
      <c r="K131" s="84"/>
      <c r="L131" s="84"/>
    </row>
    <row r="132" spans="1:14" hidden="1" x14ac:dyDescent="0.25">
      <c r="A132" s="414"/>
      <c r="B132" s="98"/>
      <c r="C132" s="98"/>
      <c r="D132" s="98"/>
      <c r="E132" s="98"/>
      <c r="F132" s="98"/>
      <c r="G132" s="708"/>
      <c r="H132" s="37"/>
      <c r="I132" s="36"/>
      <c r="J132" s="364"/>
      <c r="K132" s="84"/>
      <c r="L132" s="84"/>
    </row>
    <row r="133" spans="1:14" hidden="1" x14ac:dyDescent="0.25">
      <c r="A133" s="236"/>
      <c r="B133" s="98"/>
      <c r="C133" s="98"/>
      <c r="D133" s="98"/>
      <c r="E133" s="98"/>
      <c r="F133" s="98"/>
      <c r="G133" s="708"/>
      <c r="H133" s="37"/>
      <c r="I133" s="36"/>
      <c r="J133" s="364"/>
      <c r="K133" s="84"/>
      <c r="L133" s="84"/>
    </row>
    <row r="134" spans="1:14" hidden="1" x14ac:dyDescent="0.25">
      <c r="A134" s="236"/>
      <c r="B134" s="98"/>
      <c r="C134" s="98"/>
      <c r="D134" s="98"/>
      <c r="E134" s="98"/>
      <c r="F134" s="98"/>
      <c r="G134" s="98"/>
      <c r="H134" s="98"/>
      <c r="I134" s="36"/>
      <c r="J134" s="364"/>
      <c r="K134" s="84"/>
      <c r="L134" s="84"/>
    </row>
    <row r="135" spans="1:14" hidden="1" x14ac:dyDescent="0.25">
      <c r="A135" s="236"/>
      <c r="B135" s="705"/>
      <c r="C135" s="133"/>
      <c r="D135" s="133"/>
      <c r="E135" s="133"/>
      <c r="F135" s="133"/>
      <c r="G135" s="133"/>
      <c r="H135" s="133"/>
      <c r="I135" s="36"/>
      <c r="J135" s="364"/>
      <c r="K135" s="84"/>
      <c r="L135" s="84"/>
    </row>
    <row r="136" spans="1:14" hidden="1" x14ac:dyDescent="0.25">
      <c r="A136" s="236"/>
      <c r="B136" s="705"/>
      <c r="C136" s="133"/>
      <c r="D136" s="133"/>
      <c r="E136" s="133"/>
      <c r="F136" s="1414"/>
      <c r="G136" s="1415"/>
      <c r="H136" s="133"/>
      <c r="I136" s="155"/>
      <c r="J136" s="364"/>
      <c r="K136" s="84">
        <v>0</v>
      </c>
      <c r="L136" s="84">
        <v>0</v>
      </c>
    </row>
    <row r="137" spans="1:14" ht="17.25" customHeight="1" x14ac:dyDescent="0.25">
      <c r="A137" s="236"/>
      <c r="B137" s="1421" t="s">
        <v>950</v>
      </c>
      <c r="C137" s="1422"/>
      <c r="D137" s="1422"/>
      <c r="E137" s="1422"/>
      <c r="F137" s="1422"/>
      <c r="G137" s="1422"/>
      <c r="H137" s="1422"/>
      <c r="I137" s="1423"/>
      <c r="J137" s="46">
        <f>J150+J147+J148+J149+J146+J143+J144+J145+J142+J141</f>
        <v>0</v>
      </c>
      <c r="K137" s="46">
        <f>SUM(K143:K145)+K138+K139+K141+K142+K140+K146+K147+K148+K149</f>
        <v>0</v>
      </c>
      <c r="L137" s="46">
        <f>SUM(L143:L145)+L138+L139+L141+L142+L140+L146+L147+L148+L149</f>
        <v>0</v>
      </c>
    </row>
    <row r="138" spans="1:14" ht="1.5" hidden="1" customHeight="1" x14ac:dyDescent="0.25">
      <c r="A138" s="471"/>
      <c r="B138" s="734"/>
      <c r="C138" s="734"/>
      <c r="D138" s="734"/>
      <c r="E138" s="695"/>
      <c r="F138" s="1339"/>
      <c r="G138" s="1341"/>
      <c r="H138" s="734"/>
      <c r="I138" s="722"/>
      <c r="J138" s="364"/>
      <c r="K138" s="41"/>
      <c r="L138" s="41"/>
    </row>
    <row r="139" spans="1:14" ht="47.25" hidden="1" customHeight="1" x14ac:dyDescent="0.25">
      <c r="A139" s="471"/>
      <c r="B139" s="734"/>
      <c r="C139" s="734"/>
      <c r="D139" s="734"/>
      <c r="E139" s="695"/>
      <c r="F139" s="1339"/>
      <c r="G139" s="1341"/>
      <c r="H139" s="734"/>
      <c r="I139" s="722"/>
      <c r="J139" s="364"/>
      <c r="K139" s="41"/>
      <c r="L139" s="41"/>
      <c r="N139" s="696"/>
    </row>
    <row r="140" spans="1:14" ht="16.5" hidden="1" customHeight="1" x14ac:dyDescent="0.25">
      <c r="A140" s="1073"/>
      <c r="B140" s="1074"/>
      <c r="C140" s="1074"/>
      <c r="D140" s="1074"/>
      <c r="E140" s="1074"/>
      <c r="F140" s="1381"/>
      <c r="G140" s="1289"/>
      <c r="H140" s="1075"/>
      <c r="I140" s="1076"/>
      <c r="J140" s="364"/>
      <c r="K140" s="364"/>
      <c r="L140" s="364"/>
    </row>
    <row r="141" spans="1:14" ht="45" hidden="1" customHeight="1" x14ac:dyDescent="0.25">
      <c r="A141" s="941"/>
      <c r="B141" s="905"/>
      <c r="C141" s="905"/>
      <c r="D141" s="905"/>
      <c r="E141" s="905"/>
      <c r="F141" s="905"/>
      <c r="G141" s="905"/>
      <c r="H141" s="933"/>
      <c r="I141" s="828"/>
      <c r="J141" s="364"/>
      <c r="K141" s="41"/>
      <c r="L141" s="41"/>
    </row>
    <row r="142" spans="1:14" ht="50.25" hidden="1" customHeight="1" x14ac:dyDescent="0.25">
      <c r="A142" s="941"/>
      <c r="B142" s="905"/>
      <c r="C142" s="905"/>
      <c r="D142" s="905"/>
      <c r="E142" s="905"/>
      <c r="F142" s="905"/>
      <c r="G142" s="905"/>
      <c r="H142" s="933"/>
      <c r="I142" s="828"/>
      <c r="J142" s="364"/>
      <c r="K142" s="41">
        <v>0</v>
      </c>
      <c r="L142" s="41">
        <v>0</v>
      </c>
    </row>
    <row r="143" spans="1:14" s="1" customFormat="1" ht="81.75" hidden="1" customHeight="1" x14ac:dyDescent="0.25">
      <c r="A143" s="1386"/>
      <c r="B143" s="1388"/>
      <c r="C143" s="1388"/>
      <c r="D143" s="1388"/>
      <c r="E143" s="1388"/>
      <c r="F143" s="1403"/>
      <c r="G143" s="1404"/>
      <c r="H143" s="1028"/>
      <c r="I143" s="1350"/>
      <c r="J143" s="364"/>
      <c r="K143" s="84">
        <v>0</v>
      </c>
      <c r="L143" s="84">
        <v>0</v>
      </c>
    </row>
    <row r="144" spans="1:14" s="1" customFormat="1" ht="58.5" hidden="1" customHeight="1" x14ac:dyDescent="0.25">
      <c r="A144" s="1387"/>
      <c r="B144" s="1389"/>
      <c r="C144" s="1389"/>
      <c r="D144" s="1389"/>
      <c r="E144" s="1389"/>
      <c r="F144" s="1405"/>
      <c r="G144" s="1404"/>
      <c r="H144" s="395"/>
      <c r="I144" s="1354"/>
      <c r="J144" s="364"/>
      <c r="K144" s="84">
        <v>0</v>
      </c>
      <c r="L144" s="84">
        <v>0</v>
      </c>
    </row>
    <row r="145" spans="1:12" ht="66.75" hidden="1" customHeight="1" x14ac:dyDescent="0.25">
      <c r="A145" s="1367"/>
      <c r="B145" s="1332"/>
      <c r="C145" s="1332"/>
      <c r="D145" s="1332"/>
      <c r="E145" s="1332"/>
      <c r="F145" s="1318"/>
      <c r="G145" s="1319"/>
      <c r="H145" s="1026"/>
      <c r="I145" s="1355"/>
      <c r="J145" s="364"/>
      <c r="K145" s="365">
        <v>0</v>
      </c>
      <c r="L145" s="365">
        <v>0</v>
      </c>
    </row>
    <row r="146" spans="1:12" ht="46.5" hidden="1" customHeight="1" x14ac:dyDescent="0.25">
      <c r="A146" s="1399"/>
      <c r="B146" s="1364"/>
      <c r="C146" s="1364"/>
      <c r="D146" s="1364"/>
      <c r="E146" s="1364"/>
      <c r="F146" s="1382"/>
      <c r="G146" s="1383"/>
      <c r="H146" s="946"/>
      <c r="I146" s="1315"/>
      <c r="J146" s="364"/>
      <c r="K146" s="84">
        <v>0</v>
      </c>
      <c r="L146" s="84">
        <v>0</v>
      </c>
    </row>
    <row r="147" spans="1:12" ht="51.75" hidden="1" customHeight="1" x14ac:dyDescent="0.25">
      <c r="A147" s="1400"/>
      <c r="B147" s="1365"/>
      <c r="C147" s="1365"/>
      <c r="D147" s="1365"/>
      <c r="E147" s="1365"/>
      <c r="F147" s="1384"/>
      <c r="G147" s="1385"/>
      <c r="H147" s="946"/>
      <c r="I147" s="1316"/>
      <c r="J147" s="364"/>
      <c r="K147" s="84">
        <v>0</v>
      </c>
      <c r="L147" s="84">
        <v>0</v>
      </c>
    </row>
    <row r="148" spans="1:12" ht="82.5" hidden="1" customHeight="1" x14ac:dyDescent="0.25">
      <c r="A148" s="1044"/>
      <c r="B148" s="1030"/>
      <c r="C148" s="1030"/>
      <c r="D148" s="1030"/>
      <c r="E148" s="1030"/>
      <c r="F148" s="1407"/>
      <c r="G148" s="1397"/>
      <c r="H148" s="946"/>
      <c r="I148" s="785"/>
      <c r="J148" s="364"/>
      <c r="K148" s="84">
        <v>0</v>
      </c>
      <c r="L148" s="84">
        <v>0</v>
      </c>
    </row>
    <row r="149" spans="1:12" ht="112.5" hidden="1" customHeight="1" x14ac:dyDescent="0.25">
      <c r="A149" s="1044"/>
      <c r="B149" s="1030"/>
      <c r="C149" s="1030"/>
      <c r="D149" s="1030"/>
      <c r="E149" s="1030"/>
      <c r="F149" s="1407"/>
      <c r="G149" s="1397"/>
      <c r="H149" s="946"/>
      <c r="I149" s="416"/>
      <c r="J149" s="364"/>
      <c r="K149" s="84">
        <v>0</v>
      </c>
      <c r="L149" s="84">
        <v>0</v>
      </c>
    </row>
    <row r="150" spans="1:12" ht="79.5" hidden="1" customHeight="1" x14ac:dyDescent="0.25">
      <c r="A150" s="1044"/>
      <c r="B150" s="1030"/>
      <c r="C150" s="1030"/>
      <c r="D150" s="1030"/>
      <c r="E150" s="1030"/>
      <c r="F150" s="1407"/>
      <c r="G150" s="1397"/>
      <c r="H150" s="946"/>
      <c r="I150" s="224"/>
      <c r="J150" s="364"/>
      <c r="K150" s="84">
        <v>0</v>
      </c>
      <c r="L150" s="84">
        <v>0</v>
      </c>
    </row>
    <row r="151" spans="1:12" ht="15" customHeight="1" x14ac:dyDescent="0.25">
      <c r="A151" s="236"/>
      <c r="B151" s="1391" t="s">
        <v>951</v>
      </c>
      <c r="C151" s="1392"/>
      <c r="D151" s="1392"/>
      <c r="E151" s="1392"/>
      <c r="F151" s="1392"/>
      <c r="G151" s="1392"/>
      <c r="H151" s="1392"/>
      <c r="I151" s="1393"/>
      <c r="J151" s="46">
        <f>SUM(J153:J154)+J152+J155</f>
        <v>0</v>
      </c>
      <c r="K151" s="46">
        <f>K154+K155</f>
        <v>0</v>
      </c>
      <c r="L151" s="46">
        <f>SUM(L137:L150)</f>
        <v>0</v>
      </c>
    </row>
    <row r="152" spans="1:12" ht="103.5" customHeight="1" x14ac:dyDescent="0.25">
      <c r="A152" s="941">
        <v>1</v>
      </c>
      <c r="B152" s="903" t="s">
        <v>16</v>
      </c>
      <c r="C152" s="903" t="s">
        <v>128</v>
      </c>
      <c r="D152" s="903" t="s">
        <v>132</v>
      </c>
      <c r="E152" s="903" t="s">
        <v>1047</v>
      </c>
      <c r="F152" s="1284" t="s">
        <v>1574</v>
      </c>
      <c r="G152" s="1285"/>
      <c r="H152" s="822" t="s">
        <v>427</v>
      </c>
      <c r="I152" s="1072" t="s">
        <v>1683</v>
      </c>
      <c r="J152" s="823">
        <v>-7133.33</v>
      </c>
      <c r="K152" s="872">
        <v>0</v>
      </c>
      <c r="L152" s="872">
        <v>0</v>
      </c>
    </row>
    <row r="153" spans="1:12" ht="84" hidden="1" customHeight="1" x14ac:dyDescent="0.25">
      <c r="A153" s="941"/>
      <c r="B153" s="534"/>
      <c r="C153" s="995"/>
      <c r="D153" s="995"/>
      <c r="E153" s="995"/>
      <c r="F153" s="1416"/>
      <c r="G153" s="1319"/>
      <c r="H153" s="535"/>
      <c r="I153" s="1071"/>
      <c r="J153" s="364"/>
      <c r="K153" s="84"/>
      <c r="L153" s="84">
        <v>0</v>
      </c>
    </row>
    <row r="154" spans="1:12" ht="47.25" hidden="1" customHeight="1" x14ac:dyDescent="0.25">
      <c r="A154" s="941"/>
      <c r="B154" s="702"/>
      <c r="C154" s="1025"/>
      <c r="D154" s="1025"/>
      <c r="E154" s="1025"/>
      <c r="F154" s="1381"/>
      <c r="G154" s="1289"/>
      <c r="H154" s="1026"/>
      <c r="I154" s="1071"/>
      <c r="J154" s="364"/>
      <c r="K154" s="365"/>
      <c r="L154" s="84">
        <v>0</v>
      </c>
    </row>
    <row r="155" spans="1:12" ht="81" customHeight="1" x14ac:dyDescent="0.25">
      <c r="A155" s="941">
        <v>2</v>
      </c>
      <c r="B155" s="1024" t="s">
        <v>15</v>
      </c>
      <c r="C155" s="1024" t="s">
        <v>128</v>
      </c>
      <c r="D155" s="1024" t="s">
        <v>132</v>
      </c>
      <c r="E155" s="1024" t="s">
        <v>1047</v>
      </c>
      <c r="F155" s="1406" t="s">
        <v>1575</v>
      </c>
      <c r="G155" s="1341"/>
      <c r="H155" s="822" t="s">
        <v>275</v>
      </c>
      <c r="I155" s="224" t="s">
        <v>1276</v>
      </c>
      <c r="J155" s="823">
        <v>7133.33</v>
      </c>
      <c r="K155" s="841">
        <v>0</v>
      </c>
      <c r="L155" s="852">
        <v>0</v>
      </c>
    </row>
    <row r="156" spans="1:12" x14ac:dyDescent="0.25">
      <c r="A156" s="82"/>
      <c r="B156" s="1391" t="s">
        <v>952</v>
      </c>
      <c r="C156" s="1392"/>
      <c r="D156" s="1392"/>
      <c r="E156" s="1392"/>
      <c r="F156" s="1392"/>
      <c r="G156" s="1392"/>
      <c r="H156" s="1392"/>
      <c r="I156" s="1393"/>
      <c r="J156" s="46">
        <f>J158+J159</f>
        <v>0</v>
      </c>
      <c r="K156" s="46">
        <f>K157</f>
        <v>0</v>
      </c>
      <c r="L156" s="46">
        <f>L157</f>
        <v>0</v>
      </c>
    </row>
    <row r="157" spans="1:12" hidden="1" x14ac:dyDescent="0.25">
      <c r="A157" s="366"/>
      <c r="B157" s="345"/>
      <c r="C157" s="345"/>
      <c r="D157" s="345"/>
      <c r="E157" s="345"/>
      <c r="F157" s="345"/>
      <c r="G157" s="345"/>
      <c r="H157" s="345"/>
      <c r="I157" s="396"/>
      <c r="J157" s="41"/>
      <c r="K157" s="84"/>
      <c r="L157" s="84"/>
    </row>
    <row r="158" spans="1:12" hidden="1" x14ac:dyDescent="0.25">
      <c r="A158" s="366"/>
      <c r="B158" s="421"/>
      <c r="C158" s="421"/>
      <c r="D158" s="421"/>
      <c r="E158" s="421"/>
      <c r="F158" s="1394"/>
      <c r="G158" s="1395"/>
      <c r="H158" s="421"/>
      <c r="I158" s="422"/>
      <c r="J158" s="423"/>
      <c r="K158" s="84">
        <v>0</v>
      </c>
      <c r="L158" s="84">
        <v>0</v>
      </c>
    </row>
    <row r="159" spans="1:12" hidden="1" x14ac:dyDescent="0.25">
      <c r="A159" s="366"/>
      <c r="B159" s="345"/>
      <c r="C159" s="345"/>
      <c r="D159" s="345"/>
      <c r="E159" s="345"/>
      <c r="F159" s="1396"/>
      <c r="G159" s="1397"/>
      <c r="H159" s="345"/>
      <c r="I159" s="396"/>
      <c r="J159" s="41"/>
      <c r="K159" s="84"/>
      <c r="L159" s="84"/>
    </row>
    <row r="160" spans="1:12" s="1" customFormat="1" x14ac:dyDescent="0.25">
      <c r="A160" s="26"/>
      <c r="B160" s="1408" t="s">
        <v>953</v>
      </c>
      <c r="C160" s="1409"/>
      <c r="D160" s="1409"/>
      <c r="E160" s="1409"/>
      <c r="F160" s="1409"/>
      <c r="G160" s="1409"/>
      <c r="H160" s="1409"/>
      <c r="I160" s="1410"/>
      <c r="J160" s="46">
        <f>SUM(J161:J169)</f>
        <v>0</v>
      </c>
      <c r="K160" s="46">
        <f>SUM(K161:K169)</f>
        <v>0</v>
      </c>
      <c r="L160" s="46">
        <f>SUM(L161:L169)</f>
        <v>0</v>
      </c>
    </row>
    <row r="161" spans="1:14" s="1" customFormat="1" ht="15" hidden="1" customHeight="1" x14ac:dyDescent="0.25">
      <c r="A161" s="424"/>
      <c r="B161" s="345"/>
      <c r="C161" s="345"/>
      <c r="D161" s="345"/>
      <c r="E161" s="345"/>
      <c r="F161" s="1396"/>
      <c r="G161" s="1397"/>
      <c r="H161" s="345"/>
      <c r="I161" s="396"/>
      <c r="J161" s="397"/>
      <c r="K161" s="110"/>
      <c r="L161" s="110"/>
    </row>
    <row r="162" spans="1:14" s="1" customFormat="1" hidden="1" x14ac:dyDescent="0.25">
      <c r="A162" s="424"/>
      <c r="B162" s="345"/>
      <c r="C162" s="345"/>
      <c r="D162" s="345"/>
      <c r="E162" s="345"/>
      <c r="F162" s="1396"/>
      <c r="G162" s="1397"/>
      <c r="H162" s="345"/>
      <c r="I162" s="396"/>
      <c r="J162" s="110"/>
      <c r="K162" s="425"/>
      <c r="L162" s="110"/>
    </row>
    <row r="163" spans="1:14" s="1" customFormat="1" ht="0.75" hidden="1" customHeight="1" x14ac:dyDescent="0.25">
      <c r="A163" s="426"/>
      <c r="B163" s="345"/>
      <c r="C163" s="345"/>
      <c r="D163" s="345"/>
      <c r="E163" s="345"/>
      <c r="F163" s="345"/>
      <c r="G163" s="345"/>
      <c r="H163" s="345"/>
      <c r="I163" s="36"/>
      <c r="J163" s="41"/>
      <c r="K163" s="110"/>
      <c r="L163" s="110"/>
    </row>
    <row r="164" spans="1:14" hidden="1" x14ac:dyDescent="0.25">
      <c r="A164" s="426"/>
      <c r="B164" s="345"/>
      <c r="C164" s="345"/>
      <c r="D164" s="345"/>
      <c r="E164" s="345"/>
      <c r="F164" s="345"/>
      <c r="G164" s="345"/>
      <c r="H164" s="345"/>
      <c r="I164" s="396"/>
      <c r="J164" s="41"/>
      <c r="K164" s="84"/>
      <c r="L164" s="84"/>
    </row>
    <row r="165" spans="1:14" hidden="1" x14ac:dyDescent="0.25">
      <c r="A165" s="78"/>
      <c r="B165" s="345"/>
      <c r="C165" s="345"/>
      <c r="D165" s="345"/>
      <c r="E165" s="345"/>
      <c r="F165" s="345"/>
      <c r="G165" s="345"/>
      <c r="H165" s="345"/>
      <c r="I165" s="427"/>
      <c r="J165" s="41"/>
      <c r="K165" s="84"/>
      <c r="L165" s="84"/>
    </row>
    <row r="166" spans="1:14" hidden="1" x14ac:dyDescent="0.25">
      <c r="A166" s="78"/>
      <c r="B166" s="345"/>
      <c r="C166" s="345"/>
      <c r="D166" s="345"/>
      <c r="E166" s="345"/>
      <c r="F166" s="345"/>
      <c r="G166" s="345"/>
      <c r="H166" s="345"/>
      <c r="I166" s="396"/>
      <c r="J166" s="41"/>
      <c r="K166" s="84"/>
      <c r="L166" s="84"/>
    </row>
    <row r="167" spans="1:14" hidden="1" x14ac:dyDescent="0.25">
      <c r="A167" s="78"/>
      <c r="B167" s="345"/>
      <c r="C167" s="345"/>
      <c r="D167" s="345"/>
      <c r="E167" s="345"/>
      <c r="F167" s="345"/>
      <c r="G167" s="345"/>
      <c r="H167" s="345"/>
      <c r="I167" s="396"/>
      <c r="J167" s="41"/>
      <c r="K167" s="84"/>
      <c r="L167" s="84"/>
    </row>
    <row r="168" spans="1:14" hidden="1" x14ac:dyDescent="0.25">
      <c r="A168" s="78"/>
      <c r="B168" s="345"/>
      <c r="C168" s="345"/>
      <c r="D168" s="345"/>
      <c r="E168" s="345"/>
      <c r="F168" s="1396"/>
      <c r="G168" s="1397"/>
      <c r="H168" s="345"/>
      <c r="I168" s="396"/>
      <c r="J168" s="41"/>
      <c r="K168" s="84"/>
      <c r="L168" s="84"/>
    </row>
    <row r="169" spans="1:14" hidden="1" x14ac:dyDescent="0.25">
      <c r="A169" s="428"/>
      <c r="B169" s="429"/>
      <c r="C169" s="429"/>
      <c r="D169" s="429"/>
      <c r="E169" s="429"/>
      <c r="F169" s="1401"/>
      <c r="G169" s="1402"/>
      <c r="H169" s="429"/>
      <c r="I169" s="430"/>
      <c r="J169" s="431"/>
      <c r="K169" s="432"/>
      <c r="L169" s="432"/>
    </row>
    <row r="170" spans="1:14" hidden="1" x14ac:dyDescent="0.25">
      <c r="A170" s="78"/>
      <c r="B170" s="345"/>
      <c r="C170" s="345"/>
      <c r="D170" s="345"/>
      <c r="E170" s="345"/>
      <c r="F170" s="345"/>
      <c r="G170" s="345"/>
      <c r="H170" s="345"/>
      <c r="I170" s="396"/>
      <c r="J170" s="41"/>
      <c r="K170" s="84"/>
      <c r="L170" s="84"/>
    </row>
    <row r="171" spans="1:14" x14ac:dyDescent="0.25">
      <c r="A171" s="82"/>
      <c r="B171" s="1297" t="s">
        <v>954</v>
      </c>
      <c r="C171" s="1298"/>
      <c r="D171" s="1298"/>
      <c r="E171" s="1298"/>
      <c r="F171" s="1298"/>
      <c r="G171" s="1298"/>
      <c r="H171" s="1298"/>
      <c r="I171" s="1299"/>
      <c r="J171" s="46">
        <f>J160+J137+J130+J122+J70+J56+J48+J32+J67+J151+J156+J51+J170</f>
        <v>3842845.64</v>
      </c>
      <c r="K171" s="46">
        <f>K160+K137+K130+K122+K70+K56+K48+K32+K67+K151+K156+K51+K170</f>
        <v>0</v>
      </c>
      <c r="L171" s="46">
        <f>L160+L137+L130+L122+L70+L56+L48+L32+L67+L151+L156+L51+L170</f>
        <v>0</v>
      </c>
    </row>
    <row r="172" spans="1:14" ht="10.5" customHeight="1" x14ac:dyDescent="0.25">
      <c r="I172" s="25"/>
      <c r="J172" s="64"/>
    </row>
    <row r="173" spans="1:14" hidden="1" x14ac:dyDescent="0.25">
      <c r="I173" s="25"/>
      <c r="J173" s="64"/>
    </row>
    <row r="174" spans="1:14" hidden="1" x14ac:dyDescent="0.25">
      <c r="I174" s="25"/>
      <c r="J174" s="64"/>
    </row>
    <row r="175" spans="1:14" s="1" customFormat="1" ht="34.5" customHeight="1" x14ac:dyDescent="0.25">
      <c r="A175" s="1398" t="s">
        <v>1044</v>
      </c>
      <c r="B175" s="1398"/>
      <c r="C175" s="1398"/>
      <c r="D175" s="1398"/>
      <c r="E175" s="1398"/>
      <c r="F175" s="1398"/>
      <c r="G175" s="1398"/>
      <c r="H175" s="1398"/>
      <c r="I175" s="1201" t="s">
        <v>1070</v>
      </c>
      <c r="J175" s="1201"/>
      <c r="N175" s="425"/>
    </row>
    <row r="176" spans="1:14" ht="9.75" customHeight="1" x14ac:dyDescent="0.25"/>
    <row r="178" spans="1:14" x14ac:dyDescent="0.25">
      <c r="A178" s="1" t="s">
        <v>957</v>
      </c>
    </row>
    <row r="179" spans="1:14" ht="14.25" customHeight="1" x14ac:dyDescent="0.25">
      <c r="A179" s="1390" t="s">
        <v>958</v>
      </c>
      <c r="B179" s="1390"/>
    </row>
    <row r="180" spans="1:14" ht="0.75" customHeight="1" x14ac:dyDescent="0.25">
      <c r="B180" s="3"/>
      <c r="C180" s="76"/>
      <c r="D180" s="76"/>
      <c r="E180" s="76"/>
      <c r="F180" s="76"/>
      <c r="G180" s="76"/>
      <c r="H180" s="76"/>
      <c r="I180" s="76"/>
      <c r="J180" s="76" t="s">
        <v>959</v>
      </c>
      <c r="K180" s="360">
        <f>П2ДОХОДЫ!E177</f>
        <v>877542628.18000007</v>
      </c>
      <c r="N180" s="360"/>
    </row>
    <row r="181" spans="1:14" hidden="1" x14ac:dyDescent="0.25">
      <c r="B181" s="1352"/>
      <c r="C181" s="1352"/>
      <c r="D181" s="1352"/>
      <c r="E181" s="1352"/>
      <c r="F181" s="1352"/>
      <c r="G181" s="1352"/>
      <c r="H181" s="1352"/>
      <c r="I181" s="1352"/>
      <c r="J181" s="761" t="s">
        <v>959</v>
      </c>
      <c r="K181" s="360">
        <f>П2ДОХОДЫ!E177</f>
        <v>877542628.18000007</v>
      </c>
    </row>
    <row r="182" spans="1:14" ht="0.75" hidden="1" customHeight="1" x14ac:dyDescent="0.25">
      <c r="B182" s="1201" t="s">
        <v>960</v>
      </c>
      <c r="C182" s="1201"/>
      <c r="D182" s="1201"/>
      <c r="E182" s="1201"/>
      <c r="F182" s="1201"/>
      <c r="G182" s="1201"/>
      <c r="H182" s="1201"/>
      <c r="I182" s="1201"/>
      <c r="J182" s="5">
        <f>J183+J184+J185+J186</f>
        <v>0</v>
      </c>
      <c r="K182" s="5" t="e">
        <f>#REF!</f>
        <v>#REF!</v>
      </c>
      <c r="L182" s="5" t="e">
        <f>#REF!</f>
        <v>#REF!</v>
      </c>
    </row>
    <row r="183" spans="1:14" hidden="1" x14ac:dyDescent="0.25">
      <c r="B183" s="340"/>
      <c r="C183" s="340"/>
      <c r="D183" s="340"/>
      <c r="E183" s="340"/>
      <c r="F183" s="340"/>
      <c r="G183" s="340"/>
      <c r="H183" s="340"/>
      <c r="I183" s="434" t="s">
        <v>15</v>
      </c>
      <c r="J183" s="5"/>
      <c r="K183" s="5"/>
      <c r="L183" s="5"/>
    </row>
    <row r="184" spans="1:14" hidden="1" x14ac:dyDescent="0.25">
      <c r="B184" s="340"/>
      <c r="C184" s="340"/>
      <c r="D184" s="340"/>
      <c r="E184" s="340"/>
      <c r="F184" s="340"/>
      <c r="G184" s="340"/>
      <c r="H184" s="340"/>
      <c r="I184" s="434" t="s">
        <v>16</v>
      </c>
      <c r="J184" s="5"/>
      <c r="K184" s="5"/>
      <c r="L184" s="5"/>
    </row>
    <row r="185" spans="1:14" hidden="1" x14ac:dyDescent="0.25">
      <c r="B185" s="340"/>
      <c r="C185" s="340"/>
      <c r="D185" s="340"/>
      <c r="E185" s="340"/>
      <c r="F185" s="340"/>
      <c r="G185" s="340"/>
      <c r="H185" s="340"/>
      <c r="I185" s="434" t="s">
        <v>18</v>
      </c>
      <c r="J185" s="5"/>
      <c r="K185" s="5"/>
      <c r="L185" s="5"/>
    </row>
    <row r="186" spans="1:14" hidden="1" x14ac:dyDescent="0.25">
      <c r="B186" s="340"/>
      <c r="C186" s="340"/>
      <c r="D186" s="340"/>
      <c r="E186" s="340"/>
      <c r="F186" s="340"/>
      <c r="G186" s="340"/>
      <c r="H186" s="340"/>
      <c r="I186" s="434" t="s">
        <v>19</v>
      </c>
      <c r="J186" s="5"/>
      <c r="K186" s="5"/>
      <c r="L186" s="5"/>
    </row>
    <row r="187" spans="1:14" hidden="1" x14ac:dyDescent="0.25">
      <c r="B187" s="1201" t="s">
        <v>961</v>
      </c>
      <c r="C187" s="1201"/>
      <c r="D187" s="1201"/>
      <c r="E187" s="1201"/>
      <c r="F187" s="1201"/>
      <c r="G187" s="1201"/>
      <c r="H187" s="1201"/>
      <c r="I187" s="1201"/>
      <c r="J187" s="5" t="e">
        <f>J188+J189+J190+J191</f>
        <v>#REF!</v>
      </c>
      <c r="K187" s="5" t="e">
        <f>K7+K8+#REF!+#REF!+#REF!+#REF!+#REF!+#REF!+#REF!+#REF!+#REF!+#REF!+#REF!+#REF!</f>
        <v>#REF!</v>
      </c>
      <c r="L187" s="5" t="e">
        <f>L7+L8+#REF!+#REF!+#REF!+#REF!+#REF!+#REF!+#REF!+#REF!+#REF!+#REF!+#REF!+#REF!</f>
        <v>#REF!</v>
      </c>
    </row>
    <row r="188" spans="1:14" hidden="1" x14ac:dyDescent="0.25">
      <c r="B188" s="340"/>
      <c r="C188" s="340"/>
      <c r="D188" s="340"/>
      <c r="E188" s="340"/>
      <c r="F188" s="340"/>
      <c r="G188" s="340"/>
      <c r="H188" s="340"/>
      <c r="I188" s="434" t="s">
        <v>15</v>
      </c>
      <c r="J188" s="5">
        <f>J7+J8</f>
        <v>8816111.6400000006</v>
      </c>
      <c r="K188" s="5"/>
      <c r="L188" s="5"/>
    </row>
    <row r="189" spans="1:14" hidden="1" x14ac:dyDescent="0.25">
      <c r="B189" s="340"/>
      <c r="C189" s="340"/>
      <c r="D189" s="340"/>
      <c r="E189" s="340"/>
      <c r="F189" s="340"/>
      <c r="G189" s="340"/>
      <c r="H189" s="340"/>
      <c r="I189" s="434" t="s">
        <v>16</v>
      </c>
      <c r="J189" s="5" t="e">
        <f>#REF!</f>
        <v>#REF!</v>
      </c>
      <c r="K189" s="5"/>
      <c r="L189" s="5"/>
    </row>
    <row r="190" spans="1:14" hidden="1" x14ac:dyDescent="0.25">
      <c r="B190" s="340"/>
      <c r="C190" s="340"/>
      <c r="D190" s="340"/>
      <c r="E190" s="340"/>
      <c r="F190" s="340"/>
      <c r="G190" s="340"/>
      <c r="H190" s="340"/>
      <c r="I190" s="434" t="s">
        <v>18</v>
      </c>
      <c r="J190" s="5">
        <v>0</v>
      </c>
      <c r="K190" s="5"/>
      <c r="L190" s="5"/>
    </row>
    <row r="191" spans="1:14" hidden="1" x14ac:dyDescent="0.25">
      <c r="B191" s="340"/>
      <c r="C191" s="340"/>
      <c r="D191" s="340"/>
      <c r="E191" s="340"/>
      <c r="F191" s="340"/>
      <c r="G191" s="340"/>
      <c r="H191" s="340"/>
      <c r="I191" s="434" t="s">
        <v>19</v>
      </c>
      <c r="J191" s="5">
        <v>0</v>
      </c>
      <c r="K191" s="5"/>
      <c r="L191" s="5"/>
    </row>
    <row r="192" spans="1:14" hidden="1" x14ac:dyDescent="0.25">
      <c r="B192" s="1201" t="s">
        <v>260</v>
      </c>
      <c r="C192" s="1201"/>
      <c r="D192" s="1201"/>
      <c r="E192" s="1201"/>
      <c r="F192" s="1201"/>
      <c r="G192" s="1201"/>
      <c r="H192" s="1201"/>
      <c r="I192" s="1201"/>
      <c r="J192" s="5" t="e">
        <f>SUM(J182:J187)</f>
        <v>#REF!</v>
      </c>
      <c r="K192" s="5" t="e">
        <f>SUM(K182:K187)</f>
        <v>#REF!</v>
      </c>
      <c r="L192" s="5" t="e">
        <f>SUM(L182:L187)</f>
        <v>#REF!</v>
      </c>
    </row>
    <row r="193" spans="2:12" hidden="1" x14ac:dyDescent="0.25">
      <c r="B193" s="1352" t="s">
        <v>938</v>
      </c>
      <c r="C193" s="1352"/>
      <c r="D193" s="1352"/>
      <c r="E193" s="1352"/>
      <c r="F193" s="1352"/>
      <c r="G193" s="1352"/>
      <c r="H193" s="1352"/>
      <c r="I193" s="1352"/>
      <c r="J193" s="433"/>
    </row>
    <row r="194" spans="2:12" hidden="1" x14ac:dyDescent="0.25">
      <c r="B194" s="1201" t="s">
        <v>962</v>
      </c>
      <c r="C194" s="1201"/>
      <c r="D194" s="1201"/>
      <c r="E194" s="1201"/>
      <c r="F194" s="1201"/>
      <c r="G194" s="1201"/>
      <c r="H194" s="1201"/>
      <c r="I194" s="1201"/>
      <c r="J194" s="5">
        <v>0</v>
      </c>
      <c r="K194" s="5">
        <f>K21+K23</f>
        <v>0</v>
      </c>
      <c r="L194" s="5">
        <f>L21+L23</f>
        <v>0</v>
      </c>
    </row>
    <row r="195" spans="2:12" hidden="1" x14ac:dyDescent="0.25">
      <c r="B195" s="1201" t="s">
        <v>963</v>
      </c>
      <c r="C195" s="1201"/>
      <c r="D195" s="1201"/>
      <c r="E195" s="1201"/>
      <c r="F195" s="1201"/>
      <c r="G195" s="1201"/>
      <c r="H195" s="1201"/>
      <c r="I195" s="1201"/>
      <c r="J195" s="5">
        <f>J21</f>
        <v>0</v>
      </c>
      <c r="K195" s="5"/>
      <c r="L195" s="5"/>
    </row>
    <row r="196" spans="2:12" hidden="1" x14ac:dyDescent="0.25">
      <c r="B196" s="1201" t="s">
        <v>964</v>
      </c>
      <c r="C196" s="1201"/>
      <c r="D196" s="1201"/>
      <c r="E196" s="1201"/>
      <c r="F196" s="1201"/>
      <c r="G196" s="1201"/>
      <c r="H196" s="1201"/>
      <c r="I196" s="1201"/>
      <c r="J196" s="5">
        <f>J22</f>
        <v>0</v>
      </c>
      <c r="K196" s="5">
        <f>K22</f>
        <v>0</v>
      </c>
      <c r="L196" s="5">
        <f>L22</f>
        <v>0</v>
      </c>
    </row>
    <row r="197" spans="2:12" hidden="1" x14ac:dyDescent="0.25">
      <c r="B197" s="1201" t="s">
        <v>260</v>
      </c>
      <c r="C197" s="1201"/>
      <c r="D197" s="1201"/>
      <c r="E197" s="1201"/>
      <c r="F197" s="1201"/>
      <c r="G197" s="1201"/>
      <c r="H197" s="1201"/>
      <c r="I197" s="1201"/>
      <c r="J197" s="5">
        <f>SUM(J194:J196)</f>
        <v>0</v>
      </c>
      <c r="K197" s="5">
        <f>SUM(K194:K196)</f>
        <v>0</v>
      </c>
      <c r="L197" s="5">
        <f>SUM(L194:L196)</f>
        <v>0</v>
      </c>
    </row>
    <row r="198" spans="2:12" hidden="1" x14ac:dyDescent="0.25">
      <c r="B198" s="1352" t="s">
        <v>940</v>
      </c>
      <c r="C198" s="1352"/>
      <c r="D198" s="1352"/>
      <c r="E198" s="1352"/>
      <c r="F198" s="1352"/>
      <c r="G198" s="1352"/>
      <c r="H198" s="1352"/>
      <c r="I198" s="1352"/>
      <c r="J198" s="433"/>
    </row>
    <row r="199" spans="2:12" hidden="1" x14ac:dyDescent="0.25">
      <c r="B199" s="1201" t="s">
        <v>965</v>
      </c>
      <c r="C199" s="1201"/>
      <c r="D199" s="1201"/>
      <c r="E199" s="1201"/>
      <c r="F199" s="1201"/>
      <c r="G199" s="1201"/>
      <c r="H199" s="1201"/>
      <c r="I199" s="1201"/>
      <c r="J199" s="64" t="e">
        <f>#REF!+#REF!+#REF!+#REF!+#REF!+J33+#REF!+#REF!+#REF!+#REF!+J153+#REF!+#REF!+#REF!+J57+J58+#REF!+J143+#REF!+#REF!</f>
        <v>#REF!</v>
      </c>
      <c r="K199" s="64" t="e">
        <f>#REF!+#REF!+#REF!+K33+K49+#REF!+#REF!+#REF!+K57+K58</f>
        <v>#REF!</v>
      </c>
      <c r="L199" s="64" t="e">
        <f>#REF!+#REF!+#REF!+L33+L49+#REF!+#REF!+#REF!+L57+L58</f>
        <v>#REF!</v>
      </c>
    </row>
    <row r="200" spans="2:12" hidden="1" x14ac:dyDescent="0.25">
      <c r="B200" s="1201" t="s">
        <v>966</v>
      </c>
      <c r="C200" s="1201"/>
      <c r="D200" s="1201"/>
      <c r="E200" s="1201"/>
      <c r="F200" s="1201"/>
      <c r="G200" s="1201"/>
      <c r="H200" s="1201"/>
      <c r="I200" s="1201"/>
      <c r="J200" s="64">
        <f>J156</f>
        <v>0</v>
      </c>
      <c r="K200" s="64">
        <f>K170+K161</f>
        <v>0</v>
      </c>
      <c r="L200" s="64">
        <f>L170+L161</f>
        <v>0</v>
      </c>
    </row>
    <row r="201" spans="2:12" hidden="1" x14ac:dyDescent="0.25">
      <c r="B201" s="1201" t="s">
        <v>967</v>
      </c>
      <c r="C201" s="1201"/>
      <c r="D201" s="1201"/>
      <c r="E201" s="1201"/>
      <c r="F201" s="1201"/>
      <c r="G201" s="1201"/>
      <c r="H201" s="1201"/>
      <c r="I201" s="1201"/>
      <c r="J201" s="64" t="e">
        <f>#REF!+J71+J72</f>
        <v>#REF!</v>
      </c>
      <c r="K201" s="64">
        <f>K73+K72+K71+K76+K77+K78+K79+K80+K81+K82+K83+K84+K86+K87+K88+K89+K90+K91+K92+K93</f>
        <v>0</v>
      </c>
      <c r="L201" s="64">
        <f>L73+L72+L71+L76+L77+L78+L79+L80+L81+L82+L83+L84+L86+L87+L88+L89+L90+L91+L92+L93</f>
        <v>0</v>
      </c>
    </row>
    <row r="202" spans="2:12" hidden="1" x14ac:dyDescent="0.25">
      <c r="B202" s="1201" t="s">
        <v>968</v>
      </c>
      <c r="C202" s="1201"/>
      <c r="D202" s="1201"/>
      <c r="E202" s="1201"/>
      <c r="F202" s="1201"/>
      <c r="G202" s="1201"/>
      <c r="H202" s="1201"/>
      <c r="I202" s="1201"/>
      <c r="J202" s="64" t="e">
        <f>#REF!+#REF!</f>
        <v>#REF!</v>
      </c>
      <c r="K202" s="64" t="e">
        <f>K74+#REF!</f>
        <v>#REF!</v>
      </c>
      <c r="L202" s="64" t="e">
        <f>L74+#REF!</f>
        <v>#REF!</v>
      </c>
    </row>
    <row r="203" spans="2:12" hidden="1" x14ac:dyDescent="0.25">
      <c r="B203" s="1201" t="s">
        <v>260</v>
      </c>
      <c r="C203" s="1201"/>
      <c r="D203" s="1201"/>
      <c r="E203" s="1201"/>
      <c r="F203" s="1201"/>
      <c r="G203" s="1201"/>
      <c r="H203" s="1201"/>
      <c r="I203" s="1201"/>
      <c r="J203" s="64" t="e">
        <f>SUM(J199:J202)</f>
        <v>#REF!</v>
      </c>
      <c r="K203" s="64" t="e">
        <f>SUM(K199:K202)</f>
        <v>#REF!</v>
      </c>
      <c r="L203" s="64" t="e">
        <f>SUM(L199:L202)</f>
        <v>#REF!</v>
      </c>
    </row>
    <row r="204" spans="2:12" hidden="1" x14ac:dyDescent="0.25">
      <c r="B204" s="1352"/>
      <c r="C204" s="1352"/>
      <c r="D204" s="1352"/>
      <c r="E204" s="1352"/>
      <c r="F204" s="1352"/>
      <c r="G204" s="1352"/>
      <c r="H204" s="1352"/>
      <c r="I204" s="1352"/>
      <c r="J204" s="435"/>
      <c r="K204" s="435"/>
      <c r="L204" s="435" t="e">
        <f>L192-(L203-L197)</f>
        <v>#REF!</v>
      </c>
    </row>
    <row r="205" spans="2:12" hidden="1" x14ac:dyDescent="0.25">
      <c r="J205" s="28" t="s">
        <v>970</v>
      </c>
      <c r="K205" s="360">
        <f>П4ВСР!Z765</f>
        <v>1006891333.1199999</v>
      </c>
    </row>
    <row r="206" spans="2:12" hidden="1" x14ac:dyDescent="0.25">
      <c r="I206" s="340"/>
      <c r="J206" s="28" t="s">
        <v>971</v>
      </c>
      <c r="K206" s="360">
        <f>П2ДОХОДЫ!E13</f>
        <v>231131347.21999997</v>
      </c>
    </row>
    <row r="207" spans="2:12" hidden="1" x14ac:dyDescent="0.25">
      <c r="J207" s="28" t="s">
        <v>972</v>
      </c>
      <c r="K207" s="360">
        <f>K180-K205</f>
        <v>-129348704.93999982</v>
      </c>
    </row>
    <row r="208" spans="2:12" hidden="1" x14ac:dyDescent="0.25">
      <c r="K208" s="360">
        <f>П1ИВФ!C18</f>
        <v>2360000</v>
      </c>
    </row>
    <row r="209" spans="10:12" hidden="1" x14ac:dyDescent="0.25">
      <c r="K209" s="3">
        <f>K208/K206*100</f>
        <v>1.0210644416629728</v>
      </c>
    </row>
    <row r="210" spans="10:12" hidden="1" x14ac:dyDescent="0.25"/>
    <row r="211" spans="10:12" hidden="1" x14ac:dyDescent="0.25">
      <c r="J211" s="64"/>
      <c r="K211" s="360"/>
    </row>
    <row r="212" spans="10:12" hidden="1" x14ac:dyDescent="0.25">
      <c r="K212" s="360"/>
    </row>
    <row r="213" spans="10:12" ht="36" customHeight="1" x14ac:dyDescent="0.25">
      <c r="K213" s="360"/>
    </row>
    <row r="215" spans="10:12" x14ac:dyDescent="0.25">
      <c r="K215" s="360"/>
    </row>
    <row r="218" spans="10:12" x14ac:dyDescent="0.25">
      <c r="L218" s="360"/>
    </row>
    <row r="219" spans="10:12" x14ac:dyDescent="0.25">
      <c r="L219" s="360"/>
    </row>
    <row r="220" spans="10:12" x14ac:dyDescent="0.25">
      <c r="K220" s="28"/>
      <c r="L220" s="360"/>
    </row>
    <row r="221" spans="10:12" x14ac:dyDescent="0.25">
      <c r="K221" s="28"/>
      <c r="L221" s="360"/>
    </row>
    <row r="222" spans="10:12" x14ac:dyDescent="0.25">
      <c r="J222" s="76"/>
      <c r="K222" s="28"/>
      <c r="L222" s="360"/>
    </row>
    <row r="223" spans="10:12" x14ac:dyDescent="0.25">
      <c r="J223" s="433"/>
    </row>
  </sheetData>
  <mergeCells count="196">
    <mergeCell ref="A8:A10"/>
    <mergeCell ref="H113:H115"/>
    <mergeCell ref="B113:B115"/>
    <mergeCell ref="C113:C115"/>
    <mergeCell ref="D113:D115"/>
    <mergeCell ref="A113:A115"/>
    <mergeCell ref="F33:G34"/>
    <mergeCell ref="I71:I72"/>
    <mergeCell ref="B71:B72"/>
    <mergeCell ref="E71:E72"/>
    <mergeCell ref="F71:G72"/>
    <mergeCell ref="H71:H72"/>
    <mergeCell ref="A71:A72"/>
    <mergeCell ref="A63:A64"/>
    <mergeCell ref="F63:G64"/>
    <mergeCell ref="F65:G65"/>
    <mergeCell ref="F66:G66"/>
    <mergeCell ref="B67:I67"/>
    <mergeCell ref="B70:I70"/>
    <mergeCell ref="F57:G57"/>
    <mergeCell ref="F61:G61"/>
    <mergeCell ref="F62:G62"/>
    <mergeCell ref="F59:G59"/>
    <mergeCell ref="F60:G60"/>
    <mergeCell ref="B130:I130"/>
    <mergeCell ref="F136:G136"/>
    <mergeCell ref="F153:G153"/>
    <mergeCell ref="F154:G154"/>
    <mergeCell ref="B151:I151"/>
    <mergeCell ref="F152:G152"/>
    <mergeCell ref="F131:G131"/>
    <mergeCell ref="I63:I64"/>
    <mergeCell ref="F112:G112"/>
    <mergeCell ref="F108:G108"/>
    <mergeCell ref="F102:G102"/>
    <mergeCell ref="F103:G103"/>
    <mergeCell ref="F104:G104"/>
    <mergeCell ref="F114:G114"/>
    <mergeCell ref="F116:G117"/>
    <mergeCell ref="F120:G120"/>
    <mergeCell ref="F115:G115"/>
    <mergeCell ref="B122:I122"/>
    <mergeCell ref="F118:G118"/>
    <mergeCell ref="F121:G121"/>
    <mergeCell ref="F119:G119"/>
    <mergeCell ref="B137:I137"/>
    <mergeCell ref="F138:G138"/>
    <mergeCell ref="F139:G139"/>
    <mergeCell ref="A179:B179"/>
    <mergeCell ref="B156:I156"/>
    <mergeCell ref="F158:G158"/>
    <mergeCell ref="F159:G159"/>
    <mergeCell ref="B171:I171"/>
    <mergeCell ref="A175:H175"/>
    <mergeCell ref="I175:J175"/>
    <mergeCell ref="F168:G168"/>
    <mergeCell ref="I143:I145"/>
    <mergeCell ref="A146:A147"/>
    <mergeCell ref="F169:G169"/>
    <mergeCell ref="F161:G161"/>
    <mergeCell ref="F162:G162"/>
    <mergeCell ref="F143:G145"/>
    <mergeCell ref="I146:I147"/>
    <mergeCell ref="F155:G155"/>
    <mergeCell ref="F148:G148"/>
    <mergeCell ref="F149:G149"/>
    <mergeCell ref="F150:G150"/>
    <mergeCell ref="B160:I160"/>
    <mergeCell ref="F140:G140"/>
    <mergeCell ref="C146:C147"/>
    <mergeCell ref="D146:D147"/>
    <mergeCell ref="E146:E147"/>
    <mergeCell ref="F146:G147"/>
    <mergeCell ref="A143:A145"/>
    <mergeCell ref="B143:B145"/>
    <mergeCell ref="C143:C145"/>
    <mergeCell ref="D143:D145"/>
    <mergeCell ref="E143:E145"/>
    <mergeCell ref="A124:A128"/>
    <mergeCell ref="C124:C128"/>
    <mergeCell ref="D124:D128"/>
    <mergeCell ref="E124:E128"/>
    <mergeCell ref="A46:A47"/>
    <mergeCell ref="D46:D47"/>
    <mergeCell ref="E46:E47"/>
    <mergeCell ref="A39:A45"/>
    <mergeCell ref="B39:B45"/>
    <mergeCell ref="C39:C45"/>
    <mergeCell ref="D39:D45"/>
    <mergeCell ref="E39:E45"/>
    <mergeCell ref="A116:A117"/>
    <mergeCell ref="A33:A34"/>
    <mergeCell ref="B33:B34"/>
    <mergeCell ref="C33:C34"/>
    <mergeCell ref="D33:D34"/>
    <mergeCell ref="E33:E34"/>
    <mergeCell ref="F39:G45"/>
    <mergeCell ref="F58:G58"/>
    <mergeCell ref="A100:A101"/>
    <mergeCell ref="D100:D101"/>
    <mergeCell ref="E100:E101"/>
    <mergeCell ref="A36:A38"/>
    <mergeCell ref="B36:B38"/>
    <mergeCell ref="C36:C38"/>
    <mergeCell ref="D36:D38"/>
    <mergeCell ref="E36:E38"/>
    <mergeCell ref="B100:B101"/>
    <mergeCell ref="C100:C101"/>
    <mergeCell ref="I116:I117"/>
    <mergeCell ref="B204:I204"/>
    <mergeCell ref="B195:I195"/>
    <mergeCell ref="B196:I196"/>
    <mergeCell ref="B197:I197"/>
    <mergeCell ref="B198:I198"/>
    <mergeCell ref="B199:I199"/>
    <mergeCell ref="B200:I200"/>
    <mergeCell ref="B181:I181"/>
    <mergeCell ref="B182:I182"/>
    <mergeCell ref="B187:I187"/>
    <mergeCell ref="B192:I192"/>
    <mergeCell ref="B193:I193"/>
    <mergeCell ref="B194:I194"/>
    <mergeCell ref="B201:I201"/>
    <mergeCell ref="B202:I202"/>
    <mergeCell ref="B203:I203"/>
    <mergeCell ref="I124:I128"/>
    <mergeCell ref="B116:B117"/>
    <mergeCell ref="C116:C117"/>
    <mergeCell ref="D116:D117"/>
    <mergeCell ref="E116:E117"/>
    <mergeCell ref="F124:G128"/>
    <mergeCell ref="B146:B147"/>
    <mergeCell ref="I100:I101"/>
    <mergeCell ref="A1:L1"/>
    <mergeCell ref="A2:L2"/>
    <mergeCell ref="A4:L4"/>
    <mergeCell ref="A5:A6"/>
    <mergeCell ref="B5:H6"/>
    <mergeCell ref="I5:I6"/>
    <mergeCell ref="J5:L5"/>
    <mergeCell ref="B21:H21"/>
    <mergeCell ref="B22:H22"/>
    <mergeCell ref="B16:I16"/>
    <mergeCell ref="B18:J18"/>
    <mergeCell ref="A19:A20"/>
    <mergeCell ref="B19:H20"/>
    <mergeCell ref="I19:I20"/>
    <mergeCell ref="J19:L19"/>
    <mergeCell ref="B23:H23"/>
    <mergeCell ref="B24:H24"/>
    <mergeCell ref="B25:H25"/>
    <mergeCell ref="H30:H31"/>
    <mergeCell ref="I30:I31"/>
    <mergeCell ref="I39:I45"/>
    <mergeCell ref="A30:A31"/>
    <mergeCell ref="B30:B31"/>
    <mergeCell ref="B26:I26"/>
    <mergeCell ref="B56:I56"/>
    <mergeCell ref="F50:G50"/>
    <mergeCell ref="B51:I51"/>
    <mergeCell ref="F53:G53"/>
    <mergeCell ref="F54:G54"/>
    <mergeCell ref="F52:G52"/>
    <mergeCell ref="F55:G55"/>
    <mergeCell ref="B32:I32"/>
    <mergeCell ref="B29:J29"/>
    <mergeCell ref="B48:I48"/>
    <mergeCell ref="F49:G49"/>
    <mergeCell ref="F35:G35"/>
    <mergeCell ref="I46:I47"/>
    <mergeCell ref="I33:I34"/>
    <mergeCell ref="I36:I38"/>
    <mergeCell ref="J30:L30"/>
    <mergeCell ref="F46:G47"/>
    <mergeCell ref="C30:C31"/>
    <mergeCell ref="D30:D31"/>
    <mergeCell ref="E30:G31"/>
    <mergeCell ref="F36:G38"/>
    <mergeCell ref="B46:B47"/>
    <mergeCell ref="C46:C47"/>
    <mergeCell ref="F113:G113"/>
    <mergeCell ref="F98:G98"/>
    <mergeCell ref="F99:G99"/>
    <mergeCell ref="C63:C64"/>
    <mergeCell ref="D63:D64"/>
    <mergeCell ref="E63:E64"/>
    <mergeCell ref="F111:G111"/>
    <mergeCell ref="F105:G105"/>
    <mergeCell ref="F106:G106"/>
    <mergeCell ref="F107:G107"/>
    <mergeCell ref="F109:G109"/>
    <mergeCell ref="F95:G95"/>
    <mergeCell ref="F100:G101"/>
    <mergeCell ref="F110:G110"/>
    <mergeCell ref="F96:G96"/>
    <mergeCell ref="F97:G97"/>
  </mergeCells>
  <pageMargins left="0.70866141732283472" right="0.70866141732283472" top="0" bottom="0" header="0.31496062992125984" footer="0.31496062992125984"/>
  <pageSetup paperSize="9" scale="7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5"/>
  <sheetViews>
    <sheetView workbookViewId="0">
      <selection activeCell="J104" sqref="J104"/>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1"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335" t="s">
        <v>933</v>
      </c>
      <c r="B1" s="1335"/>
      <c r="C1" s="1335"/>
      <c r="D1" s="1335"/>
      <c r="E1" s="1335"/>
      <c r="F1" s="1335"/>
      <c r="G1" s="1335"/>
      <c r="H1" s="1335"/>
      <c r="I1" s="1335"/>
      <c r="J1" s="1335"/>
      <c r="K1" s="1335"/>
      <c r="L1" s="1335"/>
    </row>
    <row r="2" spans="1:12" x14ac:dyDescent="0.25">
      <c r="A2" s="1131" t="s">
        <v>1395</v>
      </c>
      <c r="B2" s="1131"/>
      <c r="C2" s="1131"/>
      <c r="D2" s="1131"/>
      <c r="E2" s="1131"/>
      <c r="F2" s="1131"/>
      <c r="G2" s="1131"/>
      <c r="H2" s="1131"/>
      <c r="I2" s="1131"/>
      <c r="J2" s="1131"/>
      <c r="K2" s="1131"/>
      <c r="L2" s="1131"/>
    </row>
    <row r="4" spans="1:12" ht="17.25" customHeight="1" x14ac:dyDescent="0.25">
      <c r="A4" s="1308" t="s">
        <v>934</v>
      </c>
      <c r="B4" s="1308"/>
      <c r="C4" s="1308"/>
      <c r="D4" s="1308"/>
      <c r="E4" s="1308"/>
      <c r="F4" s="1308"/>
      <c r="G4" s="1308"/>
      <c r="H4" s="1308"/>
      <c r="I4" s="1308"/>
      <c r="J4" s="1308"/>
      <c r="K4" s="1308"/>
      <c r="L4" s="1308"/>
    </row>
    <row r="5" spans="1:12" x14ac:dyDescent="0.25">
      <c r="A5" s="1336" t="s">
        <v>935</v>
      </c>
      <c r="B5" s="1321" t="s">
        <v>121</v>
      </c>
      <c r="C5" s="1322"/>
      <c r="D5" s="1322"/>
      <c r="E5" s="1322"/>
      <c r="F5" s="1322"/>
      <c r="G5" s="1322"/>
      <c r="H5" s="1323"/>
      <c r="I5" s="1132" t="s">
        <v>1</v>
      </c>
      <c r="J5" s="1136" t="s">
        <v>936</v>
      </c>
      <c r="K5" s="1137"/>
      <c r="L5" s="1138"/>
    </row>
    <row r="6" spans="1:12" x14ac:dyDescent="0.25">
      <c r="A6" s="1337"/>
      <c r="B6" s="1324"/>
      <c r="C6" s="1325"/>
      <c r="D6" s="1325"/>
      <c r="E6" s="1325"/>
      <c r="F6" s="1325"/>
      <c r="G6" s="1325"/>
      <c r="H6" s="1326"/>
      <c r="I6" s="1133"/>
      <c r="J6" s="712">
        <v>2019</v>
      </c>
      <c r="K6" s="78">
        <v>2020</v>
      </c>
      <c r="L6" s="78">
        <v>2021</v>
      </c>
    </row>
    <row r="7" spans="1:12" ht="36.75" customHeight="1" x14ac:dyDescent="0.25">
      <c r="A7" s="236">
        <v>1</v>
      </c>
      <c r="B7" s="991" t="s">
        <v>18</v>
      </c>
      <c r="C7" s="991" t="s">
        <v>1055</v>
      </c>
      <c r="D7" s="991" t="s">
        <v>132</v>
      </c>
      <c r="E7" s="991" t="s">
        <v>1644</v>
      </c>
      <c r="F7" s="991" t="s">
        <v>124</v>
      </c>
      <c r="G7" s="991" t="s">
        <v>1057</v>
      </c>
      <c r="H7" s="439" t="s">
        <v>1571</v>
      </c>
      <c r="I7" s="436" t="s">
        <v>1678</v>
      </c>
      <c r="J7" s="351">
        <v>41199.269999999997</v>
      </c>
      <c r="K7" s="110">
        <v>0</v>
      </c>
      <c r="L7" s="110">
        <v>0</v>
      </c>
    </row>
    <row r="8" spans="1:12" ht="16.5" hidden="1" customHeight="1" x14ac:dyDescent="0.25">
      <c r="A8" s="344"/>
      <c r="B8" s="991"/>
      <c r="C8" s="991"/>
      <c r="D8" s="991"/>
      <c r="E8" s="991"/>
      <c r="F8" s="991"/>
      <c r="G8" s="991"/>
      <c r="H8" s="991"/>
      <c r="I8" s="436"/>
      <c r="J8" s="351"/>
      <c r="K8" s="365">
        <v>0</v>
      </c>
      <c r="L8" s="365">
        <v>0</v>
      </c>
    </row>
    <row r="9" spans="1:12" hidden="1" x14ac:dyDescent="0.25">
      <c r="A9" s="851"/>
      <c r="B9" s="992"/>
      <c r="C9" s="992"/>
      <c r="D9" s="992"/>
      <c r="E9" s="992"/>
      <c r="F9" s="992"/>
      <c r="G9" s="992"/>
      <c r="H9" s="992"/>
      <c r="I9" s="505"/>
      <c r="J9" s="856"/>
      <c r="K9" s="841">
        <v>0</v>
      </c>
      <c r="L9" s="841">
        <v>0</v>
      </c>
    </row>
    <row r="10" spans="1:12" ht="36.75" hidden="1" customHeight="1" x14ac:dyDescent="0.25">
      <c r="A10" s="851"/>
      <c r="B10" s="992"/>
      <c r="C10" s="992"/>
      <c r="D10" s="992"/>
      <c r="E10" s="992"/>
      <c r="F10" s="992"/>
      <c r="G10" s="992"/>
      <c r="H10" s="992"/>
      <c r="I10" s="505"/>
      <c r="J10" s="856"/>
      <c r="K10" s="841">
        <v>0</v>
      </c>
      <c r="L10" s="841">
        <v>0</v>
      </c>
    </row>
    <row r="11" spans="1:12" hidden="1" x14ac:dyDescent="0.25">
      <c r="A11" s="851"/>
      <c r="B11" s="992"/>
      <c r="C11" s="992"/>
      <c r="D11" s="992"/>
      <c r="E11" s="992"/>
      <c r="F11" s="992"/>
      <c r="G11" s="992"/>
      <c r="H11" s="992"/>
      <c r="I11" s="436"/>
      <c r="J11" s="856"/>
      <c r="K11" s="841">
        <v>0</v>
      </c>
      <c r="L11" s="841">
        <v>0</v>
      </c>
    </row>
    <row r="12" spans="1:12" hidden="1" x14ac:dyDescent="0.25">
      <c r="A12" s="851"/>
      <c r="B12" s="992"/>
      <c r="C12" s="992"/>
      <c r="D12" s="992"/>
      <c r="E12" s="992"/>
      <c r="F12" s="992"/>
      <c r="G12" s="992"/>
      <c r="H12" s="992"/>
      <c r="I12" s="353"/>
      <c r="J12" s="856"/>
      <c r="K12" s="841">
        <v>0</v>
      </c>
      <c r="L12" s="841">
        <v>0</v>
      </c>
    </row>
    <row r="13" spans="1:12" hidden="1" x14ac:dyDescent="0.25">
      <c r="A13" s="851"/>
      <c r="B13" s="992"/>
      <c r="C13" s="992"/>
      <c r="D13" s="992"/>
      <c r="E13" s="992"/>
      <c r="F13" s="992"/>
      <c r="G13" s="992"/>
      <c r="H13" s="992"/>
      <c r="I13" s="505"/>
      <c r="J13" s="856"/>
      <c r="K13" s="841">
        <v>0</v>
      </c>
      <c r="L13" s="841">
        <v>0</v>
      </c>
    </row>
    <row r="14" spans="1:12" hidden="1" x14ac:dyDescent="0.25">
      <c r="A14" s="344"/>
      <c r="B14" s="350"/>
      <c r="C14" s="350"/>
      <c r="D14" s="350"/>
      <c r="E14" s="350"/>
      <c r="F14" s="350"/>
      <c r="G14" s="350"/>
      <c r="H14" s="350"/>
      <c r="I14" s="505"/>
      <c r="J14" s="351"/>
      <c r="K14" s="365">
        <v>0</v>
      </c>
      <c r="L14" s="365">
        <v>0</v>
      </c>
    </row>
    <row r="15" spans="1:12" ht="79.5" hidden="1" customHeight="1" x14ac:dyDescent="0.25">
      <c r="A15" s="344"/>
      <c r="B15" s="991"/>
      <c r="C15" s="991"/>
      <c r="D15" s="991"/>
      <c r="E15" s="991"/>
      <c r="F15" s="991"/>
      <c r="G15" s="991"/>
      <c r="H15" s="991"/>
      <c r="I15" s="505"/>
      <c r="J15" s="351"/>
      <c r="K15" s="110">
        <v>0</v>
      </c>
      <c r="L15" s="110">
        <v>0</v>
      </c>
    </row>
    <row r="16" spans="1:12" ht="25.5" hidden="1" customHeight="1" x14ac:dyDescent="0.25">
      <c r="A16" s="851"/>
      <c r="B16" s="992"/>
      <c r="C16" s="992"/>
      <c r="D16" s="992"/>
      <c r="E16" s="992"/>
      <c r="F16" s="992"/>
      <c r="G16" s="992"/>
      <c r="H16" s="992"/>
      <c r="I16" s="710"/>
      <c r="J16" s="856"/>
      <c r="K16" s="918">
        <v>0</v>
      </c>
      <c r="L16" s="918">
        <v>0</v>
      </c>
    </row>
    <row r="17" spans="1:12" ht="79.5" hidden="1" customHeight="1" x14ac:dyDescent="0.25">
      <c r="A17" s="851"/>
      <c r="B17" s="992"/>
      <c r="C17" s="992"/>
      <c r="D17" s="992"/>
      <c r="E17" s="992"/>
      <c r="F17" s="992"/>
      <c r="G17" s="992"/>
      <c r="H17" s="992"/>
      <c r="I17" s="377"/>
      <c r="J17" s="856"/>
      <c r="K17" s="918">
        <v>0</v>
      </c>
      <c r="L17" s="918">
        <v>0</v>
      </c>
    </row>
    <row r="18" spans="1:12" ht="35.25" hidden="1" customHeight="1" x14ac:dyDescent="0.25">
      <c r="A18" s="851"/>
      <c r="B18" s="992"/>
      <c r="C18" s="992"/>
      <c r="D18" s="992"/>
      <c r="E18" s="992"/>
      <c r="F18" s="992"/>
      <c r="G18" s="992"/>
      <c r="H18" s="992"/>
      <c r="I18" s="505"/>
      <c r="J18" s="856"/>
      <c r="K18" s="918">
        <v>0</v>
      </c>
      <c r="L18" s="918">
        <v>0</v>
      </c>
    </row>
    <row r="19" spans="1:12" ht="22.5" hidden="1" customHeight="1" x14ac:dyDescent="0.25">
      <c r="A19" s="851"/>
      <c r="B19" s="992"/>
      <c r="C19" s="992"/>
      <c r="D19" s="992"/>
      <c r="E19" s="992"/>
      <c r="F19" s="992"/>
      <c r="G19" s="992"/>
      <c r="H19" s="992"/>
      <c r="I19" s="993"/>
      <c r="J19" s="856"/>
      <c r="K19" s="918">
        <v>0</v>
      </c>
      <c r="L19" s="918">
        <v>0</v>
      </c>
    </row>
    <row r="20" spans="1:12" ht="98.25" hidden="1" customHeight="1" x14ac:dyDescent="0.25">
      <c r="A20" s="851"/>
      <c r="B20" s="992"/>
      <c r="C20" s="992"/>
      <c r="D20" s="992"/>
      <c r="E20" s="992"/>
      <c r="F20" s="992"/>
      <c r="G20" s="992"/>
      <c r="H20" s="992"/>
      <c r="I20" s="505"/>
      <c r="J20" s="856"/>
      <c r="K20" s="918">
        <v>0</v>
      </c>
      <c r="L20" s="918">
        <v>0</v>
      </c>
    </row>
    <row r="21" spans="1:12" ht="79.5" hidden="1" customHeight="1" x14ac:dyDescent="0.25">
      <c r="A21" s="851"/>
      <c r="B21" s="992"/>
      <c r="C21" s="992"/>
      <c r="D21" s="992"/>
      <c r="E21" s="992"/>
      <c r="F21" s="992"/>
      <c r="G21" s="992"/>
      <c r="H21" s="992"/>
      <c r="I21" s="436"/>
      <c r="J21" s="856"/>
      <c r="K21" s="918">
        <v>0</v>
      </c>
      <c r="L21" s="918">
        <v>0</v>
      </c>
    </row>
    <row r="22" spans="1:12" ht="65.25" hidden="1" customHeight="1" x14ac:dyDescent="0.25">
      <c r="A22" s="851"/>
      <c r="B22" s="992"/>
      <c r="C22" s="992"/>
      <c r="D22" s="992"/>
      <c r="E22" s="992"/>
      <c r="F22" s="992"/>
      <c r="G22" s="992"/>
      <c r="H22" s="992"/>
      <c r="I22" s="377"/>
      <c r="J22" s="856"/>
      <c r="K22" s="918">
        <v>0</v>
      </c>
      <c r="L22" s="918">
        <v>0</v>
      </c>
    </row>
    <row r="23" spans="1:12" ht="32.25" hidden="1" customHeight="1" x14ac:dyDescent="0.25">
      <c r="A23" s="851"/>
      <c r="B23" s="992"/>
      <c r="C23" s="992"/>
      <c r="D23" s="992"/>
      <c r="E23" s="992"/>
      <c r="F23" s="992"/>
      <c r="G23" s="992"/>
      <c r="H23" s="992"/>
      <c r="I23" s="436"/>
      <c r="J23" s="856"/>
      <c r="K23" s="918">
        <v>0</v>
      </c>
      <c r="L23" s="918">
        <v>0</v>
      </c>
    </row>
    <row r="24" spans="1:12" ht="39.75" hidden="1" customHeight="1" x14ac:dyDescent="0.25">
      <c r="A24" s="851"/>
      <c r="B24" s="992"/>
      <c r="C24" s="992"/>
      <c r="D24" s="992"/>
      <c r="E24" s="992"/>
      <c r="F24" s="992"/>
      <c r="G24" s="992"/>
      <c r="H24" s="992"/>
      <c r="I24" s="436"/>
      <c r="J24" s="856"/>
      <c r="K24" s="918">
        <v>0</v>
      </c>
      <c r="L24" s="918">
        <v>0</v>
      </c>
    </row>
    <row r="25" spans="1:12" ht="76.5" hidden="1" customHeight="1" x14ac:dyDescent="0.25">
      <c r="A25" s="851"/>
      <c r="B25" s="992"/>
      <c r="C25" s="992"/>
      <c r="D25" s="992"/>
      <c r="E25" s="992"/>
      <c r="F25" s="992"/>
      <c r="G25" s="992"/>
      <c r="H25" s="992"/>
      <c r="I25" s="505"/>
      <c r="J25" s="856"/>
      <c r="K25" s="918">
        <v>0</v>
      </c>
      <c r="L25" s="918">
        <v>0</v>
      </c>
    </row>
    <row r="26" spans="1:12" ht="68.25" hidden="1" customHeight="1" x14ac:dyDescent="0.25">
      <c r="A26" s="851"/>
      <c r="B26" s="992"/>
      <c r="C26" s="992"/>
      <c r="D26" s="992"/>
      <c r="E26" s="992"/>
      <c r="F26" s="992"/>
      <c r="G26" s="992"/>
      <c r="H26" s="992"/>
      <c r="I26" s="505"/>
      <c r="J26" s="856"/>
      <c r="K26" s="918">
        <v>0</v>
      </c>
      <c r="L26" s="918">
        <v>0</v>
      </c>
    </row>
    <row r="27" spans="1:12" ht="45.75" hidden="1" customHeight="1" x14ac:dyDescent="0.25">
      <c r="A27" s="851"/>
      <c r="B27" s="992"/>
      <c r="C27" s="992"/>
      <c r="D27" s="992"/>
      <c r="E27" s="992"/>
      <c r="F27" s="992"/>
      <c r="G27" s="992"/>
      <c r="H27" s="992"/>
      <c r="I27" s="436"/>
      <c r="J27" s="856"/>
      <c r="K27" s="918">
        <v>0</v>
      </c>
      <c r="L27" s="918">
        <v>0</v>
      </c>
    </row>
    <row r="28" spans="1:12" ht="49.5" hidden="1" customHeight="1" x14ac:dyDescent="0.25">
      <c r="A28" s="851"/>
      <c r="B28" s="992"/>
      <c r="C28" s="992"/>
      <c r="D28" s="992"/>
      <c r="E28" s="992"/>
      <c r="F28" s="992"/>
      <c r="G28" s="992"/>
      <c r="H28" s="992"/>
      <c r="I28" s="353"/>
      <c r="J28" s="856"/>
      <c r="K28" s="918">
        <v>0</v>
      </c>
      <c r="L28" s="918">
        <v>0</v>
      </c>
    </row>
    <row r="29" spans="1:12" ht="45.75" hidden="1" customHeight="1" x14ac:dyDescent="0.25">
      <c r="A29" s="851"/>
      <c r="B29" s="992"/>
      <c r="C29" s="992"/>
      <c r="D29" s="992"/>
      <c r="E29" s="992"/>
      <c r="F29" s="992"/>
      <c r="G29" s="992"/>
      <c r="H29" s="992"/>
      <c r="I29" s="710"/>
      <c r="J29" s="856"/>
      <c r="K29" s="918">
        <v>0</v>
      </c>
      <c r="L29" s="918">
        <v>0</v>
      </c>
    </row>
    <row r="30" spans="1:12" ht="45.75" hidden="1" customHeight="1" x14ac:dyDescent="0.25">
      <c r="A30" s="851"/>
      <c r="B30" s="992"/>
      <c r="C30" s="992"/>
      <c r="D30" s="992"/>
      <c r="E30" s="992"/>
      <c r="F30" s="992"/>
      <c r="G30" s="992"/>
      <c r="H30" s="992"/>
      <c r="I30" s="436"/>
      <c r="J30" s="856"/>
      <c r="K30" s="918">
        <v>0</v>
      </c>
      <c r="L30" s="918">
        <v>0</v>
      </c>
    </row>
    <row r="31" spans="1:12" ht="42" hidden="1" customHeight="1" x14ac:dyDescent="0.25">
      <c r="A31" s="851"/>
      <c r="B31" s="992"/>
      <c r="C31" s="992"/>
      <c r="D31" s="992"/>
      <c r="E31" s="992"/>
      <c r="F31" s="992"/>
      <c r="G31" s="992"/>
      <c r="H31" s="992"/>
      <c r="I31" s="505"/>
      <c r="J31" s="856"/>
      <c r="K31" s="918">
        <v>0</v>
      </c>
      <c r="L31" s="918">
        <v>0</v>
      </c>
    </row>
    <row r="32" spans="1:12" ht="38.25" hidden="1" customHeight="1" x14ac:dyDescent="0.25">
      <c r="A32" s="851"/>
      <c r="B32" s="992"/>
      <c r="C32" s="992"/>
      <c r="D32" s="992"/>
      <c r="E32" s="992"/>
      <c r="F32" s="992"/>
      <c r="G32" s="992"/>
      <c r="H32" s="992"/>
      <c r="I32" s="994"/>
      <c r="J32" s="856"/>
      <c r="K32" s="918">
        <v>0</v>
      </c>
      <c r="L32" s="918">
        <v>0</v>
      </c>
    </row>
    <row r="33" spans="1:14" ht="45.75" hidden="1" customHeight="1" x14ac:dyDescent="0.25">
      <c r="A33" s="851"/>
      <c r="B33" s="992"/>
      <c r="C33" s="992"/>
      <c r="D33" s="992"/>
      <c r="E33" s="992"/>
      <c r="F33" s="992"/>
      <c r="G33" s="992"/>
      <c r="H33" s="992"/>
      <c r="I33" s="710"/>
      <c r="J33" s="856"/>
      <c r="K33" s="918">
        <v>0</v>
      </c>
      <c r="L33" s="918">
        <v>0</v>
      </c>
    </row>
    <row r="34" spans="1:14" ht="45.75" hidden="1" customHeight="1" x14ac:dyDescent="0.25">
      <c r="A34" s="851"/>
      <c r="B34" s="992"/>
      <c r="C34" s="992"/>
      <c r="D34" s="992"/>
      <c r="E34" s="992"/>
      <c r="F34" s="992"/>
      <c r="G34" s="992"/>
      <c r="H34" s="992"/>
      <c r="I34" s="850"/>
      <c r="J34" s="856"/>
      <c r="K34" s="918">
        <v>0</v>
      </c>
      <c r="L34" s="918">
        <v>0</v>
      </c>
    </row>
    <row r="35" spans="1:14" ht="65.25" hidden="1" customHeight="1" x14ac:dyDescent="0.25">
      <c r="A35" s="851"/>
      <c r="B35" s="992"/>
      <c r="C35" s="992"/>
      <c r="D35" s="992"/>
      <c r="E35" s="992"/>
      <c r="F35" s="992"/>
      <c r="G35" s="992"/>
      <c r="H35" s="992"/>
      <c r="I35" s="962"/>
      <c r="J35" s="856"/>
      <c r="K35" s="918">
        <v>0</v>
      </c>
      <c r="L35" s="918">
        <v>0</v>
      </c>
    </row>
    <row r="36" spans="1:14" ht="32.25" customHeight="1" x14ac:dyDescent="0.25">
      <c r="A36" s="851">
        <v>2</v>
      </c>
      <c r="B36" s="992" t="s">
        <v>15</v>
      </c>
      <c r="C36" s="992" t="s">
        <v>1055</v>
      </c>
      <c r="D36" s="992" t="s">
        <v>132</v>
      </c>
      <c r="E36" s="992" t="s">
        <v>1570</v>
      </c>
      <c r="F36" s="992" t="s">
        <v>124</v>
      </c>
      <c r="G36" s="992" t="s">
        <v>1057</v>
      </c>
      <c r="H36" s="933" t="s">
        <v>1571</v>
      </c>
      <c r="I36" s="451" t="s">
        <v>1679</v>
      </c>
      <c r="J36" s="856">
        <v>2011812.85</v>
      </c>
      <c r="K36" s="918">
        <v>0</v>
      </c>
      <c r="L36" s="918">
        <v>0</v>
      </c>
    </row>
    <row r="37" spans="1:14" ht="63.75" customHeight="1" x14ac:dyDescent="0.25">
      <c r="A37" s="851">
        <v>3</v>
      </c>
      <c r="B37" s="992" t="s">
        <v>16</v>
      </c>
      <c r="C37" s="992" t="s">
        <v>1055</v>
      </c>
      <c r="D37" s="992" t="s">
        <v>132</v>
      </c>
      <c r="E37" s="992" t="s">
        <v>1652</v>
      </c>
      <c r="F37" s="992" t="s">
        <v>124</v>
      </c>
      <c r="G37" s="992" t="s">
        <v>1057</v>
      </c>
      <c r="H37" s="933" t="s">
        <v>1571</v>
      </c>
      <c r="I37" s="453" t="s">
        <v>1653</v>
      </c>
      <c r="J37" s="856">
        <v>9338.4599999999991</v>
      </c>
      <c r="K37" s="918">
        <v>0</v>
      </c>
      <c r="L37" s="918">
        <v>0</v>
      </c>
    </row>
    <row r="38" spans="1:14" ht="70.5" customHeight="1" x14ac:dyDescent="0.25">
      <c r="A38" s="907">
        <v>4</v>
      </c>
      <c r="B38" s="992" t="s">
        <v>18</v>
      </c>
      <c r="C38" s="992" t="s">
        <v>1055</v>
      </c>
      <c r="D38" s="992" t="s">
        <v>132</v>
      </c>
      <c r="E38" s="992" t="s">
        <v>1645</v>
      </c>
      <c r="F38" s="992" t="s">
        <v>124</v>
      </c>
      <c r="G38" s="992" t="s">
        <v>1057</v>
      </c>
      <c r="H38" s="933" t="s">
        <v>1571</v>
      </c>
      <c r="I38" s="436" t="s">
        <v>700</v>
      </c>
      <c r="J38" s="856">
        <v>1706663.42</v>
      </c>
      <c r="K38" s="918">
        <v>0</v>
      </c>
      <c r="L38" s="918">
        <v>0</v>
      </c>
    </row>
    <row r="39" spans="1:14" x14ac:dyDescent="0.25">
      <c r="A39" s="82"/>
      <c r="B39" s="1342" t="s">
        <v>937</v>
      </c>
      <c r="C39" s="1342"/>
      <c r="D39" s="1342"/>
      <c r="E39" s="1342"/>
      <c r="F39" s="1342"/>
      <c r="G39" s="1342"/>
      <c r="H39" s="1342"/>
      <c r="I39" s="1342"/>
      <c r="J39" s="46">
        <f>SUM(J7:J15)+J16+J17+J18+J19+J20+J21+J22+J23+J24+J25+J26+J27+J28+J29+J30+J31+J32+J33+J34+J35+J36+J37+J38</f>
        <v>3769014</v>
      </c>
      <c r="K39" s="46">
        <f>SUM(K7:K15)</f>
        <v>0</v>
      </c>
      <c r="L39" s="46">
        <f>SUM(L7:L15)</f>
        <v>0</v>
      </c>
    </row>
    <row r="40" spans="1:14" ht="9.75" customHeight="1" x14ac:dyDescent="0.25">
      <c r="B40" s="361"/>
      <c r="C40" s="361"/>
      <c r="D40" s="361"/>
      <c r="E40" s="361"/>
      <c r="F40" s="361"/>
      <c r="G40" s="361"/>
    </row>
    <row r="41" spans="1:14" ht="15" customHeight="1" x14ac:dyDescent="0.25">
      <c r="B41" s="1308" t="s">
        <v>938</v>
      </c>
      <c r="C41" s="1308"/>
      <c r="D41" s="1308"/>
      <c r="E41" s="1308"/>
      <c r="F41" s="1308"/>
      <c r="G41" s="1308"/>
      <c r="H41" s="1308"/>
      <c r="I41" s="1308"/>
      <c r="J41" s="1308"/>
    </row>
    <row r="42" spans="1:14" x14ac:dyDescent="0.25">
      <c r="A42" s="1343" t="s">
        <v>935</v>
      </c>
      <c r="B42" s="1321" t="s">
        <v>121</v>
      </c>
      <c r="C42" s="1322"/>
      <c r="D42" s="1322"/>
      <c r="E42" s="1322"/>
      <c r="F42" s="1322"/>
      <c r="G42" s="1322"/>
      <c r="H42" s="1323"/>
      <c r="I42" s="1132" t="s">
        <v>1</v>
      </c>
      <c r="J42" s="1136" t="s">
        <v>936</v>
      </c>
      <c r="K42" s="1137"/>
      <c r="L42" s="1138"/>
    </row>
    <row r="43" spans="1:14" x14ac:dyDescent="0.25">
      <c r="A43" s="1344"/>
      <c r="B43" s="1324"/>
      <c r="C43" s="1325"/>
      <c r="D43" s="1325"/>
      <c r="E43" s="1325"/>
      <c r="F43" s="1325"/>
      <c r="G43" s="1325"/>
      <c r="H43" s="1326"/>
      <c r="I43" s="1133"/>
      <c r="J43" s="712">
        <v>2019</v>
      </c>
      <c r="K43" s="78">
        <v>2020</v>
      </c>
      <c r="L43" s="78">
        <v>2021</v>
      </c>
    </row>
    <row r="44" spans="1:14" ht="14.25" hidden="1" customHeight="1" x14ac:dyDescent="0.25">
      <c r="A44" s="362"/>
      <c r="B44" s="1338"/>
      <c r="C44" s="1338"/>
      <c r="D44" s="1338"/>
      <c r="E44" s="1338"/>
      <c r="F44" s="1338"/>
      <c r="G44" s="1338"/>
      <c r="H44" s="1338"/>
      <c r="I44" s="363"/>
      <c r="J44" s="41">
        <v>0</v>
      </c>
      <c r="K44" s="110">
        <v>0</v>
      </c>
      <c r="L44" s="84">
        <v>0</v>
      </c>
      <c r="N44" s="360"/>
    </row>
    <row r="45" spans="1:14" hidden="1" x14ac:dyDescent="0.25">
      <c r="A45" s="344"/>
      <c r="B45" s="1339"/>
      <c r="C45" s="1340"/>
      <c r="D45" s="1340"/>
      <c r="E45" s="1340"/>
      <c r="F45" s="1340"/>
      <c r="G45" s="1340"/>
      <c r="H45" s="1341"/>
      <c r="I45" s="363"/>
      <c r="J45" s="364"/>
      <c r="K45" s="84"/>
      <c r="L45" s="84">
        <v>0</v>
      </c>
    </row>
    <row r="46" spans="1:14" ht="14.25" hidden="1" customHeight="1" x14ac:dyDescent="0.25">
      <c r="A46" s="366"/>
      <c r="B46" s="1345"/>
      <c r="C46" s="1346"/>
      <c r="D46" s="1346"/>
      <c r="E46" s="1346"/>
      <c r="F46" s="1346"/>
      <c r="G46" s="1346"/>
      <c r="H46" s="1347"/>
      <c r="I46" s="367"/>
      <c r="J46" s="41"/>
      <c r="K46" s="84"/>
      <c r="L46" s="84"/>
    </row>
    <row r="47" spans="1:14" hidden="1" x14ac:dyDescent="0.25">
      <c r="A47" s="366"/>
      <c r="B47" s="1345"/>
      <c r="C47" s="1346"/>
      <c r="D47" s="1346"/>
      <c r="E47" s="1346"/>
      <c r="F47" s="1346"/>
      <c r="G47" s="1346"/>
      <c r="H47" s="1347"/>
      <c r="I47" s="367"/>
      <c r="J47" s="41"/>
      <c r="K47" s="82"/>
      <c r="L47" s="82"/>
    </row>
    <row r="48" spans="1:14" hidden="1" x14ac:dyDescent="0.25">
      <c r="A48" s="82"/>
      <c r="B48" s="1345"/>
      <c r="C48" s="1346"/>
      <c r="D48" s="1346"/>
      <c r="E48" s="1346"/>
      <c r="F48" s="1346"/>
      <c r="G48" s="1346"/>
      <c r="H48" s="1346"/>
      <c r="I48" s="21"/>
      <c r="J48" s="41"/>
      <c r="K48" s="82"/>
      <c r="L48" s="82"/>
    </row>
    <row r="49" spans="1:12" x14ac:dyDescent="0.25">
      <c r="A49" s="82"/>
      <c r="B49" s="1297" t="s">
        <v>939</v>
      </c>
      <c r="C49" s="1298"/>
      <c r="D49" s="1298"/>
      <c r="E49" s="1298"/>
      <c r="F49" s="1298"/>
      <c r="G49" s="1298"/>
      <c r="H49" s="1298"/>
      <c r="I49" s="1299"/>
      <c r="J49" s="46">
        <f>SUM(J44:J48)</f>
        <v>0</v>
      </c>
      <c r="K49" s="46">
        <f>SUM(K44:K48)</f>
        <v>0</v>
      </c>
      <c r="L49" s="46">
        <f>SUM(L44:L48)</f>
        <v>0</v>
      </c>
    </row>
    <row r="50" spans="1:12" ht="12" customHeight="1" x14ac:dyDescent="0.25">
      <c r="B50" s="361"/>
      <c r="C50" s="361"/>
      <c r="D50" s="361"/>
      <c r="E50" s="361"/>
      <c r="F50" s="361"/>
      <c r="G50" s="361"/>
    </row>
    <row r="51" spans="1:12" hidden="1" x14ac:dyDescent="0.25">
      <c r="B51" s="361"/>
      <c r="C51" s="361"/>
      <c r="D51" s="361"/>
      <c r="E51" s="361"/>
      <c r="F51" s="361"/>
      <c r="G51" s="361"/>
    </row>
    <row r="52" spans="1:12" x14ac:dyDescent="0.25">
      <c r="B52" s="1308" t="s">
        <v>940</v>
      </c>
      <c r="C52" s="1308"/>
      <c r="D52" s="1308"/>
      <c r="E52" s="1308"/>
      <c r="F52" s="1308"/>
      <c r="G52" s="1308"/>
      <c r="H52" s="1308"/>
      <c r="I52" s="1308"/>
      <c r="J52" s="1308"/>
    </row>
    <row r="53" spans="1:12" x14ac:dyDescent="0.25">
      <c r="A53" s="1336" t="s">
        <v>935</v>
      </c>
      <c r="B53" s="1320" t="s">
        <v>941</v>
      </c>
      <c r="C53" s="1320" t="s">
        <v>134</v>
      </c>
      <c r="D53" s="1320" t="s">
        <v>264</v>
      </c>
      <c r="E53" s="1321" t="s">
        <v>197</v>
      </c>
      <c r="F53" s="1322"/>
      <c r="G53" s="1323"/>
      <c r="H53" s="1320" t="s">
        <v>225</v>
      </c>
      <c r="I53" s="1348" t="s">
        <v>1</v>
      </c>
      <c r="J53" s="1136" t="s">
        <v>936</v>
      </c>
      <c r="K53" s="1137"/>
      <c r="L53" s="1138"/>
    </row>
    <row r="54" spans="1:12" x14ac:dyDescent="0.25">
      <c r="A54" s="1337"/>
      <c r="B54" s="1320"/>
      <c r="C54" s="1320"/>
      <c r="D54" s="1320"/>
      <c r="E54" s="1324"/>
      <c r="F54" s="1325"/>
      <c r="G54" s="1326"/>
      <c r="H54" s="1320"/>
      <c r="I54" s="1348"/>
      <c r="J54" s="712">
        <v>2019</v>
      </c>
      <c r="K54" s="78">
        <v>2020</v>
      </c>
      <c r="L54" s="78">
        <v>2021</v>
      </c>
    </row>
    <row r="55" spans="1:12" ht="25.5" customHeight="1" x14ac:dyDescent="0.25">
      <c r="A55" s="368"/>
      <c r="B55" s="1468" t="s">
        <v>942</v>
      </c>
      <c r="C55" s="1468"/>
      <c r="D55" s="1468"/>
      <c r="E55" s="1468"/>
      <c r="F55" s="1468"/>
      <c r="G55" s="1468"/>
      <c r="H55" s="1468"/>
      <c r="I55" s="1469"/>
      <c r="J55" s="369">
        <f>SUM(J56:J65)+J66+J67+J68+J69+J70+J71+J72</f>
        <v>1214643.45</v>
      </c>
      <c r="K55" s="369">
        <f>SUM(K56:K57)+K58+K59+K60+K61+K62</f>
        <v>0</v>
      </c>
      <c r="L55" s="369">
        <f>SUM(L56:L57)+L58+L59+L60+L61+L62</f>
        <v>0</v>
      </c>
    </row>
    <row r="56" spans="1:12" ht="96" customHeight="1" x14ac:dyDescent="0.25">
      <c r="A56" s="865">
        <v>1</v>
      </c>
      <c r="B56" s="838" t="s">
        <v>15</v>
      </c>
      <c r="C56" s="838" t="s">
        <v>122</v>
      </c>
      <c r="D56" s="838" t="s">
        <v>130</v>
      </c>
      <c r="E56" s="838" t="s">
        <v>1548</v>
      </c>
      <c r="F56" s="1284" t="s">
        <v>1628</v>
      </c>
      <c r="G56" s="1285"/>
      <c r="H56" s="822" t="s">
        <v>38</v>
      </c>
      <c r="I56" s="1087" t="s">
        <v>1629</v>
      </c>
      <c r="J56" s="364">
        <v>-59961.21</v>
      </c>
      <c r="K56" s="84">
        <v>0</v>
      </c>
      <c r="L56" s="84">
        <v>0</v>
      </c>
    </row>
    <row r="57" spans="1:12" s="1" customFormat="1" ht="104.25" customHeight="1" x14ac:dyDescent="0.25">
      <c r="A57" s="865">
        <v>2</v>
      </c>
      <c r="B57" s="838" t="s">
        <v>15</v>
      </c>
      <c r="C57" s="838" t="s">
        <v>122</v>
      </c>
      <c r="D57" s="838" t="s">
        <v>130</v>
      </c>
      <c r="E57" s="838" t="s">
        <v>1548</v>
      </c>
      <c r="F57" s="1284" t="s">
        <v>1618</v>
      </c>
      <c r="G57" s="1285"/>
      <c r="H57" s="822" t="s">
        <v>294</v>
      </c>
      <c r="I57" s="1099" t="s">
        <v>1627</v>
      </c>
      <c r="J57" s="364">
        <v>1089904.99</v>
      </c>
      <c r="K57" s="110">
        <v>0</v>
      </c>
      <c r="L57" s="110">
        <v>0</v>
      </c>
    </row>
    <row r="58" spans="1:12" s="1" customFormat="1" ht="99" customHeight="1" x14ac:dyDescent="0.25">
      <c r="A58" s="865">
        <v>3</v>
      </c>
      <c r="B58" s="838" t="s">
        <v>15</v>
      </c>
      <c r="C58" s="838" t="s">
        <v>122</v>
      </c>
      <c r="D58" s="838" t="s">
        <v>130</v>
      </c>
      <c r="E58" s="838" t="s">
        <v>1548</v>
      </c>
      <c r="F58" s="1284" t="s">
        <v>1613</v>
      </c>
      <c r="G58" s="1285"/>
      <c r="H58" s="946" t="s">
        <v>275</v>
      </c>
      <c r="I58" s="819" t="s">
        <v>1614</v>
      </c>
      <c r="J58" s="364">
        <v>4500</v>
      </c>
      <c r="K58" s="110">
        <v>0</v>
      </c>
      <c r="L58" s="110">
        <v>0</v>
      </c>
    </row>
    <row r="59" spans="1:12" s="1" customFormat="1" ht="100.5" customHeight="1" x14ac:dyDescent="0.25">
      <c r="A59" s="378">
        <v>4</v>
      </c>
      <c r="B59" s="419" t="s">
        <v>15</v>
      </c>
      <c r="C59" s="419" t="s">
        <v>122</v>
      </c>
      <c r="D59" s="419" t="s">
        <v>130</v>
      </c>
      <c r="E59" s="419" t="s">
        <v>1548</v>
      </c>
      <c r="F59" s="1467" t="s">
        <v>1611</v>
      </c>
      <c r="G59" s="1383"/>
      <c r="H59" s="784" t="s">
        <v>294</v>
      </c>
      <c r="I59" s="819" t="s">
        <v>1612</v>
      </c>
      <c r="J59" s="364">
        <v>-4500</v>
      </c>
      <c r="K59" s="365">
        <v>0</v>
      </c>
      <c r="L59" s="365">
        <v>0</v>
      </c>
    </row>
    <row r="60" spans="1:12" s="1" customFormat="1" ht="50.25" customHeight="1" x14ac:dyDescent="0.25">
      <c r="A60" s="1044">
        <v>5</v>
      </c>
      <c r="B60" s="838" t="s">
        <v>15</v>
      </c>
      <c r="C60" s="838" t="s">
        <v>122</v>
      </c>
      <c r="D60" s="838" t="s">
        <v>125</v>
      </c>
      <c r="E60" s="838" t="s">
        <v>1556</v>
      </c>
      <c r="F60" s="1284" t="s">
        <v>1631</v>
      </c>
      <c r="G60" s="1285"/>
      <c r="H60" s="822" t="s">
        <v>38</v>
      </c>
      <c r="I60" s="224" t="s">
        <v>1630</v>
      </c>
      <c r="J60" s="364">
        <v>-35231.61</v>
      </c>
      <c r="K60" s="365">
        <v>0</v>
      </c>
      <c r="L60" s="365">
        <v>0</v>
      </c>
    </row>
    <row r="61" spans="1:12" s="1" customFormat="1" ht="63" customHeight="1" x14ac:dyDescent="0.25">
      <c r="A61" s="1044">
        <v>6</v>
      </c>
      <c r="B61" s="838" t="s">
        <v>15</v>
      </c>
      <c r="C61" s="838" t="s">
        <v>122</v>
      </c>
      <c r="D61" s="838" t="s">
        <v>123</v>
      </c>
      <c r="E61" s="838" t="s">
        <v>1556</v>
      </c>
      <c r="F61" s="1284" t="s">
        <v>1632</v>
      </c>
      <c r="G61" s="1285"/>
      <c r="H61" s="822" t="s">
        <v>38</v>
      </c>
      <c r="I61" s="224" t="s">
        <v>1633</v>
      </c>
      <c r="J61" s="364">
        <v>-52036.959999999999</v>
      </c>
      <c r="K61" s="365">
        <v>0</v>
      </c>
      <c r="L61" s="110">
        <v>0</v>
      </c>
    </row>
    <row r="62" spans="1:12" s="1" customFormat="1" ht="114.75" hidden="1" customHeight="1" x14ac:dyDescent="0.25">
      <c r="A62" s="376"/>
      <c r="B62" s="393"/>
      <c r="C62" s="393"/>
      <c r="D62" s="393"/>
      <c r="E62" s="393"/>
      <c r="F62" s="1291"/>
      <c r="G62" s="1292"/>
      <c r="H62" s="394"/>
      <c r="I62" s="1054"/>
      <c r="J62" s="364"/>
      <c r="K62" s="110"/>
      <c r="L62" s="110">
        <v>0</v>
      </c>
    </row>
    <row r="63" spans="1:12" s="1" customFormat="1" ht="41.25" hidden="1" customHeight="1" x14ac:dyDescent="0.25">
      <c r="A63" s="1476"/>
      <c r="B63" s="1460"/>
      <c r="C63" s="1460"/>
      <c r="D63" s="1460"/>
      <c r="E63" s="1460"/>
      <c r="F63" s="1461"/>
      <c r="G63" s="1294"/>
      <c r="H63" s="822"/>
      <c r="I63" s="1474"/>
      <c r="J63" s="823"/>
      <c r="K63" s="918"/>
      <c r="L63" s="918">
        <v>0</v>
      </c>
    </row>
    <row r="64" spans="1:12" s="1" customFormat="1" ht="60" hidden="1" customHeight="1" x14ac:dyDescent="0.25">
      <c r="A64" s="1477"/>
      <c r="B64" s="1287"/>
      <c r="C64" s="1287"/>
      <c r="D64" s="1287"/>
      <c r="E64" s="1287"/>
      <c r="F64" s="1462"/>
      <c r="G64" s="1296"/>
      <c r="H64" s="822"/>
      <c r="I64" s="1475"/>
      <c r="J64" s="823"/>
      <c r="K64" s="918"/>
      <c r="L64" s="918">
        <v>0</v>
      </c>
    </row>
    <row r="65" spans="1:12" s="1" customFormat="1" ht="97.5" customHeight="1" x14ac:dyDescent="0.25">
      <c r="A65" s="1044">
        <v>7</v>
      </c>
      <c r="B65" s="838" t="s">
        <v>19</v>
      </c>
      <c r="C65" s="838" t="s">
        <v>122</v>
      </c>
      <c r="D65" s="838" t="s">
        <v>130</v>
      </c>
      <c r="E65" s="838" t="s">
        <v>1634</v>
      </c>
      <c r="F65" s="1306" t="s">
        <v>1635</v>
      </c>
      <c r="G65" s="1306"/>
      <c r="H65" s="818" t="s">
        <v>38</v>
      </c>
      <c r="I65" s="224" t="s">
        <v>1636</v>
      </c>
      <c r="J65" s="403">
        <v>-72523.55</v>
      </c>
      <c r="K65" s="110">
        <v>0</v>
      </c>
      <c r="L65" s="110">
        <v>0</v>
      </c>
    </row>
    <row r="66" spans="1:12" s="1" customFormat="1" ht="54.75" customHeight="1" x14ac:dyDescent="0.25">
      <c r="A66" s="1101">
        <v>8</v>
      </c>
      <c r="B66" s="1102" t="s">
        <v>15</v>
      </c>
      <c r="C66" s="1102" t="s">
        <v>122</v>
      </c>
      <c r="D66" s="1102" t="s">
        <v>123</v>
      </c>
      <c r="E66" s="1102" t="s">
        <v>1556</v>
      </c>
      <c r="F66" s="1317" t="s">
        <v>1557</v>
      </c>
      <c r="G66" s="1292"/>
      <c r="H66" s="1026" t="s">
        <v>38</v>
      </c>
      <c r="I66" s="449" t="s">
        <v>1637</v>
      </c>
      <c r="J66" s="758">
        <v>153908.14000000001</v>
      </c>
      <c r="K66" s="918">
        <v>0</v>
      </c>
      <c r="L66" s="918">
        <v>0</v>
      </c>
    </row>
    <row r="67" spans="1:12" s="1" customFormat="1" ht="100.5" customHeight="1" x14ac:dyDescent="0.25">
      <c r="A67" s="1044">
        <v>9</v>
      </c>
      <c r="B67" s="838" t="s">
        <v>15</v>
      </c>
      <c r="C67" s="838" t="s">
        <v>122</v>
      </c>
      <c r="D67" s="838" t="s">
        <v>130</v>
      </c>
      <c r="E67" s="838" t="s">
        <v>1548</v>
      </c>
      <c r="F67" s="1284" t="s">
        <v>1613</v>
      </c>
      <c r="G67" s="1285"/>
      <c r="H67" s="822" t="s">
        <v>38</v>
      </c>
      <c r="I67" s="1086" t="s">
        <v>1638</v>
      </c>
      <c r="J67" s="823">
        <v>59961.22</v>
      </c>
      <c r="K67" s="918">
        <v>0</v>
      </c>
      <c r="L67" s="918">
        <v>0</v>
      </c>
    </row>
    <row r="68" spans="1:12" s="1" customFormat="1" ht="99" customHeight="1" x14ac:dyDescent="0.25">
      <c r="A68" s="1044">
        <v>10</v>
      </c>
      <c r="B68" s="838" t="s">
        <v>15</v>
      </c>
      <c r="C68" s="838" t="s">
        <v>122</v>
      </c>
      <c r="D68" s="838" t="s">
        <v>130</v>
      </c>
      <c r="E68" s="838" t="s">
        <v>1548</v>
      </c>
      <c r="F68" s="1284" t="s">
        <v>1576</v>
      </c>
      <c r="G68" s="1285"/>
      <c r="H68" s="822" t="s">
        <v>38</v>
      </c>
      <c r="I68" s="1087" t="s">
        <v>1639</v>
      </c>
      <c r="J68" s="823">
        <v>5883.97</v>
      </c>
      <c r="K68" s="918">
        <v>0</v>
      </c>
      <c r="L68" s="918">
        <v>0</v>
      </c>
    </row>
    <row r="69" spans="1:12" s="1" customFormat="1" ht="117.75" customHeight="1" x14ac:dyDescent="0.25">
      <c r="A69" s="1101">
        <v>11</v>
      </c>
      <c r="B69" s="1102" t="s">
        <v>16</v>
      </c>
      <c r="C69" s="1102" t="s">
        <v>122</v>
      </c>
      <c r="D69" s="1102" t="s">
        <v>125</v>
      </c>
      <c r="E69" s="1102" t="s">
        <v>1654</v>
      </c>
      <c r="F69" s="1317" t="s">
        <v>1655</v>
      </c>
      <c r="G69" s="1292"/>
      <c r="H69" s="1026" t="s">
        <v>38</v>
      </c>
      <c r="I69" s="1106" t="s">
        <v>1656</v>
      </c>
      <c r="J69" s="1111">
        <v>9338.4599999999991</v>
      </c>
      <c r="K69" s="918">
        <v>0</v>
      </c>
      <c r="L69" s="918">
        <v>0</v>
      </c>
    </row>
    <row r="70" spans="1:12" s="1" customFormat="1" ht="65.25" customHeight="1" x14ac:dyDescent="0.25">
      <c r="A70" s="1399">
        <v>12</v>
      </c>
      <c r="B70" s="838" t="s">
        <v>15</v>
      </c>
      <c r="C70" s="1368" t="s">
        <v>122</v>
      </c>
      <c r="D70" s="1368" t="s">
        <v>130</v>
      </c>
      <c r="E70" s="1368" t="s">
        <v>1548</v>
      </c>
      <c r="F70" s="1327" t="s">
        <v>1657</v>
      </c>
      <c r="G70" s="1294"/>
      <c r="H70" s="822" t="s">
        <v>275</v>
      </c>
      <c r="I70" s="1479" t="s">
        <v>1674</v>
      </c>
      <c r="J70" s="1111">
        <f>-18382.06-65198.42-172800</f>
        <v>-256380.47999999998</v>
      </c>
      <c r="K70" s="918">
        <v>0</v>
      </c>
      <c r="L70" s="918">
        <v>0</v>
      </c>
    </row>
    <row r="71" spans="1:12" s="1" customFormat="1" ht="85.5" customHeight="1" x14ac:dyDescent="0.25">
      <c r="A71" s="1400"/>
      <c r="B71" s="838" t="s">
        <v>16</v>
      </c>
      <c r="C71" s="1369"/>
      <c r="D71" s="1369"/>
      <c r="E71" s="1369"/>
      <c r="F71" s="1330"/>
      <c r="G71" s="1296"/>
      <c r="H71" s="822" t="s">
        <v>427</v>
      </c>
      <c r="I71" s="1480"/>
      <c r="J71" s="1111">
        <f>18382.06+65198.42+172800</f>
        <v>256380.47999999998</v>
      </c>
      <c r="K71" s="918">
        <v>0</v>
      </c>
      <c r="L71" s="918">
        <v>0</v>
      </c>
    </row>
    <row r="72" spans="1:12" s="1" customFormat="1" ht="32.25" customHeight="1" x14ac:dyDescent="0.25">
      <c r="A72" s="1044">
        <v>13</v>
      </c>
      <c r="B72" s="838" t="s">
        <v>15</v>
      </c>
      <c r="C72" s="838" t="s">
        <v>122</v>
      </c>
      <c r="D72" s="838" t="s">
        <v>130</v>
      </c>
      <c r="E72" s="838" t="s">
        <v>1664</v>
      </c>
      <c r="F72" s="1284" t="s">
        <v>1665</v>
      </c>
      <c r="G72" s="1285"/>
      <c r="H72" s="822" t="s">
        <v>275</v>
      </c>
      <c r="I72" s="416" t="s">
        <v>1666</v>
      </c>
      <c r="J72" s="1111">
        <v>115400</v>
      </c>
      <c r="K72" s="918">
        <v>0</v>
      </c>
      <c r="L72" s="918">
        <v>0</v>
      </c>
    </row>
    <row r="73" spans="1:12" s="1" customFormat="1" ht="22.5" customHeight="1" x14ac:dyDescent="0.25">
      <c r="A73" s="1044"/>
      <c r="B73" s="838"/>
      <c r="C73" s="838"/>
      <c r="D73" s="838"/>
      <c r="E73" s="838"/>
      <c r="F73" s="1284"/>
      <c r="G73" s="1285"/>
      <c r="H73" s="822"/>
      <c r="I73" s="1106"/>
      <c r="J73" s="1111"/>
      <c r="K73" s="918"/>
      <c r="L73" s="918"/>
    </row>
    <row r="74" spans="1:12" s="1" customFormat="1" x14ac:dyDescent="0.25">
      <c r="A74" s="1105"/>
      <c r="B74" s="1470" t="s">
        <v>943</v>
      </c>
      <c r="C74" s="1310"/>
      <c r="D74" s="1310"/>
      <c r="E74" s="1310"/>
      <c r="F74" s="1310"/>
      <c r="G74" s="1310"/>
      <c r="H74" s="1310"/>
      <c r="I74" s="1311"/>
      <c r="J74" s="1055">
        <f>J75+J77+J76</f>
        <v>-278077.3</v>
      </c>
      <c r="K74" s="46">
        <f>K75+K77+K76</f>
        <v>0</v>
      </c>
      <c r="L74" s="46">
        <f>L75+L77</f>
        <v>0</v>
      </c>
    </row>
    <row r="75" spans="1:12" s="1" customFormat="1" ht="67.5" customHeight="1" x14ac:dyDescent="0.3">
      <c r="A75" s="1439">
        <v>1</v>
      </c>
      <c r="B75" s="372" t="s">
        <v>16</v>
      </c>
      <c r="C75" s="1454" t="s">
        <v>123</v>
      </c>
      <c r="D75" s="1454" t="s">
        <v>127</v>
      </c>
      <c r="E75" s="1454" t="s">
        <v>1622</v>
      </c>
      <c r="F75" s="1497" t="s">
        <v>1671</v>
      </c>
      <c r="G75" s="1498"/>
      <c r="H75" s="760" t="s">
        <v>427</v>
      </c>
      <c r="I75" s="1353" t="s">
        <v>1672</v>
      </c>
      <c r="J75" s="364">
        <v>-75068.75</v>
      </c>
      <c r="K75" s="110">
        <v>0</v>
      </c>
      <c r="L75" s="110">
        <v>0</v>
      </c>
    </row>
    <row r="76" spans="1:12" s="1" customFormat="1" ht="64.5" customHeight="1" x14ac:dyDescent="0.3">
      <c r="A76" s="1440"/>
      <c r="B76" s="372" t="s">
        <v>15</v>
      </c>
      <c r="C76" s="1455"/>
      <c r="D76" s="1455"/>
      <c r="E76" s="1455"/>
      <c r="F76" s="1499"/>
      <c r="G76" s="1500"/>
      <c r="H76" s="760" t="s">
        <v>275</v>
      </c>
      <c r="I76" s="1351"/>
      <c r="J76" s="364">
        <v>75068.75</v>
      </c>
      <c r="K76" s="365">
        <v>0</v>
      </c>
      <c r="L76" s="110">
        <v>0</v>
      </c>
    </row>
    <row r="77" spans="1:12" s="1" customFormat="1" ht="129.75" customHeight="1" x14ac:dyDescent="0.3">
      <c r="A77" s="376">
        <v>2</v>
      </c>
      <c r="B77" s="372" t="s">
        <v>19</v>
      </c>
      <c r="C77" s="372" t="s">
        <v>123</v>
      </c>
      <c r="D77" s="372" t="s">
        <v>127</v>
      </c>
      <c r="E77" s="372" t="s">
        <v>1622</v>
      </c>
      <c r="F77" s="1284" t="s">
        <v>1618</v>
      </c>
      <c r="G77" s="1285"/>
      <c r="H77" s="760" t="s">
        <v>294</v>
      </c>
      <c r="I77" s="416" t="s">
        <v>1623</v>
      </c>
      <c r="J77" s="364">
        <v>-278077.3</v>
      </c>
      <c r="K77" s="110">
        <v>0</v>
      </c>
      <c r="L77" s="110">
        <v>0</v>
      </c>
    </row>
    <row r="78" spans="1:12" s="1" customFormat="1" ht="17.25" customHeight="1" x14ac:dyDescent="0.25">
      <c r="A78" s="378"/>
      <c r="B78" s="1446" t="s">
        <v>944</v>
      </c>
      <c r="C78" s="1447"/>
      <c r="D78" s="1447"/>
      <c r="E78" s="1447"/>
      <c r="F78" s="1447"/>
      <c r="G78" s="1447"/>
      <c r="H78" s="1447"/>
      <c r="I78" s="1448"/>
      <c r="J78" s="369">
        <f>SUM(J79:J84)+J86+J85+J87+J88+J89+J90+J91++J92+J93+J94+J95</f>
        <v>0</v>
      </c>
      <c r="K78" s="369">
        <f>SUM(K79:K84)+K86+K85+K87+K88+K89+K90+K91++K92+K93+K94</f>
        <v>0</v>
      </c>
      <c r="L78" s="369">
        <f>SUM(L79:L84)+L86+L85+L87+L88+L89+L90+L91++L92+L93+L94</f>
        <v>0</v>
      </c>
    </row>
    <row r="79" spans="1:12" s="1" customFormat="1" ht="16.5" hidden="1" x14ac:dyDescent="0.3">
      <c r="A79" s="362"/>
      <c r="B79" s="372"/>
      <c r="C79" s="372"/>
      <c r="D79" s="372"/>
      <c r="E79" s="372"/>
      <c r="F79" s="1312"/>
      <c r="G79" s="1313"/>
      <c r="H79" s="496"/>
      <c r="I79" s="224"/>
      <c r="J79" s="364"/>
      <c r="K79" s="110">
        <v>0</v>
      </c>
      <c r="L79" s="110">
        <v>0</v>
      </c>
    </row>
    <row r="80" spans="1:12" s="1" customFormat="1" ht="16.5" hidden="1" x14ac:dyDescent="0.3">
      <c r="A80" s="362"/>
      <c r="B80" s="372"/>
      <c r="C80" s="372"/>
      <c r="D80" s="372"/>
      <c r="E80" s="372"/>
      <c r="F80" s="1312"/>
      <c r="G80" s="1313"/>
      <c r="H80" s="496"/>
      <c r="I80" s="224"/>
      <c r="J80" s="364"/>
      <c r="K80" s="110">
        <v>0</v>
      </c>
      <c r="L80" s="110">
        <v>0</v>
      </c>
    </row>
    <row r="81" spans="1:12" s="1" customFormat="1" ht="0.75" hidden="1" customHeight="1" x14ac:dyDescent="0.3">
      <c r="A81" s="362"/>
      <c r="B81" s="372"/>
      <c r="C81" s="372"/>
      <c r="D81" s="372"/>
      <c r="E81" s="372"/>
      <c r="F81" s="1312"/>
      <c r="G81" s="1313"/>
      <c r="H81" s="372"/>
      <c r="I81" s="449"/>
      <c r="J81" s="364"/>
      <c r="K81" s="110">
        <v>0</v>
      </c>
      <c r="L81" s="110">
        <v>0</v>
      </c>
    </row>
    <row r="82" spans="1:12" s="1" customFormat="1" ht="116.25" hidden="1" customHeight="1" x14ac:dyDescent="0.3">
      <c r="A82" s="728"/>
      <c r="B82" s="372"/>
      <c r="C82" s="372"/>
      <c r="D82" s="372"/>
      <c r="E82" s="372"/>
      <c r="F82" s="1312"/>
      <c r="G82" s="1313"/>
      <c r="H82" s="760"/>
      <c r="I82" s="861"/>
      <c r="J82" s="364"/>
      <c r="K82" s="110">
        <v>0</v>
      </c>
      <c r="L82" s="110">
        <v>0</v>
      </c>
    </row>
    <row r="83" spans="1:12" s="1" customFormat="1" ht="85.5" hidden="1" customHeight="1" x14ac:dyDescent="0.3">
      <c r="A83" s="728"/>
      <c r="B83" s="372"/>
      <c r="C83" s="372"/>
      <c r="D83" s="372"/>
      <c r="E83" s="372"/>
      <c r="F83" s="1312"/>
      <c r="G83" s="1313"/>
      <c r="H83" s="760"/>
      <c r="I83" s="858"/>
      <c r="J83" s="364"/>
      <c r="K83" s="110">
        <v>0</v>
      </c>
      <c r="L83" s="110">
        <v>0</v>
      </c>
    </row>
    <row r="84" spans="1:12" s="1" customFormat="1" ht="77.25" hidden="1" customHeight="1" x14ac:dyDescent="0.3">
      <c r="A84" s="362"/>
      <c r="B84" s="379"/>
      <c r="C84" s="379"/>
      <c r="D84" s="379"/>
      <c r="E84" s="379"/>
      <c r="F84" s="1463"/>
      <c r="G84" s="1464"/>
      <c r="H84" s="862"/>
      <c r="I84" s="858"/>
      <c r="J84" s="364"/>
      <c r="K84" s="41">
        <v>0</v>
      </c>
      <c r="L84" s="41">
        <v>0</v>
      </c>
    </row>
    <row r="85" spans="1:12" s="1" customFormat="1" ht="81" hidden="1" customHeight="1" x14ac:dyDescent="0.3">
      <c r="A85" s="362"/>
      <c r="B85" s="379"/>
      <c r="C85" s="379"/>
      <c r="D85" s="379"/>
      <c r="E85" s="379"/>
      <c r="F85" s="1463"/>
      <c r="G85" s="1464"/>
      <c r="H85" s="862"/>
      <c r="I85" s="377"/>
      <c r="J85" s="384"/>
      <c r="K85" s="400">
        <v>0</v>
      </c>
      <c r="L85" s="400">
        <v>0</v>
      </c>
    </row>
    <row r="86" spans="1:12" s="1" customFormat="1" ht="116.25" hidden="1" customHeight="1" x14ac:dyDescent="0.3">
      <c r="A86" s="376"/>
      <c r="B86" s="448"/>
      <c r="C86" s="448"/>
      <c r="D86" s="448"/>
      <c r="E86" s="448"/>
      <c r="F86" s="1478"/>
      <c r="G86" s="1478"/>
      <c r="H86" s="863"/>
      <c r="I86" s="819"/>
      <c r="J86" s="758"/>
      <c r="K86" s="385">
        <v>0</v>
      </c>
      <c r="L86" s="385">
        <v>0</v>
      </c>
    </row>
    <row r="87" spans="1:12" s="1" customFormat="1" ht="116.25" hidden="1" customHeight="1" x14ac:dyDescent="0.3">
      <c r="A87" s="477"/>
      <c r="B87" s="379"/>
      <c r="C87" s="379"/>
      <c r="D87" s="379"/>
      <c r="E87" s="379"/>
      <c r="F87" s="1463"/>
      <c r="G87" s="1464"/>
      <c r="H87" s="864"/>
      <c r="I87" s="819"/>
      <c r="J87" s="758"/>
      <c r="K87" s="385">
        <v>0</v>
      </c>
      <c r="L87" s="385">
        <v>0</v>
      </c>
    </row>
    <row r="88" spans="1:12" s="1" customFormat="1" ht="112.5" hidden="1" customHeight="1" x14ac:dyDescent="0.3">
      <c r="A88" s="477"/>
      <c r="B88" s="379"/>
      <c r="C88" s="379"/>
      <c r="D88" s="379"/>
      <c r="E88" s="379"/>
      <c r="F88" s="1463"/>
      <c r="G88" s="1464"/>
      <c r="H88" s="862"/>
      <c r="I88" s="224"/>
      <c r="J88" s="384"/>
      <c r="K88" s="385">
        <v>0</v>
      </c>
      <c r="L88" s="385">
        <v>0</v>
      </c>
    </row>
    <row r="89" spans="1:12" s="1" customFormat="1" ht="18.75" hidden="1" customHeight="1" x14ac:dyDescent="0.3">
      <c r="A89" s="865"/>
      <c r="B89" s="1006"/>
      <c r="C89" s="1007"/>
      <c r="D89" s="1007"/>
      <c r="E89" s="1007"/>
      <c r="F89" s="1465"/>
      <c r="G89" s="1466"/>
      <c r="H89" s="1006"/>
      <c r="I89" s="224"/>
      <c r="J89" s="384"/>
      <c r="K89" s="385">
        <v>0</v>
      </c>
      <c r="L89" s="385">
        <v>0</v>
      </c>
    </row>
    <row r="90" spans="1:12" s="1" customFormat="1" ht="91.5" hidden="1" customHeight="1" x14ac:dyDescent="0.3">
      <c r="A90" s="865"/>
      <c r="B90" s="379"/>
      <c r="C90" s="1007"/>
      <c r="D90" s="1007"/>
      <c r="E90" s="1007"/>
      <c r="F90" s="1008"/>
      <c r="G90" s="1009"/>
      <c r="H90" s="379"/>
      <c r="I90" s="1005"/>
      <c r="J90" s="384"/>
      <c r="K90" s="385">
        <v>0</v>
      </c>
      <c r="L90" s="385">
        <v>0</v>
      </c>
    </row>
    <row r="91" spans="1:12" s="1" customFormat="1" ht="91.5" hidden="1" customHeight="1" x14ac:dyDescent="0.3">
      <c r="A91" s="477"/>
      <c r="B91" s="379"/>
      <c r="C91" s="379"/>
      <c r="D91" s="379"/>
      <c r="E91" s="379"/>
      <c r="F91" s="1463"/>
      <c r="G91" s="1464"/>
      <c r="H91" s="379"/>
      <c r="I91" s="224"/>
      <c r="J91" s="384"/>
      <c r="K91" s="385">
        <v>0</v>
      </c>
      <c r="L91" s="385">
        <v>0</v>
      </c>
    </row>
    <row r="92" spans="1:12" s="1" customFormat="1" ht="99.75" hidden="1" customHeight="1" x14ac:dyDescent="0.3">
      <c r="A92" s="477"/>
      <c r="B92" s="448"/>
      <c r="C92" s="448"/>
      <c r="D92" s="448"/>
      <c r="E92" s="448"/>
      <c r="F92" s="1449"/>
      <c r="G92" s="1450"/>
      <c r="H92" s="448"/>
      <c r="I92" s="224"/>
      <c r="J92" s="384"/>
      <c r="K92" s="385">
        <v>0</v>
      </c>
      <c r="L92" s="385">
        <v>0</v>
      </c>
    </row>
    <row r="93" spans="1:12" s="1" customFormat="1" ht="64.5" hidden="1" customHeight="1" x14ac:dyDescent="0.3">
      <c r="A93" s="865"/>
      <c r="B93" s="1004"/>
      <c r="C93" s="965"/>
      <c r="D93" s="965"/>
      <c r="E93" s="965"/>
      <c r="F93" s="1471"/>
      <c r="G93" s="1464"/>
      <c r="H93" s="1004"/>
      <c r="I93" s="910"/>
      <c r="J93" s="384"/>
      <c r="K93" s="385">
        <v>0</v>
      </c>
      <c r="L93" s="385">
        <v>0</v>
      </c>
    </row>
    <row r="94" spans="1:12" s="1" customFormat="1" ht="18" customHeight="1" x14ac:dyDescent="0.3">
      <c r="A94" s="865"/>
      <c r="B94" s="1004"/>
      <c r="C94" s="1104"/>
      <c r="D94" s="1104"/>
      <c r="E94" s="1104"/>
      <c r="F94" s="1501"/>
      <c r="G94" s="1502"/>
      <c r="H94" s="1051"/>
      <c r="I94" s="828"/>
      <c r="J94" s="384"/>
      <c r="K94" s="385">
        <v>0</v>
      </c>
      <c r="L94" s="385">
        <v>0</v>
      </c>
    </row>
    <row r="95" spans="1:12" s="1" customFormat="1" ht="42.75" hidden="1" customHeight="1" x14ac:dyDescent="0.3">
      <c r="A95" s="865"/>
      <c r="B95" s="927"/>
      <c r="C95" s="1104"/>
      <c r="D95" s="1104"/>
      <c r="E95" s="1104"/>
      <c r="F95" s="1501"/>
      <c r="G95" s="1502"/>
      <c r="H95" s="1103"/>
      <c r="I95" s="828"/>
      <c r="J95" s="364"/>
      <c r="K95" s="385">
        <v>0</v>
      </c>
      <c r="L95" s="385">
        <v>0</v>
      </c>
    </row>
    <row r="96" spans="1:12" s="1" customFormat="1" ht="15" customHeight="1" x14ac:dyDescent="0.25">
      <c r="A96" s="378"/>
      <c r="B96" s="1451" t="s">
        <v>945</v>
      </c>
      <c r="C96" s="1452"/>
      <c r="D96" s="1452"/>
      <c r="E96" s="1452"/>
      <c r="F96" s="1452"/>
      <c r="G96" s="1452"/>
      <c r="H96" s="1452"/>
      <c r="I96" s="1453"/>
      <c r="J96" s="369">
        <f>SUM(J97:J100)+J102+J103+J104+J105+J101+J106+J107+J108+J109+J110+J111+J112+J113+J114+J115+J116+J117+J118+J119+J120</f>
        <v>1956738.42</v>
      </c>
      <c r="K96" s="369">
        <f>SUM(K97:K97)</f>
        <v>0</v>
      </c>
      <c r="L96" s="369">
        <f>SUM(L97:L97)</f>
        <v>0</v>
      </c>
    </row>
    <row r="97" spans="1:12" ht="0.75" hidden="1" customHeight="1" x14ac:dyDescent="0.25">
      <c r="A97" s="830"/>
      <c r="B97" s="824"/>
      <c r="C97" s="838"/>
      <c r="D97" s="838"/>
      <c r="E97" s="838"/>
      <c r="F97" s="1284"/>
      <c r="G97" s="1285"/>
      <c r="H97" s="826"/>
      <c r="I97" s="860"/>
      <c r="J97" s="403"/>
      <c r="K97" s="110">
        <v>0</v>
      </c>
      <c r="L97" s="110">
        <v>0</v>
      </c>
    </row>
    <row r="98" spans="1:12" ht="0.75" customHeight="1" x14ac:dyDescent="0.25">
      <c r="A98" s="1496">
        <v>1</v>
      </c>
      <c r="B98" s="824"/>
      <c r="C98" s="825"/>
      <c r="D98" s="825"/>
      <c r="E98" s="1368" t="s">
        <v>1063</v>
      </c>
      <c r="F98" s="1327" t="s">
        <v>1615</v>
      </c>
      <c r="G98" s="1294"/>
      <c r="H98" s="826"/>
      <c r="I98" s="1349" t="s">
        <v>1616</v>
      </c>
      <c r="J98" s="403"/>
      <c r="K98" s="110">
        <v>0</v>
      </c>
      <c r="L98" s="110">
        <v>0</v>
      </c>
    </row>
    <row r="99" spans="1:12" ht="36" customHeight="1" x14ac:dyDescent="0.25">
      <c r="A99" s="1503"/>
      <c r="B99" s="1460" t="s">
        <v>15</v>
      </c>
      <c r="C99" s="825" t="s">
        <v>124</v>
      </c>
      <c r="D99" s="825" t="s">
        <v>123</v>
      </c>
      <c r="E99" s="1286"/>
      <c r="F99" s="1328"/>
      <c r="G99" s="1329"/>
      <c r="H99" s="826">
        <v>200</v>
      </c>
      <c r="I99" s="1349"/>
      <c r="J99" s="403">
        <f>-1936914.09-918326.11</f>
        <v>-2855240.2</v>
      </c>
      <c r="K99" s="84">
        <v>0</v>
      </c>
      <c r="L99" s="84">
        <v>0</v>
      </c>
    </row>
    <row r="100" spans="1:12" ht="33.75" customHeight="1" x14ac:dyDescent="0.25">
      <c r="A100" s="1442"/>
      <c r="B100" s="1369"/>
      <c r="C100" s="825" t="s">
        <v>124</v>
      </c>
      <c r="D100" s="825" t="s">
        <v>132</v>
      </c>
      <c r="E100" s="1369"/>
      <c r="F100" s="1330"/>
      <c r="G100" s="1296"/>
      <c r="H100" s="826">
        <v>200</v>
      </c>
      <c r="I100" s="1349"/>
      <c r="J100" s="403">
        <v>2855240.2</v>
      </c>
      <c r="K100" s="84">
        <v>0</v>
      </c>
      <c r="L100" s="84">
        <v>0</v>
      </c>
    </row>
    <row r="101" spans="1:12" ht="33.75" customHeight="1" x14ac:dyDescent="0.25">
      <c r="A101" s="1441">
        <v>2</v>
      </c>
      <c r="B101" s="1096" t="s">
        <v>16</v>
      </c>
      <c r="C101" s="1460" t="s">
        <v>124</v>
      </c>
      <c r="D101" s="1460" t="s">
        <v>123</v>
      </c>
      <c r="E101" s="1460" t="s">
        <v>1071</v>
      </c>
      <c r="F101" s="1293" t="s">
        <v>1072</v>
      </c>
      <c r="G101" s="1294"/>
      <c r="H101" s="826">
        <v>500</v>
      </c>
      <c r="I101" s="1349" t="s">
        <v>1643</v>
      </c>
      <c r="J101" s="403">
        <v>-847.94</v>
      </c>
      <c r="K101" s="852">
        <v>0</v>
      </c>
      <c r="L101" s="852">
        <v>0</v>
      </c>
    </row>
    <row r="102" spans="1:12" ht="53.25" customHeight="1" x14ac:dyDescent="0.25">
      <c r="A102" s="1442"/>
      <c r="B102" s="824" t="s">
        <v>15</v>
      </c>
      <c r="C102" s="1369"/>
      <c r="D102" s="1369"/>
      <c r="E102" s="1369"/>
      <c r="F102" s="1330"/>
      <c r="G102" s="1296"/>
      <c r="H102" s="826">
        <v>200</v>
      </c>
      <c r="I102" s="1349"/>
      <c r="J102" s="403">
        <v>847.94</v>
      </c>
      <c r="K102" s="852">
        <v>0</v>
      </c>
      <c r="L102" s="852">
        <v>0</v>
      </c>
    </row>
    <row r="103" spans="1:12" ht="58.5" customHeight="1" x14ac:dyDescent="0.25">
      <c r="A103" s="1472">
        <v>3</v>
      </c>
      <c r="B103" s="824" t="s">
        <v>16</v>
      </c>
      <c r="C103" s="1460" t="s">
        <v>124</v>
      </c>
      <c r="D103" s="1460" t="s">
        <v>132</v>
      </c>
      <c r="E103" s="1460" t="s">
        <v>1567</v>
      </c>
      <c r="F103" s="1327" t="s">
        <v>1642</v>
      </c>
      <c r="G103" s="1294"/>
      <c r="H103" s="826">
        <v>500</v>
      </c>
      <c r="I103" s="1349" t="s">
        <v>1687</v>
      </c>
      <c r="J103" s="403">
        <f>-3560-269715-37000-250000-5000-25858.6</f>
        <v>-591133.6</v>
      </c>
      <c r="K103" s="852">
        <v>0</v>
      </c>
      <c r="L103" s="852">
        <v>0</v>
      </c>
    </row>
    <row r="104" spans="1:12" ht="69.75" customHeight="1" x14ac:dyDescent="0.25">
      <c r="A104" s="1473"/>
      <c r="B104" s="824" t="s">
        <v>15</v>
      </c>
      <c r="C104" s="1287"/>
      <c r="D104" s="1287"/>
      <c r="E104" s="1287"/>
      <c r="F104" s="1462"/>
      <c r="G104" s="1296"/>
      <c r="H104" s="826">
        <v>200</v>
      </c>
      <c r="I104" s="1349"/>
      <c r="J104" s="403">
        <f>3560+269715+37000+250000+5000+25858.6</f>
        <v>591133.6</v>
      </c>
      <c r="K104" s="852">
        <v>0</v>
      </c>
      <c r="L104" s="852">
        <v>0</v>
      </c>
    </row>
    <row r="105" spans="1:12" ht="52.5" customHeight="1" x14ac:dyDescent="0.25">
      <c r="A105" s="865">
        <v>4</v>
      </c>
      <c r="B105" s="1112" t="s">
        <v>15</v>
      </c>
      <c r="C105" s="1102" t="s">
        <v>124</v>
      </c>
      <c r="D105" s="1102" t="s">
        <v>123</v>
      </c>
      <c r="E105" s="1102" t="s">
        <v>1063</v>
      </c>
      <c r="F105" s="1317" t="s">
        <v>1659</v>
      </c>
      <c r="G105" s="1292"/>
      <c r="H105" s="1113">
        <v>200</v>
      </c>
      <c r="I105" s="449" t="s">
        <v>1660</v>
      </c>
      <c r="J105" s="403">
        <v>-55074.43</v>
      </c>
      <c r="K105" s="852">
        <v>0</v>
      </c>
      <c r="L105" s="852">
        <v>0</v>
      </c>
    </row>
    <row r="106" spans="1:12" ht="63.75" customHeight="1" x14ac:dyDescent="0.25">
      <c r="A106" s="1496">
        <v>5</v>
      </c>
      <c r="B106" s="824" t="s">
        <v>16</v>
      </c>
      <c r="C106" s="1368" t="s">
        <v>124</v>
      </c>
      <c r="D106" s="1368" t="s">
        <v>123</v>
      </c>
      <c r="E106" s="1368" t="s">
        <v>1071</v>
      </c>
      <c r="F106" s="1327" t="s">
        <v>1661</v>
      </c>
      <c r="G106" s="1294"/>
      <c r="H106" s="998">
        <v>500</v>
      </c>
      <c r="I106" s="1484" t="s">
        <v>1680</v>
      </c>
      <c r="J106" s="403">
        <v>-95</v>
      </c>
      <c r="K106" s="852">
        <v>0</v>
      </c>
      <c r="L106" s="852">
        <v>0</v>
      </c>
    </row>
    <row r="107" spans="1:12" ht="52.5" customHeight="1" x14ac:dyDescent="0.25">
      <c r="A107" s="1442"/>
      <c r="B107" s="824" t="s">
        <v>15</v>
      </c>
      <c r="C107" s="1369"/>
      <c r="D107" s="1369"/>
      <c r="E107" s="1369"/>
      <c r="F107" s="1330"/>
      <c r="G107" s="1296"/>
      <c r="H107" s="998">
        <v>200</v>
      </c>
      <c r="I107" s="1480"/>
      <c r="J107" s="403">
        <v>95</v>
      </c>
      <c r="K107" s="852">
        <v>0</v>
      </c>
      <c r="L107" s="852">
        <v>0</v>
      </c>
    </row>
    <row r="108" spans="1:12" ht="41.25" customHeight="1" x14ac:dyDescent="0.25">
      <c r="A108" s="1496">
        <v>6</v>
      </c>
      <c r="B108" s="824" t="s">
        <v>16</v>
      </c>
      <c r="C108" s="1368" t="s">
        <v>124</v>
      </c>
      <c r="D108" s="1368" t="s">
        <v>123</v>
      </c>
      <c r="E108" s="1368" t="s">
        <v>1071</v>
      </c>
      <c r="F108" s="1327" t="s">
        <v>1072</v>
      </c>
      <c r="G108" s="1294"/>
      <c r="H108" s="998">
        <v>500</v>
      </c>
      <c r="I108" s="1484" t="s">
        <v>1681</v>
      </c>
      <c r="J108" s="403">
        <v>-1.31</v>
      </c>
      <c r="K108" s="852">
        <v>0</v>
      </c>
      <c r="L108" s="852">
        <v>0</v>
      </c>
    </row>
    <row r="109" spans="1:12" ht="35.25" customHeight="1" x14ac:dyDescent="0.25">
      <c r="A109" s="1442"/>
      <c r="B109" s="824" t="s">
        <v>15</v>
      </c>
      <c r="C109" s="1369"/>
      <c r="D109" s="1369"/>
      <c r="E109" s="1369"/>
      <c r="F109" s="1330"/>
      <c r="G109" s="1296"/>
      <c r="H109" s="998">
        <v>200</v>
      </c>
      <c r="I109" s="1480"/>
      <c r="J109" s="403">
        <v>1.31</v>
      </c>
      <c r="K109" s="852">
        <v>0</v>
      </c>
      <c r="L109" s="852">
        <v>0</v>
      </c>
    </row>
    <row r="110" spans="1:12" ht="30" customHeight="1" x14ac:dyDescent="0.25">
      <c r="A110" s="1496">
        <v>7</v>
      </c>
      <c r="B110" s="824" t="s">
        <v>16</v>
      </c>
      <c r="C110" s="1331" t="s">
        <v>124</v>
      </c>
      <c r="D110" s="1331" t="s">
        <v>123</v>
      </c>
      <c r="E110" s="1331" t="s">
        <v>1063</v>
      </c>
      <c r="F110" s="1317" t="s">
        <v>1659</v>
      </c>
      <c r="G110" s="1292"/>
      <c r="H110" s="998">
        <v>500</v>
      </c>
      <c r="I110" s="1349" t="s">
        <v>1670</v>
      </c>
      <c r="J110" s="403">
        <v>-210000</v>
      </c>
      <c r="K110" s="852">
        <v>0</v>
      </c>
      <c r="L110" s="852">
        <v>0</v>
      </c>
    </row>
    <row r="111" spans="1:12" ht="22.5" customHeight="1" x14ac:dyDescent="0.25">
      <c r="A111" s="1442"/>
      <c r="B111" s="824" t="s">
        <v>15</v>
      </c>
      <c r="C111" s="1332"/>
      <c r="D111" s="1332"/>
      <c r="E111" s="1332"/>
      <c r="F111" s="1318"/>
      <c r="G111" s="1319"/>
      <c r="H111" s="998">
        <v>200</v>
      </c>
      <c r="I111" s="1349"/>
      <c r="J111" s="403">
        <v>210000</v>
      </c>
      <c r="K111" s="852">
        <v>0</v>
      </c>
      <c r="L111" s="852">
        <v>0</v>
      </c>
    </row>
    <row r="112" spans="1:12" ht="54" customHeight="1" x14ac:dyDescent="0.25">
      <c r="A112" s="1496">
        <v>8</v>
      </c>
      <c r="B112" s="824" t="s">
        <v>16</v>
      </c>
      <c r="C112" s="1368" t="s">
        <v>124</v>
      </c>
      <c r="D112" s="1368" t="s">
        <v>132</v>
      </c>
      <c r="E112" s="1368" t="s">
        <v>1567</v>
      </c>
      <c r="F112" s="1327" t="s">
        <v>1642</v>
      </c>
      <c r="G112" s="1294"/>
      <c r="H112" s="998">
        <v>500</v>
      </c>
      <c r="I112" s="1484" t="s">
        <v>1673</v>
      </c>
      <c r="J112" s="403">
        <v>-500000</v>
      </c>
      <c r="K112" s="852">
        <v>0</v>
      </c>
      <c r="L112" s="852">
        <v>0</v>
      </c>
    </row>
    <row r="113" spans="1:12" ht="62.25" customHeight="1" x14ac:dyDescent="0.25">
      <c r="A113" s="1442"/>
      <c r="B113" s="824" t="s">
        <v>15</v>
      </c>
      <c r="C113" s="1369"/>
      <c r="D113" s="1369"/>
      <c r="E113" s="1369"/>
      <c r="F113" s="1330"/>
      <c r="G113" s="1296"/>
      <c r="H113" s="998">
        <v>200</v>
      </c>
      <c r="I113" s="1480"/>
      <c r="J113" s="403">
        <v>500000</v>
      </c>
      <c r="K113" s="852">
        <v>0</v>
      </c>
      <c r="L113" s="852">
        <v>0</v>
      </c>
    </row>
    <row r="114" spans="1:12" ht="46.5" customHeight="1" x14ac:dyDescent="0.25">
      <c r="A114" s="1441">
        <v>9</v>
      </c>
      <c r="B114" s="824" t="s">
        <v>16</v>
      </c>
      <c r="C114" s="1460" t="s">
        <v>124</v>
      </c>
      <c r="D114" s="1460" t="s">
        <v>132</v>
      </c>
      <c r="E114" s="1460" t="s">
        <v>1567</v>
      </c>
      <c r="F114" s="1293" t="s">
        <v>1642</v>
      </c>
      <c r="G114" s="1294"/>
      <c r="H114" s="998">
        <v>500</v>
      </c>
      <c r="I114" s="1349" t="s">
        <v>1675</v>
      </c>
      <c r="J114" s="403">
        <v>-49588.31</v>
      </c>
      <c r="K114" s="852">
        <v>0</v>
      </c>
      <c r="L114" s="852">
        <v>0</v>
      </c>
    </row>
    <row r="115" spans="1:12" ht="54" customHeight="1" x14ac:dyDescent="0.25">
      <c r="A115" s="1442"/>
      <c r="B115" s="824" t="s">
        <v>15</v>
      </c>
      <c r="C115" s="1369"/>
      <c r="D115" s="1369"/>
      <c r="E115" s="1369"/>
      <c r="F115" s="1330"/>
      <c r="G115" s="1296"/>
      <c r="H115" s="998">
        <v>200</v>
      </c>
      <c r="I115" s="1349"/>
      <c r="J115" s="403">
        <v>49588.31</v>
      </c>
      <c r="K115" s="852">
        <v>0</v>
      </c>
      <c r="L115" s="852">
        <v>0</v>
      </c>
    </row>
    <row r="116" spans="1:12" ht="50.25" customHeight="1" x14ac:dyDescent="0.25">
      <c r="A116" s="1441">
        <v>10</v>
      </c>
      <c r="B116" s="824" t="s">
        <v>16</v>
      </c>
      <c r="C116" s="1460" t="s">
        <v>124</v>
      </c>
      <c r="D116" s="1460" t="s">
        <v>122</v>
      </c>
      <c r="E116" s="1460" t="s">
        <v>1042</v>
      </c>
      <c r="F116" s="1293" t="s">
        <v>1043</v>
      </c>
      <c r="G116" s="1294"/>
      <c r="H116" s="998">
        <v>500</v>
      </c>
      <c r="I116" s="1474" t="s">
        <v>1676</v>
      </c>
      <c r="J116" s="403">
        <v>-67800</v>
      </c>
      <c r="K116" s="852">
        <v>0</v>
      </c>
      <c r="L116" s="852">
        <v>0</v>
      </c>
    </row>
    <row r="117" spans="1:12" ht="29.25" customHeight="1" x14ac:dyDescent="0.25">
      <c r="A117" s="1442"/>
      <c r="B117" s="824" t="s">
        <v>15</v>
      </c>
      <c r="C117" s="1369"/>
      <c r="D117" s="1369"/>
      <c r="E117" s="1369"/>
      <c r="F117" s="1330"/>
      <c r="G117" s="1296"/>
      <c r="H117" s="998">
        <v>200</v>
      </c>
      <c r="I117" s="1480"/>
      <c r="J117" s="403">
        <v>67800</v>
      </c>
      <c r="K117" s="852">
        <v>0</v>
      </c>
      <c r="L117" s="852">
        <v>0</v>
      </c>
    </row>
    <row r="118" spans="1:12" ht="29.25" customHeight="1" x14ac:dyDescent="0.25">
      <c r="A118" s="1496">
        <v>11</v>
      </c>
      <c r="B118" s="824" t="s">
        <v>15</v>
      </c>
      <c r="C118" s="1368" t="s">
        <v>124</v>
      </c>
      <c r="D118" s="1368" t="s">
        <v>123</v>
      </c>
      <c r="E118" s="1368" t="s">
        <v>1063</v>
      </c>
      <c r="F118" s="1327" t="s">
        <v>1064</v>
      </c>
      <c r="G118" s="1294"/>
      <c r="H118" s="998">
        <v>200</v>
      </c>
      <c r="I118" s="1484" t="s">
        <v>1677</v>
      </c>
      <c r="J118" s="403">
        <v>-98000</v>
      </c>
      <c r="K118" s="852">
        <v>0</v>
      </c>
      <c r="L118" s="852">
        <v>0</v>
      </c>
    </row>
    <row r="119" spans="1:12" ht="35.25" customHeight="1" x14ac:dyDescent="0.25">
      <c r="A119" s="1442"/>
      <c r="B119" s="824" t="s">
        <v>16</v>
      </c>
      <c r="C119" s="1369"/>
      <c r="D119" s="1369"/>
      <c r="E119" s="1369"/>
      <c r="F119" s="1330"/>
      <c r="G119" s="1296"/>
      <c r="H119" s="998">
        <v>500</v>
      </c>
      <c r="I119" s="1480"/>
      <c r="J119" s="403">
        <v>98000</v>
      </c>
      <c r="K119" s="852">
        <v>0</v>
      </c>
      <c r="L119" s="852">
        <v>0</v>
      </c>
    </row>
    <row r="120" spans="1:12" ht="132.75" customHeight="1" x14ac:dyDescent="0.25">
      <c r="A120" s="1127">
        <v>12</v>
      </c>
      <c r="B120" s="824" t="s">
        <v>15</v>
      </c>
      <c r="C120" s="1124" t="s">
        <v>124</v>
      </c>
      <c r="D120" s="1124" t="s">
        <v>132</v>
      </c>
      <c r="E120" s="1124" t="s">
        <v>1567</v>
      </c>
      <c r="F120" s="1284" t="s">
        <v>1568</v>
      </c>
      <c r="G120" s="1285"/>
      <c r="H120" s="998">
        <v>800</v>
      </c>
      <c r="I120" s="1125" t="s">
        <v>1569</v>
      </c>
      <c r="J120" s="403">
        <v>2011812.85</v>
      </c>
      <c r="K120" s="852">
        <v>0</v>
      </c>
      <c r="L120" s="852">
        <v>0</v>
      </c>
    </row>
    <row r="121" spans="1:12" ht="18" customHeight="1" x14ac:dyDescent="0.25">
      <c r="A121" s="236"/>
      <c r="B121" s="1391" t="s">
        <v>946</v>
      </c>
      <c r="C121" s="1392"/>
      <c r="D121" s="1392"/>
      <c r="E121" s="1392"/>
      <c r="F121" s="1392"/>
      <c r="G121" s="1392"/>
      <c r="H121" s="1392"/>
      <c r="I121" s="1393"/>
      <c r="J121" s="46"/>
      <c r="K121" s="46">
        <f>K122</f>
        <v>0</v>
      </c>
      <c r="L121" s="46">
        <f>L122</f>
        <v>0</v>
      </c>
    </row>
    <row r="122" spans="1:12" ht="0.75" hidden="1" customHeight="1" x14ac:dyDescent="0.25">
      <c r="A122" s="344"/>
      <c r="B122" s="345"/>
      <c r="C122" s="345"/>
      <c r="D122" s="345"/>
      <c r="E122" s="345"/>
      <c r="F122" s="1396"/>
      <c r="G122" s="1397"/>
      <c r="H122" s="391"/>
      <c r="I122" s="396"/>
      <c r="J122" s="397"/>
      <c r="K122" s="389"/>
      <c r="L122" s="389"/>
    </row>
    <row r="123" spans="1:12" hidden="1" x14ac:dyDescent="0.25">
      <c r="A123" s="236"/>
      <c r="B123" s="398"/>
      <c r="C123" s="26"/>
      <c r="D123" s="26"/>
      <c r="E123" s="26"/>
      <c r="F123" s="26"/>
      <c r="G123" s="26"/>
      <c r="H123" s="103"/>
      <c r="I123" s="26"/>
      <c r="J123" s="41"/>
      <c r="K123" s="84"/>
      <c r="L123" s="84"/>
    </row>
    <row r="124" spans="1:12" x14ac:dyDescent="0.25">
      <c r="A124" s="713"/>
      <c r="B124" s="1434" t="s">
        <v>947</v>
      </c>
      <c r="C124" s="1434"/>
      <c r="D124" s="1434"/>
      <c r="E124" s="1434"/>
      <c r="F124" s="1434"/>
      <c r="G124" s="1434"/>
      <c r="H124" s="1434"/>
      <c r="I124" s="1434"/>
      <c r="J124" s="369">
        <f>SUM(J125:J126)+J127+J128+J129+J130+J131+J132</f>
        <v>215729.33000000007</v>
      </c>
      <c r="K124" s="369">
        <f t="shared" ref="K124:L124" si="0">SUM(K125:K126)</f>
        <v>0</v>
      </c>
      <c r="L124" s="369">
        <f t="shared" si="0"/>
        <v>0</v>
      </c>
    </row>
    <row r="125" spans="1:12" ht="99.75" customHeight="1" x14ac:dyDescent="0.25">
      <c r="A125" s="941">
        <v>1</v>
      </c>
      <c r="B125" s="387" t="s">
        <v>19</v>
      </c>
      <c r="C125" s="387" t="s">
        <v>138</v>
      </c>
      <c r="D125" s="387" t="s">
        <v>123</v>
      </c>
      <c r="E125" s="387" t="s">
        <v>1046</v>
      </c>
      <c r="F125" s="1284" t="s">
        <v>1618</v>
      </c>
      <c r="G125" s="1285"/>
      <c r="H125" s="395" t="s">
        <v>294</v>
      </c>
      <c r="I125" s="416" t="s">
        <v>1626</v>
      </c>
      <c r="J125" s="403">
        <v>289930.06</v>
      </c>
      <c r="K125" s="84">
        <v>0</v>
      </c>
      <c r="L125" s="84">
        <v>0</v>
      </c>
    </row>
    <row r="126" spans="1:12" ht="78.75" customHeight="1" x14ac:dyDescent="0.25">
      <c r="A126" s="1443">
        <v>2</v>
      </c>
      <c r="B126" s="1444" t="s">
        <v>18</v>
      </c>
      <c r="C126" s="1444" t="s">
        <v>138</v>
      </c>
      <c r="D126" s="1444" t="s">
        <v>127</v>
      </c>
      <c r="E126" s="1444" t="s">
        <v>1640</v>
      </c>
      <c r="F126" s="1456" t="s">
        <v>1635</v>
      </c>
      <c r="G126" s="1457"/>
      <c r="H126" s="395" t="s">
        <v>275</v>
      </c>
      <c r="I126" s="1482" t="s">
        <v>1641</v>
      </c>
      <c r="J126" s="1108">
        <v>-233000</v>
      </c>
      <c r="K126" s="84">
        <v>0</v>
      </c>
      <c r="L126" s="84">
        <v>0</v>
      </c>
    </row>
    <row r="127" spans="1:12" ht="64.5" customHeight="1" x14ac:dyDescent="0.25">
      <c r="A127" s="1367"/>
      <c r="B127" s="1445"/>
      <c r="C127" s="1445"/>
      <c r="D127" s="1445"/>
      <c r="E127" s="1445"/>
      <c r="F127" s="1458"/>
      <c r="G127" s="1459"/>
      <c r="H127" s="394" t="s">
        <v>38</v>
      </c>
      <c r="I127" s="1483"/>
      <c r="J127" s="1107">
        <f>1045000+108300</f>
        <v>1153300</v>
      </c>
      <c r="K127" s="852">
        <v>0</v>
      </c>
      <c r="L127" s="852">
        <v>0</v>
      </c>
    </row>
    <row r="128" spans="1:12" ht="81" customHeight="1" x14ac:dyDescent="0.25">
      <c r="A128" s="1126">
        <v>3</v>
      </c>
      <c r="B128" s="393" t="s">
        <v>18</v>
      </c>
      <c r="C128" s="393" t="s">
        <v>138</v>
      </c>
      <c r="D128" s="393" t="s">
        <v>132</v>
      </c>
      <c r="E128" s="393" t="s">
        <v>1046</v>
      </c>
      <c r="F128" s="1291" t="s">
        <v>1601</v>
      </c>
      <c r="G128" s="1292"/>
      <c r="H128" s="394" t="s">
        <v>294</v>
      </c>
      <c r="I128" s="1097" t="s">
        <v>1251</v>
      </c>
      <c r="J128" s="1107">
        <f>-812000-108300</f>
        <v>-920300</v>
      </c>
      <c r="K128" s="852">
        <v>0</v>
      </c>
      <c r="L128" s="852">
        <v>0</v>
      </c>
    </row>
    <row r="129" spans="1:12" ht="97.5" customHeight="1" x14ac:dyDescent="0.25">
      <c r="A129" s="1126">
        <v>4</v>
      </c>
      <c r="B129" s="824" t="s">
        <v>18</v>
      </c>
      <c r="C129" s="824" t="s">
        <v>138</v>
      </c>
      <c r="D129" s="824" t="s">
        <v>132</v>
      </c>
      <c r="E129" s="824" t="s">
        <v>1046</v>
      </c>
      <c r="F129" s="1290" t="s">
        <v>1646</v>
      </c>
      <c r="G129" s="1285"/>
      <c r="H129" s="822" t="s">
        <v>294</v>
      </c>
      <c r="I129" s="499" t="s">
        <v>1647</v>
      </c>
      <c r="J129" s="1107">
        <v>41199.269999999997</v>
      </c>
      <c r="K129" s="852">
        <v>0</v>
      </c>
      <c r="L129" s="852">
        <v>0</v>
      </c>
    </row>
    <row r="130" spans="1:12" ht="97.5" customHeight="1" x14ac:dyDescent="0.25">
      <c r="A130" s="1126">
        <v>5</v>
      </c>
      <c r="B130" s="824" t="s">
        <v>18</v>
      </c>
      <c r="C130" s="824" t="s">
        <v>138</v>
      </c>
      <c r="D130" s="824" t="s">
        <v>127</v>
      </c>
      <c r="E130" s="824" t="s">
        <v>1640</v>
      </c>
      <c r="F130" s="1284" t="s">
        <v>1618</v>
      </c>
      <c r="G130" s="1285"/>
      <c r="H130" s="822" t="s">
        <v>294</v>
      </c>
      <c r="I130" s="416" t="s">
        <v>1651</v>
      </c>
      <c r="J130" s="1107">
        <v>-40000</v>
      </c>
      <c r="K130" s="852">
        <v>0</v>
      </c>
      <c r="L130" s="852">
        <v>0</v>
      </c>
    </row>
    <row r="131" spans="1:12" ht="81" customHeight="1" x14ac:dyDescent="0.25">
      <c r="A131" s="1126">
        <v>6</v>
      </c>
      <c r="B131" s="1112" t="s">
        <v>18</v>
      </c>
      <c r="C131" s="1112" t="s">
        <v>138</v>
      </c>
      <c r="D131" s="1112" t="s">
        <v>132</v>
      </c>
      <c r="E131" s="1112" t="s">
        <v>1046</v>
      </c>
      <c r="F131" s="1317" t="s">
        <v>1618</v>
      </c>
      <c r="G131" s="1292"/>
      <c r="H131" s="1026" t="s">
        <v>294</v>
      </c>
      <c r="I131" s="698" t="s">
        <v>1332</v>
      </c>
      <c r="J131" s="1107">
        <v>40000</v>
      </c>
      <c r="K131" s="852">
        <v>0</v>
      </c>
      <c r="L131" s="852">
        <v>0</v>
      </c>
    </row>
    <row r="132" spans="1:12" ht="81" customHeight="1" x14ac:dyDescent="0.25">
      <c r="A132" s="1126">
        <v>7</v>
      </c>
      <c r="B132" s="824" t="s">
        <v>18</v>
      </c>
      <c r="C132" s="824" t="s">
        <v>138</v>
      </c>
      <c r="D132" s="824" t="s">
        <v>132</v>
      </c>
      <c r="E132" s="824" t="s">
        <v>1046</v>
      </c>
      <c r="F132" s="1284" t="s">
        <v>1067</v>
      </c>
      <c r="G132" s="1285"/>
      <c r="H132" s="822" t="s">
        <v>294</v>
      </c>
      <c r="I132" s="224" t="s">
        <v>1667</v>
      </c>
      <c r="J132" s="1107">
        <v>-115400</v>
      </c>
      <c r="K132" s="852">
        <v>0</v>
      </c>
      <c r="L132" s="852">
        <v>0</v>
      </c>
    </row>
    <row r="133" spans="1:12" x14ac:dyDescent="0.25">
      <c r="A133" s="236"/>
      <c r="B133" s="1421" t="s">
        <v>948</v>
      </c>
      <c r="C133" s="1422"/>
      <c r="D133" s="1422"/>
      <c r="E133" s="1422"/>
      <c r="F133" s="1422"/>
      <c r="G133" s="1422"/>
      <c r="H133" s="1422"/>
      <c r="I133" s="1423"/>
      <c r="J133" s="46">
        <f>J134+J136+J135+J137+J138</f>
        <v>-1046683.32</v>
      </c>
      <c r="K133" s="46">
        <f t="shared" ref="K133:L133" si="1">K134+K136</f>
        <v>0</v>
      </c>
      <c r="L133" s="46">
        <f t="shared" si="1"/>
        <v>0</v>
      </c>
    </row>
    <row r="134" spans="1:12" ht="86.25" customHeight="1" x14ac:dyDescent="0.25">
      <c r="A134" s="1044">
        <v>1</v>
      </c>
      <c r="B134" s="838" t="s">
        <v>19</v>
      </c>
      <c r="C134" s="838" t="s">
        <v>126</v>
      </c>
      <c r="D134" s="838" t="s">
        <v>122</v>
      </c>
      <c r="E134" s="838" t="s">
        <v>1617</v>
      </c>
      <c r="F134" s="1284" t="s">
        <v>1618</v>
      </c>
      <c r="G134" s="1285"/>
      <c r="H134" s="822" t="s">
        <v>294</v>
      </c>
      <c r="I134" s="416" t="s">
        <v>1619</v>
      </c>
      <c r="J134" s="364">
        <v>-986061.7</v>
      </c>
      <c r="K134" s="110">
        <v>0</v>
      </c>
      <c r="L134" s="110">
        <v>0</v>
      </c>
    </row>
    <row r="135" spans="1:12" ht="79.5" customHeight="1" x14ac:dyDescent="0.25">
      <c r="A135" s="1044">
        <v>2</v>
      </c>
      <c r="B135" s="838" t="s">
        <v>19</v>
      </c>
      <c r="C135" s="838" t="s">
        <v>126</v>
      </c>
      <c r="D135" s="838" t="s">
        <v>122</v>
      </c>
      <c r="E135" s="838" t="s">
        <v>1620</v>
      </c>
      <c r="F135" s="1284" t="s">
        <v>1618</v>
      </c>
      <c r="G135" s="1285"/>
      <c r="H135" s="822" t="s">
        <v>294</v>
      </c>
      <c r="I135" s="416" t="s">
        <v>1621</v>
      </c>
      <c r="J135" s="823">
        <v>-598864.72</v>
      </c>
      <c r="K135" s="918">
        <v>0</v>
      </c>
      <c r="L135" s="918">
        <v>0</v>
      </c>
    </row>
    <row r="136" spans="1:12" ht="99.75" customHeight="1" x14ac:dyDescent="0.25">
      <c r="A136" s="865">
        <v>3</v>
      </c>
      <c r="B136" s="866" t="s">
        <v>19</v>
      </c>
      <c r="C136" s="866" t="s">
        <v>126</v>
      </c>
      <c r="D136" s="866" t="s">
        <v>122</v>
      </c>
      <c r="E136" s="866" t="s">
        <v>1624</v>
      </c>
      <c r="F136" s="1291" t="s">
        <v>1618</v>
      </c>
      <c r="G136" s="1292"/>
      <c r="H136" s="394" t="s">
        <v>294</v>
      </c>
      <c r="I136" s="698" t="s">
        <v>1625</v>
      </c>
      <c r="J136" s="364">
        <v>483168.67</v>
      </c>
      <c r="K136" s="110">
        <v>0</v>
      </c>
      <c r="L136" s="110">
        <v>0</v>
      </c>
    </row>
    <row r="137" spans="1:12" ht="66" customHeight="1" x14ac:dyDescent="0.25">
      <c r="A137" s="1439">
        <v>4</v>
      </c>
      <c r="B137" s="1102" t="s">
        <v>15</v>
      </c>
      <c r="C137" s="1368" t="s">
        <v>126</v>
      </c>
      <c r="D137" s="1368" t="s">
        <v>122</v>
      </c>
      <c r="E137" s="1368" t="s">
        <v>1572</v>
      </c>
      <c r="F137" s="1327" t="s">
        <v>1573</v>
      </c>
      <c r="G137" s="1294"/>
      <c r="H137" s="1026" t="s">
        <v>275</v>
      </c>
      <c r="I137" s="1481" t="s">
        <v>1658</v>
      </c>
      <c r="J137" s="823">
        <v>-79130.69</v>
      </c>
      <c r="K137" s="918">
        <v>0</v>
      </c>
      <c r="L137" s="918">
        <v>0</v>
      </c>
    </row>
    <row r="138" spans="1:12" ht="65.25" customHeight="1" x14ac:dyDescent="0.25">
      <c r="A138" s="1440"/>
      <c r="B138" s="1102" t="s">
        <v>16</v>
      </c>
      <c r="C138" s="1369"/>
      <c r="D138" s="1369"/>
      <c r="E138" s="1369"/>
      <c r="F138" s="1330"/>
      <c r="G138" s="1296"/>
      <c r="H138" s="1026" t="s">
        <v>427</v>
      </c>
      <c r="I138" s="1355"/>
      <c r="J138" s="823">
        <f>79130.69+55074.43</f>
        <v>134205.12</v>
      </c>
      <c r="K138" s="918">
        <v>0</v>
      </c>
      <c r="L138" s="918">
        <v>0</v>
      </c>
    </row>
    <row r="139" spans="1:12" ht="21.75" customHeight="1" x14ac:dyDescent="0.25">
      <c r="A139" s="830"/>
      <c r="B139" s="838"/>
      <c r="C139" s="838"/>
      <c r="D139" s="838"/>
      <c r="E139" s="838"/>
      <c r="F139" s="1284"/>
      <c r="G139" s="1285"/>
      <c r="H139" s="822"/>
      <c r="I139" s="1085"/>
      <c r="J139" s="823"/>
      <c r="K139" s="918"/>
      <c r="L139" s="918"/>
    </row>
    <row r="140" spans="1:12" x14ac:dyDescent="0.25">
      <c r="A140" s="236"/>
      <c r="B140" s="1411" t="s">
        <v>949</v>
      </c>
      <c r="C140" s="1412"/>
      <c r="D140" s="1412"/>
      <c r="E140" s="1412"/>
      <c r="F140" s="1412"/>
      <c r="G140" s="1412"/>
      <c r="H140" s="1412"/>
      <c r="I140" s="1413"/>
      <c r="J140" s="46">
        <f>J146</f>
        <v>0</v>
      </c>
      <c r="K140" s="46">
        <f>K141+K142+K143</f>
        <v>0</v>
      </c>
      <c r="L140" s="46">
        <f>L141+L142+L143</f>
        <v>0</v>
      </c>
    </row>
    <row r="141" spans="1:12" ht="14.25" hidden="1" customHeight="1" x14ac:dyDescent="0.25">
      <c r="A141" s="236"/>
      <c r="B141" s="98"/>
      <c r="C141" s="98"/>
      <c r="D141" s="98"/>
      <c r="E141" s="98"/>
      <c r="F141" s="1414"/>
      <c r="G141" s="1415"/>
      <c r="H141" s="707"/>
      <c r="I141" s="36"/>
      <c r="J141" s="364"/>
      <c r="K141" s="84"/>
      <c r="L141" s="84"/>
    </row>
    <row r="142" spans="1:12" hidden="1" x14ac:dyDescent="0.25">
      <c r="A142" s="714"/>
      <c r="B142" s="98"/>
      <c r="C142" s="98"/>
      <c r="D142" s="98"/>
      <c r="E142" s="98"/>
      <c r="F142" s="98"/>
      <c r="G142" s="708"/>
      <c r="H142" s="37"/>
      <c r="I142" s="36"/>
      <c r="J142" s="364"/>
      <c r="K142" s="84"/>
      <c r="L142" s="84"/>
    </row>
    <row r="143" spans="1:12" hidden="1" x14ac:dyDescent="0.25">
      <c r="A143" s="236"/>
      <c r="B143" s="98"/>
      <c r="C143" s="98"/>
      <c r="D143" s="98"/>
      <c r="E143" s="98"/>
      <c r="F143" s="98"/>
      <c r="G143" s="708"/>
      <c r="H143" s="37"/>
      <c r="I143" s="36"/>
      <c r="J143" s="364"/>
      <c r="K143" s="84"/>
      <c r="L143" s="84"/>
    </row>
    <row r="144" spans="1:12" hidden="1" x14ac:dyDescent="0.25">
      <c r="A144" s="236"/>
      <c r="B144" s="98"/>
      <c r="C144" s="98"/>
      <c r="D144" s="98"/>
      <c r="E144" s="98"/>
      <c r="F144" s="98"/>
      <c r="G144" s="98"/>
      <c r="H144" s="98"/>
      <c r="I144" s="36"/>
      <c r="J144" s="364"/>
      <c r="K144" s="84"/>
      <c r="L144" s="84"/>
    </row>
    <row r="145" spans="1:14" hidden="1" x14ac:dyDescent="0.25">
      <c r="A145" s="236"/>
      <c r="B145" s="716"/>
      <c r="C145" s="133"/>
      <c r="D145" s="133"/>
      <c r="E145" s="133"/>
      <c r="F145" s="133"/>
      <c r="G145" s="133"/>
      <c r="H145" s="133"/>
      <c r="I145" s="36"/>
      <c r="J145" s="364"/>
      <c r="K145" s="84"/>
      <c r="L145" s="84"/>
    </row>
    <row r="146" spans="1:14" hidden="1" x14ac:dyDescent="0.25">
      <c r="A146" s="236"/>
      <c r="B146" s="716"/>
      <c r="C146" s="133"/>
      <c r="D146" s="133"/>
      <c r="E146" s="133"/>
      <c r="F146" s="1414"/>
      <c r="G146" s="1415"/>
      <c r="H146" s="133"/>
      <c r="I146" s="155"/>
      <c r="J146" s="364"/>
      <c r="K146" s="84">
        <v>0</v>
      </c>
      <c r="L146" s="84">
        <v>0</v>
      </c>
    </row>
    <row r="147" spans="1:14" ht="15" customHeight="1" x14ac:dyDescent="0.25">
      <c r="A147" s="236"/>
      <c r="B147" s="1421" t="s">
        <v>950</v>
      </c>
      <c r="C147" s="1422"/>
      <c r="D147" s="1422"/>
      <c r="E147" s="1422"/>
      <c r="F147" s="1422"/>
      <c r="G147" s="1422"/>
      <c r="H147" s="1422"/>
      <c r="I147" s="1423"/>
      <c r="J147" s="46">
        <f>SUM(J153:J155)+J148+J149+J151+J152+J150+J156+J157+J159+J160+J161+J158</f>
        <v>1706663.42</v>
      </c>
      <c r="K147" s="46">
        <f>SUM(K153:K155)+K148+K149+K151+K152+K150+K156+K157+K159+K160</f>
        <v>0</v>
      </c>
      <c r="L147" s="46">
        <f>SUM(L153:L155)+L148+L149+L151+L152+L150+L156+L157+L159+L160</f>
        <v>0</v>
      </c>
    </row>
    <row r="148" spans="1:14" ht="85.5" hidden="1" customHeight="1" x14ac:dyDescent="0.25">
      <c r="A148" s="471"/>
      <c r="B148" s="720"/>
      <c r="C148" s="471"/>
      <c r="D148" s="720"/>
      <c r="E148" s="471"/>
      <c r="F148" s="1487"/>
      <c r="G148" s="1488"/>
      <c r="H148" s="471"/>
      <c r="I148" s="722"/>
      <c r="J148" s="364"/>
      <c r="K148" s="41">
        <v>0</v>
      </c>
      <c r="L148" s="41">
        <v>0</v>
      </c>
    </row>
    <row r="149" spans="1:14" ht="46.5" hidden="1" customHeight="1" x14ac:dyDescent="0.25">
      <c r="A149" s="471"/>
      <c r="B149" s="720"/>
      <c r="C149" s="720"/>
      <c r="D149" s="720"/>
      <c r="E149" s="720"/>
      <c r="F149" s="1339"/>
      <c r="G149" s="1341"/>
      <c r="H149" s="439"/>
      <c r="I149" s="721"/>
      <c r="J149" s="364"/>
      <c r="K149" s="41">
        <v>0</v>
      </c>
      <c r="L149" s="41">
        <v>0</v>
      </c>
      <c r="N149" s="696"/>
    </row>
    <row r="150" spans="1:14" ht="14.25" hidden="1" customHeight="1" x14ac:dyDescent="0.25">
      <c r="A150" s="498"/>
      <c r="B150" s="417"/>
      <c r="C150" s="417"/>
      <c r="D150" s="417"/>
      <c r="E150" s="417"/>
      <c r="F150" s="1485"/>
      <c r="G150" s="1436"/>
      <c r="H150" s="470"/>
      <c r="I150" s="499"/>
      <c r="J150" s="364"/>
      <c r="K150" s="364"/>
      <c r="L150" s="364"/>
    </row>
    <row r="151" spans="1:14" hidden="1" x14ac:dyDescent="0.25">
      <c r="A151" s="471"/>
      <c r="B151" s="417"/>
      <c r="C151" s="417"/>
      <c r="D151" s="417"/>
      <c r="E151" s="417"/>
      <c r="F151" s="1339"/>
      <c r="G151" s="1341"/>
      <c r="H151" s="470"/>
      <c r="I151" s="455"/>
      <c r="J151" s="364"/>
      <c r="K151" s="41"/>
      <c r="L151" s="41"/>
    </row>
    <row r="152" spans="1:14" hidden="1" x14ac:dyDescent="0.25">
      <c r="A152" s="498"/>
      <c r="B152" s="417"/>
      <c r="C152" s="417"/>
      <c r="D152" s="417"/>
      <c r="E152" s="417"/>
      <c r="F152" s="1339"/>
      <c r="G152" s="1341"/>
      <c r="H152" s="470"/>
      <c r="I152" s="455"/>
      <c r="J152" s="364"/>
      <c r="K152" s="41"/>
      <c r="L152" s="41"/>
    </row>
    <row r="153" spans="1:14" s="1" customFormat="1" hidden="1" x14ac:dyDescent="0.25">
      <c r="A153" s="471"/>
      <c r="B153" s="534"/>
      <c r="C153" s="534"/>
      <c r="D153" s="534"/>
      <c r="E153" s="534"/>
      <c r="F153" s="1486"/>
      <c r="G153" s="1319"/>
      <c r="H153" s="535"/>
      <c r="I153" s="224"/>
      <c r="J153" s="364"/>
      <c r="K153" s="84"/>
      <c r="L153" s="84"/>
    </row>
    <row r="154" spans="1:14" s="1" customFormat="1" hidden="1" x14ac:dyDescent="0.25">
      <c r="A154" s="498"/>
      <c r="B154" s="534"/>
      <c r="C154" s="534"/>
      <c r="D154" s="534"/>
      <c r="E154" s="534"/>
      <c r="F154" s="1486"/>
      <c r="G154" s="1319"/>
      <c r="H154" s="387"/>
      <c r="I154" s="371"/>
      <c r="J154" s="364"/>
      <c r="K154" s="84"/>
      <c r="L154" s="84"/>
    </row>
    <row r="155" spans="1:14" hidden="1" x14ac:dyDescent="0.25">
      <c r="A155" s="426"/>
      <c r="B155" s="387"/>
      <c r="C155" s="387"/>
      <c r="D155" s="387"/>
      <c r="E155" s="387"/>
      <c r="F155" s="1290"/>
      <c r="G155" s="1285"/>
      <c r="H155" s="387"/>
      <c r="I155" s="452"/>
      <c r="J155" s="364"/>
      <c r="K155" s="365"/>
      <c r="L155" s="365"/>
    </row>
    <row r="156" spans="1:14" ht="26.25" customHeight="1" x14ac:dyDescent="0.25">
      <c r="A156" s="1439">
        <v>1</v>
      </c>
      <c r="B156" s="1364" t="s">
        <v>15</v>
      </c>
      <c r="C156" s="1364" t="s">
        <v>143</v>
      </c>
      <c r="D156" s="1364" t="s">
        <v>123</v>
      </c>
      <c r="E156" s="1364" t="s">
        <v>1605</v>
      </c>
      <c r="F156" s="1382" t="s">
        <v>1606</v>
      </c>
      <c r="G156" s="1383"/>
      <c r="H156" s="413" t="s">
        <v>393</v>
      </c>
      <c r="I156" s="1481" t="s">
        <v>1607</v>
      </c>
      <c r="J156" s="364">
        <v>-1827.2</v>
      </c>
      <c r="K156" s="84">
        <v>0</v>
      </c>
      <c r="L156" s="84">
        <v>0</v>
      </c>
    </row>
    <row r="157" spans="1:14" ht="29.25" customHeight="1" x14ac:dyDescent="0.25">
      <c r="A157" s="1440"/>
      <c r="B157" s="1365"/>
      <c r="C157" s="1365"/>
      <c r="D157" s="1365"/>
      <c r="E157" s="1365"/>
      <c r="F157" s="1384"/>
      <c r="G157" s="1385"/>
      <c r="H157" s="413" t="s">
        <v>275</v>
      </c>
      <c r="I157" s="1351"/>
      <c r="J157" s="364">
        <v>1827.2</v>
      </c>
      <c r="K157" s="84">
        <v>0</v>
      </c>
      <c r="L157" s="84">
        <v>0</v>
      </c>
    </row>
    <row r="158" spans="1:14" ht="54" customHeight="1" x14ac:dyDescent="0.25">
      <c r="A158" s="1439">
        <v>2</v>
      </c>
      <c r="B158" s="1490" t="s">
        <v>18</v>
      </c>
      <c r="C158" s="1490" t="s">
        <v>143</v>
      </c>
      <c r="D158" s="1490" t="s">
        <v>136</v>
      </c>
      <c r="E158" s="1490" t="s">
        <v>1648</v>
      </c>
      <c r="F158" s="1492" t="s">
        <v>1649</v>
      </c>
      <c r="G158" s="1493"/>
      <c r="H158" s="1029" t="s">
        <v>393</v>
      </c>
      <c r="I158" s="1482" t="s">
        <v>1650</v>
      </c>
      <c r="J158" s="823">
        <v>804759.29</v>
      </c>
      <c r="K158" s="852">
        <v>0</v>
      </c>
      <c r="L158" s="852">
        <v>0</v>
      </c>
    </row>
    <row r="159" spans="1:14" ht="43.5" customHeight="1" x14ac:dyDescent="0.25">
      <c r="A159" s="1440"/>
      <c r="B159" s="1491"/>
      <c r="C159" s="1491"/>
      <c r="D159" s="1491"/>
      <c r="E159" s="1491"/>
      <c r="F159" s="1494"/>
      <c r="G159" s="1495"/>
      <c r="H159" s="1029" t="s">
        <v>294</v>
      </c>
      <c r="I159" s="1489"/>
      <c r="J159" s="364">
        <f>1706663.42-804759.29</f>
        <v>901904.12999999989</v>
      </c>
      <c r="K159" s="84">
        <v>0</v>
      </c>
      <c r="L159" s="84">
        <v>0</v>
      </c>
    </row>
    <row r="160" spans="1:14" ht="63.75" customHeight="1" x14ac:dyDescent="0.25">
      <c r="A160" s="1439">
        <v>3</v>
      </c>
      <c r="B160" s="1364" t="s">
        <v>18</v>
      </c>
      <c r="C160" s="1364" t="s">
        <v>143</v>
      </c>
      <c r="D160" s="1364" t="s">
        <v>136</v>
      </c>
      <c r="E160" s="1364" t="s">
        <v>1648</v>
      </c>
      <c r="F160" s="1382" t="s">
        <v>1668</v>
      </c>
      <c r="G160" s="1383"/>
      <c r="H160" s="946" t="s">
        <v>393</v>
      </c>
      <c r="I160" s="1481" t="s">
        <v>1669</v>
      </c>
      <c r="J160" s="364">
        <v>-5340.07</v>
      </c>
      <c r="K160" s="84">
        <v>0</v>
      </c>
      <c r="L160" s="84">
        <v>0</v>
      </c>
    </row>
    <row r="161" spans="1:12" ht="57.75" customHeight="1" x14ac:dyDescent="0.25">
      <c r="A161" s="1440"/>
      <c r="B161" s="1365"/>
      <c r="C161" s="1365"/>
      <c r="D161" s="1365"/>
      <c r="E161" s="1365"/>
      <c r="F161" s="1384"/>
      <c r="G161" s="1385"/>
      <c r="H161" s="946" t="s">
        <v>275</v>
      </c>
      <c r="I161" s="1355"/>
      <c r="J161" s="364">
        <v>5340.07</v>
      </c>
      <c r="K161" s="84">
        <v>0</v>
      </c>
      <c r="L161" s="84">
        <v>0</v>
      </c>
    </row>
    <row r="162" spans="1:12" x14ac:dyDescent="0.25">
      <c r="A162" s="236"/>
      <c r="B162" s="1391" t="s">
        <v>951</v>
      </c>
      <c r="C162" s="1392"/>
      <c r="D162" s="1392"/>
      <c r="E162" s="1392"/>
      <c r="F162" s="1392"/>
      <c r="G162" s="1392"/>
      <c r="H162" s="1392"/>
      <c r="I162" s="1393"/>
      <c r="J162" s="46">
        <f>J166+J165+J164+J163</f>
        <v>-3.0000000006111804E-3</v>
      </c>
      <c r="K162" s="46">
        <f>K166+K165+K164+K163</f>
        <v>0</v>
      </c>
      <c r="L162" s="46">
        <f>L166+L165+L164+L163</f>
        <v>0</v>
      </c>
    </row>
    <row r="163" spans="1:12" hidden="1" x14ac:dyDescent="0.25">
      <c r="A163" s="344"/>
      <c r="B163" s="387"/>
      <c r="C163" s="387"/>
      <c r="D163" s="387"/>
      <c r="E163" s="387"/>
      <c r="F163" s="1290"/>
      <c r="G163" s="1285"/>
      <c r="H163" s="395"/>
      <c r="I163" s="224"/>
      <c r="J163" s="364"/>
      <c r="K163" s="84">
        <v>0</v>
      </c>
      <c r="L163" s="84">
        <v>0</v>
      </c>
    </row>
    <row r="164" spans="1:12" ht="85.5" customHeight="1" x14ac:dyDescent="0.25">
      <c r="A164" s="344">
        <v>1</v>
      </c>
      <c r="B164" s="387" t="s">
        <v>15</v>
      </c>
      <c r="C164" s="387" t="s">
        <v>128</v>
      </c>
      <c r="D164" s="387" t="s">
        <v>132</v>
      </c>
      <c r="E164" s="387" t="s">
        <v>1047</v>
      </c>
      <c r="F164" s="1290" t="s">
        <v>1048</v>
      </c>
      <c r="G164" s="1285"/>
      <c r="H164" s="395" t="s">
        <v>275</v>
      </c>
      <c r="I164" s="224" t="s">
        <v>1608</v>
      </c>
      <c r="J164" s="364">
        <v>-22272.672999999999</v>
      </c>
      <c r="K164" s="84">
        <v>0</v>
      </c>
      <c r="L164" s="84">
        <v>0</v>
      </c>
    </row>
    <row r="165" spans="1:12" ht="97.5" customHeight="1" x14ac:dyDescent="0.25">
      <c r="A165" s="82">
        <v>2</v>
      </c>
      <c r="B165" s="387" t="s">
        <v>15</v>
      </c>
      <c r="C165" s="387" t="s">
        <v>128</v>
      </c>
      <c r="D165" s="387" t="s">
        <v>122</v>
      </c>
      <c r="E165" s="387" t="s">
        <v>1047</v>
      </c>
      <c r="F165" s="1290" t="s">
        <v>1609</v>
      </c>
      <c r="G165" s="1285"/>
      <c r="H165" s="395" t="s">
        <v>275</v>
      </c>
      <c r="I165" s="224" t="s">
        <v>1610</v>
      </c>
      <c r="J165" s="364">
        <v>22272.67</v>
      </c>
      <c r="K165" s="84">
        <v>0</v>
      </c>
      <c r="L165" s="84">
        <v>0</v>
      </c>
    </row>
    <row r="166" spans="1:12" ht="14.25" customHeight="1" x14ac:dyDescent="0.25">
      <c r="A166" s="82"/>
      <c r="B166" s="715"/>
      <c r="C166" s="717"/>
      <c r="D166" s="717"/>
      <c r="E166" s="717"/>
      <c r="F166" s="1339"/>
      <c r="G166" s="1341"/>
      <c r="H166" s="395"/>
      <c r="I166" s="224"/>
      <c r="J166" s="364"/>
      <c r="K166" s="84">
        <v>0</v>
      </c>
      <c r="L166" s="84">
        <v>0</v>
      </c>
    </row>
    <row r="167" spans="1:12" x14ac:dyDescent="0.25">
      <c r="A167" s="82"/>
      <c r="B167" s="1391" t="s">
        <v>952</v>
      </c>
      <c r="C167" s="1392"/>
      <c r="D167" s="1392"/>
      <c r="E167" s="1392"/>
      <c r="F167" s="1392"/>
      <c r="G167" s="1392"/>
      <c r="H167" s="1392"/>
      <c r="I167" s="1393"/>
      <c r="J167" s="46">
        <f>J169+J170</f>
        <v>0</v>
      </c>
      <c r="K167" s="46">
        <f>K168</f>
        <v>0</v>
      </c>
      <c r="L167" s="46">
        <f>L168</f>
        <v>0</v>
      </c>
    </row>
    <row r="168" spans="1:12" hidden="1" x14ac:dyDescent="0.25">
      <c r="A168" s="366"/>
      <c r="B168" s="345"/>
      <c r="C168" s="345"/>
      <c r="D168" s="345"/>
      <c r="E168" s="345"/>
      <c r="F168" s="1396"/>
      <c r="G168" s="1397"/>
      <c r="H168" s="345"/>
      <c r="I168" s="396"/>
      <c r="J168" s="41"/>
      <c r="K168" s="84"/>
      <c r="L168" s="84"/>
    </row>
    <row r="169" spans="1:12" ht="14.25" hidden="1" customHeight="1" x14ac:dyDescent="0.25">
      <c r="A169" s="366"/>
      <c r="B169" s="421"/>
      <c r="C169" s="421"/>
      <c r="D169" s="421"/>
      <c r="E169" s="421"/>
      <c r="F169" s="1394"/>
      <c r="G169" s="1395"/>
      <c r="H169" s="421"/>
      <c r="I169" s="422"/>
      <c r="J169" s="423"/>
      <c r="K169" s="84">
        <v>0</v>
      </c>
      <c r="L169" s="84">
        <v>0</v>
      </c>
    </row>
    <row r="170" spans="1:12" hidden="1" x14ac:dyDescent="0.25">
      <c r="A170" s="366"/>
      <c r="B170" s="345"/>
      <c r="C170" s="345"/>
      <c r="D170" s="345"/>
      <c r="E170" s="345"/>
      <c r="F170" s="1396"/>
      <c r="G170" s="1397"/>
      <c r="H170" s="345"/>
      <c r="I170" s="396"/>
      <c r="J170" s="41"/>
      <c r="K170" s="84"/>
      <c r="L170" s="84"/>
    </row>
    <row r="171" spans="1:12" s="1" customFormat="1" x14ac:dyDescent="0.25">
      <c r="A171" s="26"/>
      <c r="B171" s="1408" t="s">
        <v>953</v>
      </c>
      <c r="C171" s="1409"/>
      <c r="D171" s="1409"/>
      <c r="E171" s="1409"/>
      <c r="F171" s="1409"/>
      <c r="G171" s="1409"/>
      <c r="H171" s="1409"/>
      <c r="I171" s="1410"/>
      <c r="J171" s="46">
        <f>SUM(J172:J180)</f>
        <v>0</v>
      </c>
      <c r="K171" s="46">
        <f>SUM(K172:K180)</f>
        <v>0</v>
      </c>
      <c r="L171" s="46">
        <f>SUM(L172:L180)</f>
        <v>0</v>
      </c>
    </row>
    <row r="172" spans="1:12" s="1" customFormat="1" ht="15" hidden="1" customHeight="1" x14ac:dyDescent="0.25">
      <c r="A172" s="424"/>
      <c r="B172" s="345"/>
      <c r="C172" s="345"/>
      <c r="D172" s="345"/>
      <c r="E172" s="345"/>
      <c r="F172" s="1396"/>
      <c r="G172" s="1397"/>
      <c r="H172" s="345"/>
      <c r="I172" s="396"/>
      <c r="J172" s="397"/>
      <c r="K172" s="110"/>
      <c r="L172" s="110"/>
    </row>
    <row r="173" spans="1:12" s="1" customFormat="1" ht="15" hidden="1" customHeight="1" x14ac:dyDescent="0.25">
      <c r="A173" s="424"/>
      <c r="B173" s="345"/>
      <c r="C173" s="345"/>
      <c r="D173" s="345"/>
      <c r="E173" s="345"/>
      <c r="F173" s="1396"/>
      <c r="G173" s="1397"/>
      <c r="H173" s="345"/>
      <c r="I173" s="396"/>
      <c r="J173" s="110"/>
      <c r="K173" s="425"/>
      <c r="L173" s="110"/>
    </row>
    <row r="174" spans="1:12" s="1" customFormat="1" ht="4.5" hidden="1" customHeight="1" x14ac:dyDescent="0.25">
      <c r="A174" s="426"/>
      <c r="B174" s="345"/>
      <c r="C174" s="345"/>
      <c r="D174" s="345"/>
      <c r="E174" s="345"/>
      <c r="F174" s="345"/>
      <c r="G174" s="345"/>
      <c r="H174" s="345"/>
      <c r="I174" s="36"/>
      <c r="J174" s="41"/>
      <c r="K174" s="110"/>
      <c r="L174" s="110"/>
    </row>
    <row r="175" spans="1:12" hidden="1" x14ac:dyDescent="0.25">
      <c r="A175" s="426"/>
      <c r="B175" s="345"/>
      <c r="C175" s="345"/>
      <c r="D175" s="345"/>
      <c r="E175" s="345"/>
      <c r="F175" s="345"/>
      <c r="G175" s="345"/>
      <c r="H175" s="345"/>
      <c r="I175" s="396"/>
      <c r="J175" s="41"/>
      <c r="K175" s="84"/>
      <c r="L175" s="84"/>
    </row>
    <row r="176" spans="1:12" hidden="1" x14ac:dyDescent="0.25">
      <c r="A176" s="78"/>
      <c r="B176" s="345"/>
      <c r="C176" s="345"/>
      <c r="D176" s="345"/>
      <c r="E176" s="345"/>
      <c r="F176" s="345"/>
      <c r="G176" s="345"/>
      <c r="H176" s="345"/>
      <c r="I176" s="427"/>
      <c r="J176" s="41"/>
      <c r="K176" s="84"/>
      <c r="L176" s="84"/>
    </row>
    <row r="177" spans="1:14" hidden="1" x14ac:dyDescent="0.25">
      <c r="A177" s="78"/>
      <c r="B177" s="345"/>
      <c r="C177" s="345"/>
      <c r="D177" s="345"/>
      <c r="E177" s="345"/>
      <c r="F177" s="345"/>
      <c r="G177" s="345"/>
      <c r="H177" s="345"/>
      <c r="I177" s="396"/>
      <c r="J177" s="41"/>
      <c r="K177" s="84"/>
      <c r="L177" s="84"/>
    </row>
    <row r="178" spans="1:14" hidden="1" x14ac:dyDescent="0.25">
      <c r="A178" s="78"/>
      <c r="B178" s="345"/>
      <c r="C178" s="345"/>
      <c r="D178" s="345"/>
      <c r="E178" s="345"/>
      <c r="F178" s="345"/>
      <c r="G178" s="345"/>
      <c r="H178" s="345"/>
      <c r="I178" s="396"/>
      <c r="J178" s="41"/>
      <c r="K178" s="84"/>
      <c r="L178" s="84"/>
    </row>
    <row r="179" spans="1:14" hidden="1" x14ac:dyDescent="0.25">
      <c r="A179" s="78"/>
      <c r="B179" s="345"/>
      <c r="C179" s="345"/>
      <c r="D179" s="345"/>
      <c r="E179" s="345"/>
      <c r="F179" s="1396"/>
      <c r="G179" s="1397"/>
      <c r="H179" s="345"/>
      <c r="I179" s="396"/>
      <c r="J179" s="41"/>
      <c r="K179" s="84"/>
      <c r="L179" s="84"/>
    </row>
    <row r="180" spans="1:14" x14ac:dyDescent="0.25">
      <c r="A180" s="428"/>
      <c r="B180" s="429"/>
      <c r="C180" s="429"/>
      <c r="D180" s="429"/>
      <c r="E180" s="429"/>
      <c r="F180" s="1401"/>
      <c r="G180" s="1402"/>
      <c r="H180" s="429"/>
      <c r="I180" s="430"/>
      <c r="J180" s="431"/>
      <c r="K180" s="432"/>
      <c r="L180" s="432"/>
    </row>
    <row r="181" spans="1:14" hidden="1" x14ac:dyDescent="0.25">
      <c r="A181" s="78"/>
      <c r="B181" s="345"/>
      <c r="C181" s="345"/>
      <c r="D181" s="345"/>
      <c r="E181" s="345"/>
      <c r="F181" s="1396"/>
      <c r="G181" s="1397"/>
      <c r="H181" s="345"/>
      <c r="I181" s="396"/>
      <c r="J181" s="41"/>
      <c r="K181" s="84"/>
      <c r="L181" s="84"/>
    </row>
    <row r="182" spans="1:14" ht="15" customHeight="1" x14ac:dyDescent="0.25">
      <c r="A182" s="82"/>
      <c r="B182" s="1297" t="s">
        <v>954</v>
      </c>
      <c r="C182" s="1298"/>
      <c r="D182" s="1298"/>
      <c r="E182" s="1298"/>
      <c r="F182" s="1298"/>
      <c r="G182" s="1298"/>
      <c r="H182" s="1298"/>
      <c r="I182" s="1299"/>
      <c r="J182" s="46">
        <f>J171+J147+J140+J133+J124+J96+J74+J55+J121+J162+J167+J78+J181</f>
        <v>3769013.997</v>
      </c>
      <c r="K182" s="46">
        <f>K171+K147+K140+K133+K124+K96+K74+K55+K121+K162+K167+K78+K181</f>
        <v>0</v>
      </c>
      <c r="L182" s="46">
        <f>L171+L147+L140+L133+L124+L96+L74+L55+L121+L162+L167+L78+L181</f>
        <v>0</v>
      </c>
    </row>
    <row r="183" spans="1:14" hidden="1" x14ac:dyDescent="0.25">
      <c r="I183" s="662"/>
      <c r="J183" s="64"/>
    </row>
    <row r="184" spans="1:14" ht="30.75" customHeight="1" x14ac:dyDescent="0.25">
      <c r="I184" s="662"/>
      <c r="J184" s="64"/>
    </row>
    <row r="185" spans="1:14" ht="18.75" customHeight="1" x14ac:dyDescent="0.25">
      <c r="A185" s="3" t="s">
        <v>1044</v>
      </c>
      <c r="I185" s="662"/>
      <c r="J185" s="64" t="s">
        <v>1070</v>
      </c>
    </row>
    <row r="186" spans="1:14" ht="8.25" customHeight="1" x14ac:dyDescent="0.25">
      <c r="I186" s="662"/>
      <c r="J186" s="64"/>
    </row>
    <row r="187" spans="1:14" s="1" customFormat="1" ht="32.25" hidden="1" customHeight="1" x14ac:dyDescent="0.25">
      <c r="A187" s="1398"/>
      <c r="B187" s="1398"/>
      <c r="C187" s="1398"/>
      <c r="D187" s="1398"/>
      <c r="E187" s="1398"/>
      <c r="F187" s="1398"/>
      <c r="G187" s="1398"/>
      <c r="H187" s="1398"/>
      <c r="I187" s="1201"/>
      <c r="J187" s="1201"/>
    </row>
    <row r="188" spans="1:14" hidden="1" x14ac:dyDescent="0.25"/>
    <row r="189" spans="1:14" ht="17.25" customHeight="1" x14ac:dyDescent="0.25"/>
    <row r="190" spans="1:14" x14ac:dyDescent="0.25">
      <c r="A190" s="1" t="s">
        <v>957</v>
      </c>
    </row>
    <row r="191" spans="1:14" ht="18.75" customHeight="1" x14ac:dyDescent="0.25">
      <c r="A191" s="1390" t="s">
        <v>958</v>
      </c>
      <c r="B191" s="1390"/>
    </row>
    <row r="192" spans="1:14" ht="19.5" customHeight="1" x14ac:dyDescent="0.25">
      <c r="B192" s="3"/>
      <c r="C192" s="76"/>
      <c r="D192" s="76"/>
      <c r="E192" s="76"/>
      <c r="F192" s="76"/>
      <c r="G192" s="76"/>
      <c r="H192" s="76"/>
      <c r="I192" s="76"/>
      <c r="J192" s="76" t="s">
        <v>959</v>
      </c>
      <c r="K192" s="360">
        <f>П2ДОХОДЫ!E177</f>
        <v>877542628.18000007</v>
      </c>
      <c r="N192" s="360"/>
    </row>
    <row r="193" spans="2:12" ht="15" hidden="1" customHeight="1" x14ac:dyDescent="0.25">
      <c r="B193" s="1352"/>
      <c r="C193" s="1352"/>
      <c r="D193" s="1352"/>
      <c r="E193" s="1352"/>
      <c r="F193" s="1352"/>
      <c r="G193" s="1352"/>
      <c r="H193" s="1352"/>
      <c r="I193" s="1352"/>
      <c r="J193" s="433"/>
    </row>
    <row r="194" spans="2:12" ht="1.5" hidden="1" customHeight="1" x14ac:dyDescent="0.25">
      <c r="B194" s="1201" t="s">
        <v>960</v>
      </c>
      <c r="C194" s="1201"/>
      <c r="D194" s="1201"/>
      <c r="E194" s="1201"/>
      <c r="F194" s="1201"/>
      <c r="G194" s="1201"/>
      <c r="H194" s="1201"/>
      <c r="I194" s="1201"/>
      <c r="J194" s="5">
        <f>J195+J196+J197+J198</f>
        <v>0</v>
      </c>
      <c r="K194" s="5" t="e">
        <f>#REF!</f>
        <v>#REF!</v>
      </c>
      <c r="L194" s="5" t="e">
        <f>#REF!</f>
        <v>#REF!</v>
      </c>
    </row>
    <row r="195" spans="2:12" hidden="1" x14ac:dyDescent="0.25">
      <c r="B195" s="711"/>
      <c r="C195" s="711"/>
      <c r="D195" s="711"/>
      <c r="E195" s="711"/>
      <c r="F195" s="711"/>
      <c r="G195" s="711"/>
      <c r="H195" s="711"/>
      <c r="I195" s="434" t="s">
        <v>15</v>
      </c>
      <c r="J195" s="5"/>
      <c r="K195" s="5"/>
      <c r="L195" s="5"/>
    </row>
    <row r="196" spans="2:12" hidden="1" x14ac:dyDescent="0.25">
      <c r="B196" s="711"/>
      <c r="C196" s="711"/>
      <c r="D196" s="711"/>
      <c r="E196" s="711"/>
      <c r="F196" s="711"/>
      <c r="G196" s="711"/>
      <c r="H196" s="711"/>
      <c r="I196" s="434" t="s">
        <v>16</v>
      </c>
      <c r="J196" s="5"/>
      <c r="K196" s="5"/>
      <c r="L196" s="5"/>
    </row>
    <row r="197" spans="2:12" hidden="1" x14ac:dyDescent="0.25">
      <c r="B197" s="711"/>
      <c r="C197" s="711"/>
      <c r="D197" s="711"/>
      <c r="E197" s="711"/>
      <c r="F197" s="711"/>
      <c r="G197" s="711"/>
      <c r="H197" s="711"/>
      <c r="I197" s="434" t="s">
        <v>18</v>
      </c>
      <c r="J197" s="5"/>
      <c r="K197" s="5"/>
      <c r="L197" s="5"/>
    </row>
    <row r="198" spans="2:12" hidden="1" x14ac:dyDescent="0.25">
      <c r="B198" s="711"/>
      <c r="C198" s="711"/>
      <c r="D198" s="711"/>
      <c r="E198" s="711"/>
      <c r="F198" s="711"/>
      <c r="G198" s="711"/>
      <c r="H198" s="711"/>
      <c r="I198" s="434" t="s">
        <v>19</v>
      </c>
      <c r="J198" s="5"/>
      <c r="K198" s="5"/>
      <c r="L198" s="5"/>
    </row>
    <row r="199" spans="2:12" hidden="1" x14ac:dyDescent="0.25">
      <c r="B199" s="1201" t="s">
        <v>961</v>
      </c>
      <c r="C199" s="1201"/>
      <c r="D199" s="1201"/>
      <c r="E199" s="1201"/>
      <c r="F199" s="1201"/>
      <c r="G199" s="1201"/>
      <c r="H199" s="1201"/>
      <c r="I199" s="1201"/>
      <c r="J199" s="5" t="e">
        <f>J200+J201+J202+J203</f>
        <v>#REF!</v>
      </c>
      <c r="K199" s="5" t="e">
        <f>#REF!+#REF!+#REF!+#REF!+#REF!+#REF!+#REF!+#REF!+#REF!+#REF!+#REF!+#REF!+#REF!+#REF!</f>
        <v>#REF!</v>
      </c>
      <c r="L199" s="5" t="e">
        <f>#REF!+#REF!+#REF!+#REF!+#REF!+#REF!+#REF!+#REF!+#REF!+#REF!+#REF!+#REF!+#REF!+#REF!</f>
        <v>#REF!</v>
      </c>
    </row>
    <row r="200" spans="2:12" hidden="1" x14ac:dyDescent="0.25">
      <c r="B200" s="711"/>
      <c r="C200" s="711"/>
      <c r="D200" s="711"/>
      <c r="E200" s="711"/>
      <c r="F200" s="711"/>
      <c r="G200" s="711"/>
      <c r="H200" s="711"/>
      <c r="I200" s="434" t="s">
        <v>15</v>
      </c>
      <c r="J200" s="5" t="e">
        <f>#REF!+#REF!</f>
        <v>#REF!</v>
      </c>
      <c r="K200" s="5"/>
      <c r="L200" s="5"/>
    </row>
    <row r="201" spans="2:12" hidden="1" x14ac:dyDescent="0.25">
      <c r="B201" s="711"/>
      <c r="C201" s="711"/>
      <c r="D201" s="711"/>
      <c r="E201" s="711"/>
      <c r="F201" s="711"/>
      <c r="G201" s="711"/>
      <c r="H201" s="711"/>
      <c r="I201" s="434" t="s">
        <v>16</v>
      </c>
      <c r="J201" s="5" t="e">
        <f>#REF!</f>
        <v>#REF!</v>
      </c>
      <c r="K201" s="5"/>
      <c r="L201" s="5"/>
    </row>
    <row r="202" spans="2:12" hidden="1" x14ac:dyDescent="0.25">
      <c r="B202" s="711"/>
      <c r="C202" s="711"/>
      <c r="D202" s="711"/>
      <c r="E202" s="711"/>
      <c r="F202" s="711"/>
      <c r="G202" s="711"/>
      <c r="H202" s="711"/>
      <c r="I202" s="434" t="s">
        <v>18</v>
      </c>
      <c r="J202" s="5">
        <v>0</v>
      </c>
      <c r="K202" s="5"/>
      <c r="L202" s="5"/>
    </row>
    <row r="203" spans="2:12" hidden="1" x14ac:dyDescent="0.25">
      <c r="B203" s="711"/>
      <c r="C203" s="711"/>
      <c r="D203" s="711"/>
      <c r="E203" s="711"/>
      <c r="F203" s="711"/>
      <c r="G203" s="711"/>
      <c r="H203" s="711"/>
      <c r="I203" s="434" t="s">
        <v>19</v>
      </c>
      <c r="J203" s="5">
        <v>0</v>
      </c>
      <c r="K203" s="5"/>
      <c r="L203" s="5"/>
    </row>
    <row r="204" spans="2:12" hidden="1" x14ac:dyDescent="0.25">
      <c r="B204" s="1201" t="s">
        <v>260</v>
      </c>
      <c r="C204" s="1201"/>
      <c r="D204" s="1201"/>
      <c r="E204" s="1201"/>
      <c r="F204" s="1201"/>
      <c r="G204" s="1201"/>
      <c r="H204" s="1201"/>
      <c r="I204" s="1201"/>
      <c r="J204" s="5" t="e">
        <f>SUM(J194:J199)</f>
        <v>#REF!</v>
      </c>
      <c r="K204" s="5" t="e">
        <f>SUM(K194:K199)</f>
        <v>#REF!</v>
      </c>
      <c r="L204" s="5" t="e">
        <f>SUM(L194:L199)</f>
        <v>#REF!</v>
      </c>
    </row>
    <row r="205" spans="2:12" hidden="1" x14ac:dyDescent="0.25">
      <c r="B205" s="1352" t="s">
        <v>938</v>
      </c>
      <c r="C205" s="1352"/>
      <c r="D205" s="1352"/>
      <c r="E205" s="1352"/>
      <c r="F205" s="1352"/>
      <c r="G205" s="1352"/>
      <c r="H205" s="1352"/>
      <c r="I205" s="1352"/>
      <c r="J205" s="433"/>
    </row>
    <row r="206" spans="2:12" hidden="1" x14ac:dyDescent="0.25">
      <c r="B206" s="1201" t="s">
        <v>962</v>
      </c>
      <c r="C206" s="1201"/>
      <c r="D206" s="1201"/>
      <c r="E206" s="1201"/>
      <c r="F206" s="1201"/>
      <c r="G206" s="1201"/>
      <c r="H206" s="1201"/>
      <c r="I206" s="1201"/>
      <c r="J206" s="5">
        <v>0</v>
      </c>
      <c r="K206" s="5">
        <f>K44+K46</f>
        <v>0</v>
      </c>
      <c r="L206" s="5">
        <f>L44+L46</f>
        <v>0</v>
      </c>
    </row>
    <row r="207" spans="2:12" hidden="1" x14ac:dyDescent="0.25">
      <c r="B207" s="1201" t="s">
        <v>963</v>
      </c>
      <c r="C207" s="1201"/>
      <c r="D207" s="1201"/>
      <c r="E207" s="1201"/>
      <c r="F207" s="1201"/>
      <c r="G207" s="1201"/>
      <c r="H207" s="1201"/>
      <c r="I207" s="1201"/>
      <c r="J207" s="5">
        <f>J44</f>
        <v>0</v>
      </c>
      <c r="K207" s="5"/>
      <c r="L207" s="5"/>
    </row>
    <row r="208" spans="2:12" hidden="1" x14ac:dyDescent="0.25">
      <c r="B208" s="1201" t="s">
        <v>964</v>
      </c>
      <c r="C208" s="1201"/>
      <c r="D208" s="1201"/>
      <c r="E208" s="1201"/>
      <c r="F208" s="1201"/>
      <c r="G208" s="1201"/>
      <c r="H208" s="1201"/>
      <c r="I208" s="1201"/>
      <c r="J208" s="5">
        <f>J45</f>
        <v>0</v>
      </c>
      <c r="K208" s="5">
        <f>K45</f>
        <v>0</v>
      </c>
      <c r="L208" s="5">
        <f>L45</f>
        <v>0</v>
      </c>
    </row>
    <row r="209" spans="2:12" hidden="1" x14ac:dyDescent="0.25">
      <c r="B209" s="1201" t="s">
        <v>260</v>
      </c>
      <c r="C209" s="1201"/>
      <c r="D209" s="1201"/>
      <c r="E209" s="1201"/>
      <c r="F209" s="1201"/>
      <c r="G209" s="1201"/>
      <c r="H209" s="1201"/>
      <c r="I209" s="1201"/>
      <c r="J209" s="5">
        <f>SUM(J206:J208)</f>
        <v>0</v>
      </c>
      <c r="K209" s="5">
        <f>SUM(K206:K208)</f>
        <v>0</v>
      </c>
      <c r="L209" s="5">
        <f>SUM(L206:L208)</f>
        <v>0</v>
      </c>
    </row>
    <row r="210" spans="2:12" hidden="1" x14ac:dyDescent="0.25">
      <c r="B210" s="1352" t="s">
        <v>940</v>
      </c>
      <c r="C210" s="1352"/>
      <c r="D210" s="1352"/>
      <c r="E210" s="1352"/>
      <c r="F210" s="1352"/>
      <c r="G210" s="1352"/>
      <c r="H210" s="1352"/>
      <c r="I210" s="1352"/>
      <c r="J210" s="433"/>
    </row>
    <row r="211" spans="2:12" hidden="1" x14ac:dyDescent="0.25">
      <c r="B211" s="1201" t="s">
        <v>965</v>
      </c>
      <c r="C211" s="1201"/>
      <c r="D211" s="1201"/>
      <c r="E211" s="1201"/>
      <c r="F211" s="1201"/>
      <c r="G211" s="1201"/>
      <c r="H211" s="1201"/>
      <c r="I211" s="1201"/>
      <c r="J211" s="64" t="e">
        <f>#REF!+#REF!+#REF!+#REF!+#REF!+J56+#REF!+#REF!+J163+J164+J165+#REF!+#REF!+#REF!+#REF!+#REF!+J57+J153+#REF!+#REF!</f>
        <v>#REF!</v>
      </c>
      <c r="K211" s="64" t="e">
        <f>#REF!+#REF!+#REF!+K56+K75+#REF!+#REF!+#REF!+#REF!+#REF!</f>
        <v>#REF!</v>
      </c>
      <c r="L211" s="64" t="e">
        <f>#REF!+#REF!+#REF!+L56+L75+#REF!+#REF!+#REF!+#REF!+#REF!</f>
        <v>#REF!</v>
      </c>
    </row>
    <row r="212" spans="2:12" hidden="1" x14ac:dyDescent="0.25">
      <c r="B212" s="1201" t="s">
        <v>966</v>
      </c>
      <c r="C212" s="1201"/>
      <c r="D212" s="1201"/>
      <c r="E212" s="1201"/>
      <c r="F212" s="1201"/>
      <c r="G212" s="1201"/>
      <c r="H212" s="1201"/>
      <c r="I212" s="1201"/>
      <c r="J212" s="64">
        <f>J167</f>
        <v>0</v>
      </c>
      <c r="K212" s="64">
        <f>K181+K172</f>
        <v>0</v>
      </c>
      <c r="L212" s="64">
        <f>L181+L172</f>
        <v>0</v>
      </c>
    </row>
    <row r="213" spans="2:12" hidden="1" x14ac:dyDescent="0.25">
      <c r="B213" s="1201" t="s">
        <v>967</v>
      </c>
      <c r="C213" s="1201"/>
      <c r="D213" s="1201"/>
      <c r="E213" s="1201"/>
      <c r="F213" s="1201"/>
      <c r="G213" s="1201"/>
      <c r="H213" s="1201"/>
      <c r="I213" s="1201"/>
      <c r="J213" s="64" t="e">
        <f>#REF!+#REF!+#REF!</f>
        <v>#REF!</v>
      </c>
      <c r="K213" s="64" t="e">
        <f>#REF!+#REF!+#REF!+#REF!+#REF!+#REF!+#REF!+#REF!+#REF!+#REF!+#REF!+#REF!+#REF!+#REF!+#REF!+#REF!+#REF!+#REF!+#REF!+#REF!</f>
        <v>#REF!</v>
      </c>
      <c r="L213" s="64" t="e">
        <f>#REF!+#REF!+#REF!+#REF!+#REF!+#REF!+#REF!+#REF!+#REF!+#REF!+#REF!+#REF!+#REF!+#REF!+#REF!+#REF!+#REF!+#REF!+#REF!+#REF!</f>
        <v>#REF!</v>
      </c>
    </row>
    <row r="214" spans="2:12" hidden="1" x14ac:dyDescent="0.25">
      <c r="B214" s="1201" t="s">
        <v>968</v>
      </c>
      <c r="C214" s="1201"/>
      <c r="D214" s="1201"/>
      <c r="E214" s="1201"/>
      <c r="F214" s="1201"/>
      <c r="G214" s="1201"/>
      <c r="H214" s="1201"/>
      <c r="I214" s="1201"/>
      <c r="J214" s="64" t="e">
        <f>#REF!+#REF!</f>
        <v>#REF!</v>
      </c>
      <c r="K214" s="64" t="e">
        <f>#REF!+#REF!</f>
        <v>#REF!</v>
      </c>
      <c r="L214" s="64" t="e">
        <f>#REF!+#REF!</f>
        <v>#REF!</v>
      </c>
    </row>
    <row r="215" spans="2:12" hidden="1" x14ac:dyDescent="0.25">
      <c r="B215" s="1201" t="s">
        <v>260</v>
      </c>
      <c r="C215" s="1201"/>
      <c r="D215" s="1201"/>
      <c r="E215" s="1201"/>
      <c r="F215" s="1201"/>
      <c r="G215" s="1201"/>
      <c r="H215" s="1201"/>
      <c r="I215" s="1201"/>
      <c r="J215" s="64" t="e">
        <f>SUM(J211:J214)</f>
        <v>#REF!</v>
      </c>
      <c r="K215" s="64" t="e">
        <f>SUM(K211:K214)</f>
        <v>#REF!</v>
      </c>
      <c r="L215" s="64" t="e">
        <f>SUM(L211:L214)</f>
        <v>#REF!</v>
      </c>
    </row>
    <row r="216" spans="2:12" ht="0.75" hidden="1" customHeight="1" x14ac:dyDescent="0.25">
      <c r="B216" s="1352"/>
      <c r="C216" s="1352"/>
      <c r="D216" s="1352"/>
      <c r="E216" s="1352"/>
      <c r="F216" s="1352"/>
      <c r="G216" s="1352"/>
      <c r="H216" s="1352"/>
      <c r="I216" s="1352"/>
      <c r="J216" s="435" t="s">
        <v>959</v>
      </c>
      <c r="K216" s="435">
        <f>П2ДОХОДЫ!E177</f>
        <v>877542628.18000007</v>
      </c>
      <c r="L216" s="435"/>
    </row>
    <row r="217" spans="2:12" ht="18" customHeight="1" x14ac:dyDescent="0.25">
      <c r="J217" s="28" t="s">
        <v>970</v>
      </c>
      <c r="K217" s="360">
        <f>П4ВСР!Z765</f>
        <v>1006891333.1199999</v>
      </c>
    </row>
    <row r="218" spans="2:12" x14ac:dyDescent="0.25">
      <c r="I218" s="711"/>
      <c r="J218" s="28" t="s">
        <v>971</v>
      </c>
      <c r="K218" s="360">
        <f>П2ДОХОДЫ!E13</f>
        <v>231131347.21999997</v>
      </c>
    </row>
    <row r="219" spans="2:12" x14ac:dyDescent="0.25">
      <c r="J219" s="28" t="s">
        <v>972</v>
      </c>
      <c r="K219" s="360">
        <f>K192-K217</f>
        <v>-129348704.93999982</v>
      </c>
    </row>
    <row r="220" spans="2:12" x14ac:dyDescent="0.25">
      <c r="K220" s="360">
        <f>П1ИВФ!C18</f>
        <v>2360000</v>
      </c>
    </row>
    <row r="221" spans="2:12" x14ac:dyDescent="0.25">
      <c r="K221" s="3">
        <f>K220/K218*100</f>
        <v>1.0210644416629728</v>
      </c>
    </row>
    <row r="223" spans="2:12" x14ac:dyDescent="0.25">
      <c r="J223" s="64"/>
      <c r="K223" s="360"/>
    </row>
    <row r="224" spans="2:12" x14ac:dyDescent="0.25">
      <c r="K224" s="360"/>
    </row>
    <row r="225" spans="10:12" x14ac:dyDescent="0.25">
      <c r="K225" s="360"/>
    </row>
    <row r="227" spans="10:12" x14ac:dyDescent="0.25">
      <c r="K227" s="360"/>
    </row>
    <row r="230" spans="10:12" x14ac:dyDescent="0.25">
      <c r="L230" s="360"/>
    </row>
    <row r="231" spans="10:12" x14ac:dyDescent="0.25">
      <c r="L231" s="360"/>
    </row>
    <row r="232" spans="10:12" x14ac:dyDescent="0.25">
      <c r="K232" s="28"/>
      <c r="L232" s="360"/>
    </row>
    <row r="233" spans="10:12" x14ac:dyDescent="0.25">
      <c r="K233" s="28"/>
      <c r="L233" s="360"/>
    </row>
    <row r="234" spans="10:12" x14ac:dyDescent="0.25">
      <c r="J234" s="76"/>
      <c r="K234" s="28"/>
      <c r="L234" s="360"/>
    </row>
    <row r="235" spans="10:12" x14ac:dyDescent="0.25">
      <c r="J235" s="433"/>
    </row>
  </sheetData>
  <mergeCells count="239">
    <mergeCell ref="F75:G76"/>
    <mergeCell ref="I106:I107"/>
    <mergeCell ref="I108:I109"/>
    <mergeCell ref="I110:I111"/>
    <mergeCell ref="F105:G105"/>
    <mergeCell ref="A101:A102"/>
    <mergeCell ref="F98:G100"/>
    <mergeCell ref="I112:I113"/>
    <mergeCell ref="A114:A115"/>
    <mergeCell ref="F94:G94"/>
    <mergeCell ref="F95:G95"/>
    <mergeCell ref="A108:A109"/>
    <mergeCell ref="F108:G109"/>
    <mergeCell ref="A98:A100"/>
    <mergeCell ref="I103:I104"/>
    <mergeCell ref="C101:C102"/>
    <mergeCell ref="D101:D102"/>
    <mergeCell ref="A137:A138"/>
    <mergeCell ref="E137:E138"/>
    <mergeCell ref="F137:G138"/>
    <mergeCell ref="A106:A107"/>
    <mergeCell ref="C106:C107"/>
    <mergeCell ref="D106:D107"/>
    <mergeCell ref="E106:E107"/>
    <mergeCell ref="F106:G107"/>
    <mergeCell ref="A112:A113"/>
    <mergeCell ref="C112:C113"/>
    <mergeCell ref="D112:D113"/>
    <mergeCell ref="E112:E113"/>
    <mergeCell ref="F112:G113"/>
    <mergeCell ref="C110:C111"/>
    <mergeCell ref="D110:D111"/>
    <mergeCell ref="E110:E111"/>
    <mergeCell ref="F110:G111"/>
    <mergeCell ref="A110:A111"/>
    <mergeCell ref="A118:A119"/>
    <mergeCell ref="C118:C119"/>
    <mergeCell ref="D118:D119"/>
    <mergeCell ref="E118:E119"/>
    <mergeCell ref="F118:G119"/>
    <mergeCell ref="F134:G134"/>
    <mergeCell ref="B193:I193"/>
    <mergeCell ref="F150:G150"/>
    <mergeCell ref="F151:G151"/>
    <mergeCell ref="F152:G152"/>
    <mergeCell ref="F153:G153"/>
    <mergeCell ref="F154:G154"/>
    <mergeCell ref="F155:G155"/>
    <mergeCell ref="F149:G149"/>
    <mergeCell ref="F148:G148"/>
    <mergeCell ref="I160:I161"/>
    <mergeCell ref="I158:I159"/>
    <mergeCell ref="B158:B159"/>
    <mergeCell ref="C158:C159"/>
    <mergeCell ref="D158:D159"/>
    <mergeCell ref="E158:E159"/>
    <mergeCell ref="F158:G159"/>
    <mergeCell ref="F181:G181"/>
    <mergeCell ref="F135:G135"/>
    <mergeCell ref="F141:G141"/>
    <mergeCell ref="F129:G129"/>
    <mergeCell ref="B140:I140"/>
    <mergeCell ref="C108:C109"/>
    <mergeCell ref="D108:D109"/>
    <mergeCell ref="E108:E109"/>
    <mergeCell ref="F132:G132"/>
    <mergeCell ref="I156:I157"/>
    <mergeCell ref="I137:I138"/>
    <mergeCell ref="C137:C138"/>
    <mergeCell ref="D137:D138"/>
    <mergeCell ref="F146:G146"/>
    <mergeCell ref="B147:I147"/>
    <mergeCell ref="F139:G139"/>
    <mergeCell ref="F136:G136"/>
    <mergeCell ref="I126:I127"/>
    <mergeCell ref="I116:I117"/>
    <mergeCell ref="C116:C117"/>
    <mergeCell ref="D116:D117"/>
    <mergeCell ref="E116:E117"/>
    <mergeCell ref="F116:G117"/>
    <mergeCell ref="F120:G120"/>
    <mergeCell ref="I118:I119"/>
    <mergeCell ref="B194:I194"/>
    <mergeCell ref="B199:I199"/>
    <mergeCell ref="A103:A104"/>
    <mergeCell ref="I63:I64"/>
    <mergeCell ref="A63:A64"/>
    <mergeCell ref="B63:B64"/>
    <mergeCell ref="C63:C64"/>
    <mergeCell ref="D63:D64"/>
    <mergeCell ref="F173:G173"/>
    <mergeCell ref="B162:I162"/>
    <mergeCell ref="F163:G163"/>
    <mergeCell ref="F164:G164"/>
    <mergeCell ref="F165:G165"/>
    <mergeCell ref="F166:G166"/>
    <mergeCell ref="F168:G168"/>
    <mergeCell ref="B167:I167"/>
    <mergeCell ref="F169:G169"/>
    <mergeCell ref="F170:G170"/>
    <mergeCell ref="B171:I171"/>
    <mergeCell ref="F172:G172"/>
    <mergeCell ref="F86:G86"/>
    <mergeCell ref="F87:G87"/>
    <mergeCell ref="I70:I71"/>
    <mergeCell ref="I114:I115"/>
    <mergeCell ref="B44:H44"/>
    <mergeCell ref="B39:I39"/>
    <mergeCell ref="B41:J41"/>
    <mergeCell ref="A42:A43"/>
    <mergeCell ref="B42:H43"/>
    <mergeCell ref="B213:I213"/>
    <mergeCell ref="B214:I214"/>
    <mergeCell ref="B215:I215"/>
    <mergeCell ref="B216:I216"/>
    <mergeCell ref="B207:I207"/>
    <mergeCell ref="B208:I208"/>
    <mergeCell ref="B209:I209"/>
    <mergeCell ref="B210:I210"/>
    <mergeCell ref="B211:I211"/>
    <mergeCell ref="B212:I212"/>
    <mergeCell ref="B204:I204"/>
    <mergeCell ref="B205:I205"/>
    <mergeCell ref="B206:I206"/>
    <mergeCell ref="F179:G179"/>
    <mergeCell ref="F180:G180"/>
    <mergeCell ref="B182:I182"/>
    <mergeCell ref="A187:H187"/>
    <mergeCell ref="I187:J187"/>
    <mergeCell ref="A191:B191"/>
    <mergeCell ref="I42:I43"/>
    <mergeCell ref="J42:L42"/>
    <mergeCell ref="F93:G93"/>
    <mergeCell ref="F57:G57"/>
    <mergeCell ref="A1:L1"/>
    <mergeCell ref="A2:L2"/>
    <mergeCell ref="A4:L4"/>
    <mergeCell ref="A5:A6"/>
    <mergeCell ref="B5:H6"/>
    <mergeCell ref="I5:I6"/>
    <mergeCell ref="J5:L5"/>
    <mergeCell ref="A53:A54"/>
    <mergeCell ref="B53:B54"/>
    <mergeCell ref="C53:C54"/>
    <mergeCell ref="D53:D54"/>
    <mergeCell ref="E53:G54"/>
    <mergeCell ref="H53:H54"/>
    <mergeCell ref="I53:I54"/>
    <mergeCell ref="J53:L53"/>
    <mergeCell ref="B46:H46"/>
    <mergeCell ref="B47:H47"/>
    <mergeCell ref="B48:H48"/>
    <mergeCell ref="B49:I49"/>
    <mergeCell ref="B45:H45"/>
    <mergeCell ref="B52:J52"/>
    <mergeCell ref="F88:G88"/>
    <mergeCell ref="F103:G104"/>
    <mergeCell ref="I101:I102"/>
    <mergeCell ref="F56:G56"/>
    <mergeCell ref="F60:G60"/>
    <mergeCell ref="C103:C104"/>
    <mergeCell ref="F82:G82"/>
    <mergeCell ref="F83:G83"/>
    <mergeCell ref="F84:G84"/>
    <mergeCell ref="F85:G85"/>
    <mergeCell ref="F66:G66"/>
    <mergeCell ref="F89:G89"/>
    <mergeCell ref="F67:G67"/>
    <mergeCell ref="F68:G68"/>
    <mergeCell ref="F69:G69"/>
    <mergeCell ref="F72:G72"/>
    <mergeCell ref="F73:G73"/>
    <mergeCell ref="F65:G65"/>
    <mergeCell ref="F62:G62"/>
    <mergeCell ref="F59:G59"/>
    <mergeCell ref="B55:I55"/>
    <mergeCell ref="B74:I74"/>
    <mergeCell ref="F77:G77"/>
    <mergeCell ref="F128:G128"/>
    <mergeCell ref="E126:E127"/>
    <mergeCell ref="F126:G127"/>
    <mergeCell ref="F125:G125"/>
    <mergeCell ref="B133:I133"/>
    <mergeCell ref="F58:G58"/>
    <mergeCell ref="B99:B100"/>
    <mergeCell ref="E101:E102"/>
    <mergeCell ref="F101:G102"/>
    <mergeCell ref="D103:D104"/>
    <mergeCell ref="F131:G131"/>
    <mergeCell ref="F130:G130"/>
    <mergeCell ref="C114:C115"/>
    <mergeCell ref="D114:D115"/>
    <mergeCell ref="E114:E115"/>
    <mergeCell ref="F114:G115"/>
    <mergeCell ref="F70:G71"/>
    <mergeCell ref="F61:G61"/>
    <mergeCell ref="E103:E104"/>
    <mergeCell ref="E63:E64"/>
    <mergeCell ref="F63:G64"/>
    <mergeCell ref="F91:G91"/>
    <mergeCell ref="F80:G80"/>
    <mergeCell ref="F81:G81"/>
    <mergeCell ref="A116:A117"/>
    <mergeCell ref="A126:A127"/>
    <mergeCell ref="B126:B127"/>
    <mergeCell ref="C126:C127"/>
    <mergeCell ref="D126:D127"/>
    <mergeCell ref="A70:A71"/>
    <mergeCell ref="C70:C71"/>
    <mergeCell ref="D70:D71"/>
    <mergeCell ref="E70:E71"/>
    <mergeCell ref="E98:E100"/>
    <mergeCell ref="B124:I124"/>
    <mergeCell ref="F122:G122"/>
    <mergeCell ref="B121:I121"/>
    <mergeCell ref="B78:I78"/>
    <mergeCell ref="F79:G79"/>
    <mergeCell ref="F92:G92"/>
    <mergeCell ref="B96:I96"/>
    <mergeCell ref="F97:G97"/>
    <mergeCell ref="I98:I100"/>
    <mergeCell ref="I75:I76"/>
    <mergeCell ref="A75:A76"/>
    <mergeCell ref="C75:C76"/>
    <mergeCell ref="D75:D76"/>
    <mergeCell ref="E75:E76"/>
    <mergeCell ref="A160:A161"/>
    <mergeCell ref="B160:B161"/>
    <mergeCell ref="C160:C161"/>
    <mergeCell ref="D160:D161"/>
    <mergeCell ref="E160:E161"/>
    <mergeCell ref="F160:G161"/>
    <mergeCell ref="A156:A157"/>
    <mergeCell ref="B156:B157"/>
    <mergeCell ref="C156:C157"/>
    <mergeCell ref="D156:D157"/>
    <mergeCell ref="E156:E157"/>
    <mergeCell ref="F156:G157"/>
    <mergeCell ref="A158:A159"/>
  </mergeCells>
  <pageMargins left="0.70866141732283472" right="0.70866141732283472" top="0" bottom="0" header="0.31496062992125984" footer="0.31496062992125984"/>
  <pageSetup paperSize="9" scale="7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3"/>
  <sheetViews>
    <sheetView topLeftCell="A36" workbookViewId="0">
      <selection activeCell="I155" sqref="I155:J155"/>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1"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4" x14ac:dyDescent="0.25">
      <c r="A1" s="1335" t="s">
        <v>933</v>
      </c>
      <c r="B1" s="1335"/>
      <c r="C1" s="1335"/>
      <c r="D1" s="1335"/>
      <c r="E1" s="1335"/>
      <c r="F1" s="1335"/>
      <c r="G1" s="1335"/>
      <c r="H1" s="1335"/>
      <c r="I1" s="1335"/>
      <c r="J1" s="1335"/>
      <c r="K1" s="1335"/>
      <c r="L1" s="1335"/>
    </row>
    <row r="2" spans="1:14" ht="15.75" customHeight="1" x14ac:dyDescent="0.25">
      <c r="A2" s="1131" t="s">
        <v>1395</v>
      </c>
      <c r="B2" s="1131"/>
      <c r="C2" s="1131"/>
      <c r="D2" s="1131"/>
      <c r="E2" s="1131"/>
      <c r="F2" s="1131"/>
      <c r="G2" s="1131"/>
      <c r="H2" s="1131"/>
      <c r="I2" s="1131"/>
      <c r="J2" s="1131"/>
      <c r="K2" s="1131"/>
      <c r="L2" s="1131"/>
    </row>
    <row r="4" spans="1:14" x14ac:dyDescent="0.25">
      <c r="A4" s="1308" t="s">
        <v>934</v>
      </c>
      <c r="B4" s="1308"/>
      <c r="C4" s="1308"/>
      <c r="D4" s="1308"/>
      <c r="E4" s="1308"/>
      <c r="F4" s="1308"/>
      <c r="G4" s="1308"/>
      <c r="H4" s="1308"/>
      <c r="I4" s="1308"/>
      <c r="J4" s="1308"/>
      <c r="K4" s="1308"/>
      <c r="L4" s="1308"/>
    </row>
    <row r="5" spans="1:14" x14ac:dyDescent="0.25">
      <c r="A5" s="1336" t="s">
        <v>935</v>
      </c>
      <c r="B5" s="1321" t="s">
        <v>121</v>
      </c>
      <c r="C5" s="1322"/>
      <c r="D5" s="1322"/>
      <c r="E5" s="1322"/>
      <c r="F5" s="1322"/>
      <c r="G5" s="1322"/>
      <c r="H5" s="1323"/>
      <c r="I5" s="1132" t="s">
        <v>1</v>
      </c>
      <c r="J5" s="1518" t="s">
        <v>936</v>
      </c>
      <c r="K5" s="1137"/>
      <c r="L5" s="1138"/>
    </row>
    <row r="6" spans="1:14" x14ac:dyDescent="0.25">
      <c r="A6" s="1337"/>
      <c r="B6" s="1517"/>
      <c r="C6" s="1325"/>
      <c r="D6" s="1325"/>
      <c r="E6" s="1325"/>
      <c r="F6" s="1325"/>
      <c r="G6" s="1325"/>
      <c r="H6" s="1326"/>
      <c r="I6" s="1133"/>
      <c r="J6" s="914">
        <v>2019</v>
      </c>
      <c r="K6" s="915">
        <v>2020</v>
      </c>
      <c r="L6" s="915">
        <v>2021</v>
      </c>
    </row>
    <row r="7" spans="1:14" ht="72.75" customHeight="1" x14ac:dyDescent="0.25">
      <c r="A7" s="851"/>
      <c r="B7" s="916"/>
      <c r="C7" s="916"/>
      <c r="D7" s="916"/>
      <c r="E7" s="916"/>
      <c r="F7" s="916"/>
      <c r="G7" s="916"/>
      <c r="H7" s="916"/>
      <c r="I7" s="505"/>
      <c r="J7" s="917"/>
      <c r="K7" s="872">
        <v>0</v>
      </c>
      <c r="L7" s="872">
        <v>0</v>
      </c>
    </row>
    <row r="8" spans="1:14" ht="81" customHeight="1" x14ac:dyDescent="0.25">
      <c r="A8" s="851"/>
      <c r="B8" s="916"/>
      <c r="C8" s="916"/>
      <c r="D8" s="916"/>
      <c r="E8" s="916"/>
      <c r="F8" s="916"/>
      <c r="G8" s="916"/>
      <c r="H8" s="916"/>
      <c r="I8" s="436"/>
      <c r="J8" s="917"/>
      <c r="K8" s="872">
        <v>0</v>
      </c>
      <c r="L8" s="872">
        <v>0</v>
      </c>
    </row>
    <row r="9" spans="1:14" ht="84.75" customHeight="1" x14ac:dyDescent="0.25">
      <c r="A9" s="851"/>
      <c r="B9" s="916"/>
      <c r="C9" s="916"/>
      <c r="D9" s="916"/>
      <c r="E9" s="916"/>
      <c r="F9" s="916"/>
      <c r="G9" s="916"/>
      <c r="H9" s="916"/>
      <c r="I9" s="505"/>
      <c r="J9" s="917"/>
      <c r="K9" s="872">
        <v>0</v>
      </c>
      <c r="L9" s="872">
        <v>0</v>
      </c>
    </row>
    <row r="10" spans="1:14" ht="21.75" customHeight="1" x14ac:dyDescent="0.25">
      <c r="A10" s="851"/>
      <c r="B10" s="916"/>
      <c r="C10" s="916"/>
      <c r="D10" s="916"/>
      <c r="E10" s="916"/>
      <c r="F10" s="916"/>
      <c r="G10" s="916"/>
      <c r="H10" s="916"/>
      <c r="I10" s="1057"/>
      <c r="J10" s="917"/>
      <c r="K10" s="872">
        <v>0</v>
      </c>
      <c r="L10" s="872">
        <v>0</v>
      </c>
    </row>
    <row r="11" spans="1:14" ht="22.5" hidden="1" customHeight="1" x14ac:dyDescent="0.25">
      <c r="A11" s="851"/>
      <c r="B11" s="916"/>
      <c r="C11" s="916"/>
      <c r="D11" s="916"/>
      <c r="E11" s="916"/>
      <c r="F11" s="916"/>
      <c r="G11" s="916"/>
      <c r="H11" s="916"/>
      <c r="I11" s="1058"/>
      <c r="J11" s="917"/>
      <c r="K11" s="872">
        <v>0</v>
      </c>
      <c r="L11" s="872">
        <v>0</v>
      </c>
    </row>
    <row r="12" spans="1:14" ht="22.5" hidden="1" customHeight="1" x14ac:dyDescent="0.25">
      <c r="A12" s="851"/>
      <c r="B12" s="916"/>
      <c r="C12" s="916"/>
      <c r="D12" s="916"/>
      <c r="E12" s="916"/>
      <c r="F12" s="916"/>
      <c r="G12" s="916"/>
      <c r="H12" s="916"/>
      <c r="I12" s="1059"/>
      <c r="J12" s="917"/>
      <c r="K12" s="872"/>
      <c r="L12" s="872"/>
    </row>
    <row r="13" spans="1:14" ht="77.25" hidden="1" customHeight="1" x14ac:dyDescent="0.25">
      <c r="A13" s="851"/>
      <c r="B13" s="855"/>
      <c r="C13" s="855"/>
      <c r="D13" s="855"/>
      <c r="E13" s="855"/>
      <c r="F13" s="855"/>
      <c r="G13" s="855"/>
      <c r="H13" s="855"/>
      <c r="I13" s="919"/>
      <c r="J13" s="856"/>
      <c r="K13" s="918"/>
      <c r="L13" s="918"/>
      <c r="N13" s="360"/>
    </row>
    <row r="14" spans="1:14" ht="19.5" customHeight="1" x14ac:dyDescent="0.25">
      <c r="A14" s="920"/>
      <c r="B14" s="1521" t="s">
        <v>937</v>
      </c>
      <c r="C14" s="1521"/>
      <c r="D14" s="1521"/>
      <c r="E14" s="1521"/>
      <c r="F14" s="1521"/>
      <c r="G14" s="1521"/>
      <c r="H14" s="1521"/>
      <c r="I14" s="1521"/>
      <c r="J14" s="921">
        <f>SUM(J7:J7)+J8+J9+J10+J11</f>
        <v>0</v>
      </c>
      <c r="K14" s="921">
        <f>SUM(K7:K7)</f>
        <v>0</v>
      </c>
      <c r="L14" s="921">
        <f>SUM(L7:L7)</f>
        <v>0</v>
      </c>
    </row>
    <row r="15" spans="1:14" x14ac:dyDescent="0.25">
      <c r="B15" s="361"/>
      <c r="C15" s="361"/>
      <c r="D15" s="361"/>
      <c r="E15" s="361"/>
      <c r="F15" s="361"/>
      <c r="G15" s="361"/>
    </row>
    <row r="16" spans="1:14" x14ac:dyDescent="0.25">
      <c r="B16" s="1308" t="s">
        <v>938</v>
      </c>
      <c r="C16" s="1308"/>
      <c r="D16" s="1308"/>
      <c r="E16" s="1308"/>
      <c r="F16" s="1308"/>
      <c r="G16" s="1308"/>
      <c r="H16" s="1308"/>
      <c r="I16" s="1308"/>
      <c r="J16" s="1308"/>
    </row>
    <row r="17" spans="1:14" x14ac:dyDescent="0.25">
      <c r="A17" s="1343" t="s">
        <v>935</v>
      </c>
      <c r="B17" s="1321" t="s">
        <v>121</v>
      </c>
      <c r="C17" s="1322"/>
      <c r="D17" s="1322"/>
      <c r="E17" s="1322"/>
      <c r="F17" s="1322"/>
      <c r="G17" s="1322"/>
      <c r="H17" s="1323"/>
      <c r="I17" s="1132" t="s">
        <v>1</v>
      </c>
      <c r="J17" s="1518" t="s">
        <v>936</v>
      </c>
      <c r="K17" s="1137"/>
      <c r="L17" s="1138"/>
    </row>
    <row r="18" spans="1:14" x14ac:dyDescent="0.25">
      <c r="A18" s="1344"/>
      <c r="B18" s="1517"/>
      <c r="C18" s="1325"/>
      <c r="D18" s="1325"/>
      <c r="E18" s="1325"/>
      <c r="F18" s="1325"/>
      <c r="G18" s="1325"/>
      <c r="H18" s="1326"/>
      <c r="I18" s="1133"/>
      <c r="J18" s="914">
        <v>2019</v>
      </c>
      <c r="K18" s="915">
        <v>2020</v>
      </c>
      <c r="L18" s="915">
        <v>2021</v>
      </c>
    </row>
    <row r="19" spans="1:14" x14ac:dyDescent="0.25">
      <c r="A19" s="887"/>
      <c r="B19" s="1519"/>
      <c r="C19" s="1519"/>
      <c r="D19" s="1519"/>
      <c r="E19" s="1519"/>
      <c r="F19" s="1519"/>
      <c r="G19" s="1519"/>
      <c r="H19" s="1519"/>
      <c r="I19" s="922"/>
      <c r="J19" s="872">
        <v>0</v>
      </c>
      <c r="K19" s="918">
        <v>0</v>
      </c>
      <c r="L19" s="852">
        <v>0</v>
      </c>
      <c r="N19" s="360"/>
    </row>
    <row r="20" spans="1:14" ht="0.75" customHeight="1" x14ac:dyDescent="0.25">
      <c r="A20" s="851"/>
      <c r="B20" s="1406"/>
      <c r="C20" s="1340"/>
      <c r="D20" s="1340"/>
      <c r="E20" s="1340"/>
      <c r="F20" s="1340"/>
      <c r="G20" s="1340"/>
      <c r="H20" s="1341"/>
      <c r="I20" s="922"/>
      <c r="J20" s="823"/>
      <c r="K20" s="852"/>
      <c r="L20" s="852">
        <v>0</v>
      </c>
    </row>
    <row r="21" spans="1:14" ht="2.25" hidden="1" customHeight="1" x14ac:dyDescent="0.25">
      <c r="A21" s="923"/>
      <c r="B21" s="1520"/>
      <c r="C21" s="1346"/>
      <c r="D21" s="1346"/>
      <c r="E21" s="1346"/>
      <c r="F21" s="1346"/>
      <c r="G21" s="1346"/>
      <c r="H21" s="1347"/>
      <c r="I21" s="924"/>
      <c r="J21" s="872"/>
      <c r="K21" s="852"/>
      <c r="L21" s="852"/>
    </row>
    <row r="22" spans="1:14" ht="15.75" hidden="1" customHeight="1" x14ac:dyDescent="0.25">
      <c r="A22" s="923"/>
      <c r="B22" s="1520"/>
      <c r="C22" s="1346"/>
      <c r="D22" s="1346"/>
      <c r="E22" s="1346"/>
      <c r="F22" s="1346"/>
      <c r="G22" s="1346"/>
      <c r="H22" s="1347"/>
      <c r="I22" s="924"/>
      <c r="J22" s="872"/>
      <c r="K22" s="920"/>
      <c r="L22" s="920"/>
    </row>
    <row r="23" spans="1:14" ht="15.75" hidden="1" customHeight="1" x14ac:dyDescent="0.25">
      <c r="A23" s="920"/>
      <c r="B23" s="1520"/>
      <c r="C23" s="1346"/>
      <c r="D23" s="1346"/>
      <c r="E23" s="1346"/>
      <c r="F23" s="1346"/>
      <c r="G23" s="1346"/>
      <c r="H23" s="1346"/>
      <c r="I23" s="925"/>
      <c r="J23" s="872"/>
      <c r="K23" s="920"/>
      <c r="L23" s="920"/>
    </row>
    <row r="24" spans="1:14" x14ac:dyDescent="0.25">
      <c r="A24" s="920"/>
      <c r="B24" s="1512" t="s">
        <v>939</v>
      </c>
      <c r="C24" s="1298"/>
      <c r="D24" s="1298"/>
      <c r="E24" s="1298"/>
      <c r="F24" s="1298"/>
      <c r="G24" s="1298"/>
      <c r="H24" s="1298"/>
      <c r="I24" s="1299"/>
      <c r="J24" s="921">
        <f>SUM(J19:J23)</f>
        <v>0</v>
      </c>
      <c r="K24" s="921">
        <f>SUM(K19:K23)</f>
        <v>0</v>
      </c>
      <c r="L24" s="921">
        <f>SUM(L19:L23)</f>
        <v>0</v>
      </c>
    </row>
    <row r="25" spans="1:14" ht="15" customHeight="1" x14ac:dyDescent="0.25">
      <c r="B25" s="361"/>
      <c r="C25" s="361"/>
      <c r="D25" s="361"/>
      <c r="E25" s="361"/>
      <c r="F25" s="361"/>
      <c r="G25" s="361"/>
    </row>
    <row r="26" spans="1:14" hidden="1" x14ac:dyDescent="0.25">
      <c r="B26" s="361"/>
      <c r="C26" s="361"/>
      <c r="D26" s="361"/>
      <c r="E26" s="361"/>
      <c r="F26" s="361"/>
      <c r="G26" s="361"/>
    </row>
    <row r="27" spans="1:14" x14ac:dyDescent="0.25">
      <c r="B27" s="1308" t="s">
        <v>940</v>
      </c>
      <c r="C27" s="1308"/>
      <c r="D27" s="1308"/>
      <c r="E27" s="1308"/>
      <c r="F27" s="1308"/>
      <c r="G27" s="1308"/>
      <c r="H27" s="1308"/>
      <c r="I27" s="1308"/>
      <c r="J27" s="1308"/>
    </row>
    <row r="28" spans="1:14" x14ac:dyDescent="0.25">
      <c r="A28" s="1336" t="s">
        <v>935</v>
      </c>
      <c r="B28" s="1523" t="s">
        <v>941</v>
      </c>
      <c r="C28" s="1523" t="s">
        <v>134</v>
      </c>
      <c r="D28" s="1523" t="s">
        <v>264</v>
      </c>
      <c r="E28" s="1321" t="s">
        <v>197</v>
      </c>
      <c r="F28" s="1322"/>
      <c r="G28" s="1323"/>
      <c r="H28" s="1523" t="s">
        <v>225</v>
      </c>
      <c r="I28" s="1524" t="s">
        <v>1</v>
      </c>
      <c r="J28" s="1518" t="s">
        <v>936</v>
      </c>
      <c r="K28" s="1137"/>
      <c r="L28" s="1138"/>
    </row>
    <row r="29" spans="1:14" x14ac:dyDescent="0.25">
      <c r="A29" s="1337"/>
      <c r="B29" s="1523"/>
      <c r="C29" s="1523"/>
      <c r="D29" s="1523"/>
      <c r="E29" s="1517"/>
      <c r="F29" s="1325"/>
      <c r="G29" s="1326"/>
      <c r="H29" s="1523"/>
      <c r="I29" s="1524"/>
      <c r="J29" s="914">
        <v>2019</v>
      </c>
      <c r="K29" s="915">
        <v>2020</v>
      </c>
      <c r="L29" s="915">
        <v>2021</v>
      </c>
    </row>
    <row r="30" spans="1:14" ht="16.5" customHeight="1" x14ac:dyDescent="0.25">
      <c r="A30" s="920"/>
      <c r="B30" s="1307" t="s">
        <v>942</v>
      </c>
      <c r="C30" s="1307"/>
      <c r="D30" s="1307"/>
      <c r="E30" s="1307"/>
      <c r="F30" s="1307"/>
      <c r="G30" s="1307"/>
      <c r="H30" s="1307"/>
      <c r="I30" s="1307"/>
      <c r="J30" s="369">
        <f>J31+J32+J33+J34+J35+J36</f>
        <v>0</v>
      </c>
      <c r="K30" s="369">
        <f t="shared" ref="K30:L30" si="0">K31</f>
        <v>0</v>
      </c>
      <c r="L30" s="369">
        <f t="shared" si="0"/>
        <v>0</v>
      </c>
    </row>
    <row r="31" spans="1:14" s="1" customFormat="1" ht="54" customHeight="1" x14ac:dyDescent="0.25">
      <c r="A31" s="1505">
        <v>1</v>
      </c>
      <c r="B31" s="1368" t="s">
        <v>15</v>
      </c>
      <c r="C31" s="1368" t="s">
        <v>122</v>
      </c>
      <c r="D31" s="1368" t="s">
        <v>130</v>
      </c>
      <c r="E31" s="1368" t="s">
        <v>1548</v>
      </c>
      <c r="F31" s="1327" t="s">
        <v>1576</v>
      </c>
      <c r="G31" s="1294"/>
      <c r="H31" s="535" t="s">
        <v>38</v>
      </c>
      <c r="I31" s="1525" t="s">
        <v>1685</v>
      </c>
      <c r="J31" s="823">
        <v>107948.21</v>
      </c>
      <c r="K31" s="918">
        <v>0</v>
      </c>
      <c r="L31" s="918">
        <v>0</v>
      </c>
    </row>
    <row r="32" spans="1:14" s="1" customFormat="1" ht="43.5" customHeight="1" x14ac:dyDescent="0.25">
      <c r="A32" s="1506"/>
      <c r="B32" s="1369"/>
      <c r="C32" s="1369"/>
      <c r="D32" s="1369"/>
      <c r="E32" s="1369"/>
      <c r="F32" s="1330"/>
      <c r="G32" s="1296"/>
      <c r="H32" s="822" t="s">
        <v>275</v>
      </c>
      <c r="I32" s="1417"/>
      <c r="J32" s="823">
        <v>-107948.21</v>
      </c>
      <c r="K32" s="918">
        <v>0</v>
      </c>
      <c r="L32" s="918">
        <v>0</v>
      </c>
    </row>
    <row r="33" spans="1:12" s="1" customFormat="1" ht="88.5" customHeight="1" x14ac:dyDescent="0.25">
      <c r="A33" s="1128">
        <v>2</v>
      </c>
      <c r="B33" s="1129" t="s">
        <v>15</v>
      </c>
      <c r="C33" s="1129" t="s">
        <v>122</v>
      </c>
      <c r="D33" s="1129" t="s">
        <v>130</v>
      </c>
      <c r="E33" s="1129" t="s">
        <v>1548</v>
      </c>
      <c r="F33" s="1284" t="s">
        <v>1613</v>
      </c>
      <c r="G33" s="1285"/>
      <c r="H33" s="822" t="s">
        <v>38</v>
      </c>
      <c r="I33" s="819" t="s">
        <v>1489</v>
      </c>
      <c r="J33" s="823">
        <f>22113.32+6678.21</f>
        <v>28791.53</v>
      </c>
      <c r="K33" s="918">
        <v>0</v>
      </c>
      <c r="L33" s="918">
        <v>0</v>
      </c>
    </row>
    <row r="34" spans="1:12" s="1" customFormat="1" ht="82.5" customHeight="1" x14ac:dyDescent="0.25">
      <c r="A34" s="1128">
        <v>3</v>
      </c>
      <c r="B34" s="1129" t="s">
        <v>15</v>
      </c>
      <c r="C34" s="1129" t="s">
        <v>122</v>
      </c>
      <c r="D34" s="1129" t="s">
        <v>130</v>
      </c>
      <c r="E34" s="1129" t="s">
        <v>1548</v>
      </c>
      <c r="F34" s="1284" t="s">
        <v>1628</v>
      </c>
      <c r="G34" s="1285"/>
      <c r="H34" s="822" t="s">
        <v>38</v>
      </c>
      <c r="I34" s="377" t="s">
        <v>1388</v>
      </c>
      <c r="J34" s="823">
        <v>-28791.53</v>
      </c>
      <c r="K34" s="918">
        <v>0</v>
      </c>
      <c r="L34" s="918">
        <v>0</v>
      </c>
    </row>
    <row r="35" spans="1:12" s="1" customFormat="1" ht="92.25" customHeight="1" x14ac:dyDescent="0.25">
      <c r="A35" s="1128">
        <v>4</v>
      </c>
      <c r="B35" s="1129" t="s">
        <v>15</v>
      </c>
      <c r="C35" s="1129" t="s">
        <v>122</v>
      </c>
      <c r="D35" s="1129" t="s">
        <v>136</v>
      </c>
      <c r="E35" s="1129" t="s">
        <v>1548</v>
      </c>
      <c r="F35" s="1284" t="s">
        <v>1686</v>
      </c>
      <c r="G35" s="1285"/>
      <c r="H35" s="822" t="s">
        <v>38</v>
      </c>
      <c r="I35" s="224" t="s">
        <v>1219</v>
      </c>
      <c r="J35" s="823">
        <v>-42986.26</v>
      </c>
      <c r="K35" s="918">
        <v>0</v>
      </c>
      <c r="L35" s="918">
        <v>0</v>
      </c>
    </row>
    <row r="36" spans="1:12" s="1" customFormat="1" ht="64.5" customHeight="1" x14ac:dyDescent="0.25">
      <c r="A36" s="1128">
        <v>5</v>
      </c>
      <c r="B36" s="1129" t="s">
        <v>15</v>
      </c>
      <c r="C36" s="1129" t="s">
        <v>122</v>
      </c>
      <c r="D36" s="1129" t="s">
        <v>132</v>
      </c>
      <c r="E36" s="1129" t="s">
        <v>1556</v>
      </c>
      <c r="F36" s="1284" t="s">
        <v>1632</v>
      </c>
      <c r="G36" s="1285"/>
      <c r="H36" s="822" t="s">
        <v>38</v>
      </c>
      <c r="I36" s="224" t="s">
        <v>237</v>
      </c>
      <c r="J36" s="823">
        <v>42986.26</v>
      </c>
      <c r="K36" s="918">
        <v>0</v>
      </c>
      <c r="L36" s="918">
        <v>0</v>
      </c>
    </row>
    <row r="37" spans="1:12" s="1" customFormat="1" ht="18" customHeight="1" x14ac:dyDescent="0.25">
      <c r="A37" s="926"/>
      <c r="B37" s="1504" t="s">
        <v>943</v>
      </c>
      <c r="C37" s="1392"/>
      <c r="D37" s="1392"/>
      <c r="E37" s="1392"/>
      <c r="F37" s="1392"/>
      <c r="G37" s="1392"/>
      <c r="H37" s="1392"/>
      <c r="I37" s="1393"/>
      <c r="J37" s="921">
        <f>J38+J39</f>
        <v>0</v>
      </c>
      <c r="K37" s="921">
        <f>K38+K39</f>
        <v>0</v>
      </c>
      <c r="L37" s="921">
        <f>L38+L39</f>
        <v>0</v>
      </c>
    </row>
    <row r="38" spans="1:12" s="1" customFormat="1" ht="111" hidden="1" customHeight="1" x14ac:dyDescent="0.3">
      <c r="A38" s="887"/>
      <c r="B38" s="927"/>
      <c r="C38" s="927"/>
      <c r="D38" s="927"/>
      <c r="E38" s="927"/>
      <c r="F38" s="1522"/>
      <c r="G38" s="1313"/>
      <c r="H38" s="927"/>
      <c r="I38" s="224"/>
      <c r="J38" s="823"/>
      <c r="K38" s="918">
        <v>0</v>
      </c>
      <c r="L38" s="918">
        <v>0</v>
      </c>
    </row>
    <row r="39" spans="1:12" s="1" customFormat="1" ht="111" hidden="1" customHeight="1" x14ac:dyDescent="0.3">
      <c r="A39" s="926"/>
      <c r="B39" s="927"/>
      <c r="C39" s="927"/>
      <c r="D39" s="927"/>
      <c r="E39" s="927"/>
      <c r="F39" s="1522"/>
      <c r="G39" s="1313"/>
      <c r="H39" s="927"/>
      <c r="I39" s="153"/>
      <c r="J39" s="823"/>
      <c r="K39" s="841">
        <v>0</v>
      </c>
      <c r="L39" s="841">
        <v>0</v>
      </c>
    </row>
    <row r="40" spans="1:12" s="1" customFormat="1" ht="16.5" customHeight="1" x14ac:dyDescent="0.25">
      <c r="A40" s="378"/>
      <c r="B40" s="1446" t="s">
        <v>944</v>
      </c>
      <c r="C40" s="1447"/>
      <c r="D40" s="1447"/>
      <c r="E40" s="1447"/>
      <c r="F40" s="1447"/>
      <c r="G40" s="1447"/>
      <c r="H40" s="1447"/>
      <c r="I40" s="1448"/>
      <c r="J40" s="369">
        <f>SUM(J41)</f>
        <v>0</v>
      </c>
      <c r="K40" s="369">
        <f t="shared" ref="K40:L40" si="1">SUM(K41)</f>
        <v>0</v>
      </c>
      <c r="L40" s="369">
        <f t="shared" si="1"/>
        <v>0</v>
      </c>
    </row>
    <row r="41" spans="1:12" s="1" customFormat="1" ht="19.5" customHeight="1" x14ac:dyDescent="0.25">
      <c r="A41" s="926"/>
      <c r="B41" s="956"/>
      <c r="C41" s="940"/>
      <c r="D41" s="940"/>
      <c r="E41" s="940"/>
      <c r="F41" s="940"/>
      <c r="G41" s="940"/>
      <c r="H41" s="940"/>
      <c r="I41" s="940"/>
      <c r="J41" s="921"/>
      <c r="K41" s="921"/>
      <c r="L41" s="921"/>
    </row>
    <row r="42" spans="1:12" s="1" customFormat="1" ht="19.5" customHeight="1" x14ac:dyDescent="0.25">
      <c r="A42" s="1056"/>
      <c r="B42" s="1451" t="s">
        <v>945</v>
      </c>
      <c r="C42" s="1452"/>
      <c r="D42" s="1452"/>
      <c r="E42" s="1452"/>
      <c r="F42" s="1452"/>
      <c r="G42" s="1452"/>
      <c r="H42" s="1452"/>
      <c r="I42" s="1453"/>
      <c r="J42" s="1060">
        <f>J45+J43+J44+J46</f>
        <v>0</v>
      </c>
      <c r="K42" s="1060">
        <v>0</v>
      </c>
      <c r="L42" s="1060">
        <v>0</v>
      </c>
    </row>
    <row r="43" spans="1:12" s="1" customFormat="1" ht="45" customHeight="1" x14ac:dyDescent="0.25">
      <c r="A43" s="1399">
        <v>1</v>
      </c>
      <c r="B43" s="1526" t="s">
        <v>15</v>
      </c>
      <c r="C43" s="1526" t="s">
        <v>124</v>
      </c>
      <c r="D43" s="1526" t="s">
        <v>132</v>
      </c>
      <c r="E43" s="1526" t="s">
        <v>1567</v>
      </c>
      <c r="F43" s="1381" t="s">
        <v>1642</v>
      </c>
      <c r="G43" s="1289"/>
      <c r="H43" s="933" t="s">
        <v>427</v>
      </c>
      <c r="I43" s="1528" t="s">
        <v>1398</v>
      </c>
      <c r="J43" s="1062">
        <v>-150001</v>
      </c>
      <c r="K43" s="1060">
        <v>0</v>
      </c>
      <c r="L43" s="1060">
        <v>0</v>
      </c>
    </row>
    <row r="44" spans="1:12" s="1" customFormat="1" ht="38.25" customHeight="1" x14ac:dyDescent="0.25">
      <c r="A44" s="1400"/>
      <c r="B44" s="1527"/>
      <c r="C44" s="1527"/>
      <c r="D44" s="1527"/>
      <c r="E44" s="1527"/>
      <c r="F44" s="1435"/>
      <c r="G44" s="1436"/>
      <c r="H44" s="933" t="s">
        <v>275</v>
      </c>
      <c r="I44" s="1529"/>
      <c r="J44" s="1062">
        <v>150001</v>
      </c>
      <c r="K44" s="1060">
        <v>0</v>
      </c>
      <c r="L44" s="1060">
        <v>0</v>
      </c>
    </row>
    <row r="45" spans="1:12" s="1" customFormat="1" ht="40.5" customHeight="1" x14ac:dyDescent="0.25">
      <c r="A45" s="1399">
        <v>2</v>
      </c>
      <c r="B45" s="1526" t="s">
        <v>15</v>
      </c>
      <c r="C45" s="1526" t="s">
        <v>124</v>
      </c>
      <c r="D45" s="1526" t="s">
        <v>122</v>
      </c>
      <c r="E45" s="1526" t="s">
        <v>1042</v>
      </c>
      <c r="F45" s="1381" t="s">
        <v>1043</v>
      </c>
      <c r="G45" s="1289"/>
      <c r="H45" s="933" t="s">
        <v>427</v>
      </c>
      <c r="I45" s="1353" t="s">
        <v>1284</v>
      </c>
      <c r="J45" s="1062">
        <v>-8500</v>
      </c>
      <c r="K45" s="1061">
        <v>0</v>
      </c>
      <c r="L45" s="1061">
        <v>0</v>
      </c>
    </row>
    <row r="46" spans="1:12" s="1" customFormat="1" ht="56.25" customHeight="1" x14ac:dyDescent="0.25">
      <c r="A46" s="1400"/>
      <c r="B46" s="1527"/>
      <c r="C46" s="1527"/>
      <c r="D46" s="1527"/>
      <c r="E46" s="1527"/>
      <c r="F46" s="1435"/>
      <c r="G46" s="1436"/>
      <c r="H46" s="933" t="s">
        <v>275</v>
      </c>
      <c r="I46" s="1355"/>
      <c r="J46" s="1062">
        <v>8500</v>
      </c>
      <c r="K46" s="1061">
        <v>0</v>
      </c>
      <c r="L46" s="1061">
        <v>0</v>
      </c>
    </row>
    <row r="47" spans="1:12" s="1" customFormat="1" ht="33" customHeight="1" x14ac:dyDescent="0.25">
      <c r="A47" s="1399">
        <v>3</v>
      </c>
      <c r="B47" s="1130" t="s">
        <v>16</v>
      </c>
      <c r="C47" s="1426" t="s">
        <v>124</v>
      </c>
      <c r="D47" s="1426" t="s">
        <v>123</v>
      </c>
      <c r="E47" s="1426" t="s">
        <v>1063</v>
      </c>
      <c r="F47" s="1420" t="s">
        <v>1064</v>
      </c>
      <c r="G47" s="1283"/>
      <c r="H47" s="933" t="s">
        <v>427</v>
      </c>
      <c r="I47" s="1353" t="s">
        <v>1688</v>
      </c>
      <c r="J47" s="1062">
        <v>-34586.910000000003</v>
      </c>
      <c r="K47" s="1061">
        <v>0</v>
      </c>
      <c r="L47" s="1061">
        <v>0</v>
      </c>
    </row>
    <row r="48" spans="1:12" s="1" customFormat="1" ht="20.25" customHeight="1" x14ac:dyDescent="0.25">
      <c r="A48" s="1400"/>
      <c r="B48" s="1130" t="s">
        <v>15</v>
      </c>
      <c r="C48" s="1359"/>
      <c r="D48" s="1359"/>
      <c r="E48" s="1359"/>
      <c r="F48" s="1362"/>
      <c r="G48" s="1363"/>
      <c r="H48" s="933" t="s">
        <v>275</v>
      </c>
      <c r="I48" s="1355"/>
      <c r="J48" s="1062">
        <v>34586.910000000003</v>
      </c>
      <c r="K48" s="1061">
        <v>0</v>
      </c>
      <c r="L48" s="1061">
        <v>0</v>
      </c>
    </row>
    <row r="49" spans="1:12" ht="18" customHeight="1" x14ac:dyDescent="0.25">
      <c r="A49" s="732"/>
      <c r="B49" s="1307" t="s">
        <v>947</v>
      </c>
      <c r="C49" s="1307"/>
      <c r="D49" s="1307"/>
      <c r="E49" s="1307"/>
      <c r="F49" s="1307"/>
      <c r="G49" s="1307"/>
      <c r="H49" s="1307"/>
      <c r="I49" s="1307"/>
      <c r="J49" s="369">
        <f>SUM(J50:J89)+J90+J91+J92+J93+J94+J95</f>
        <v>0</v>
      </c>
      <c r="K49" s="369">
        <f>SUM(K51:K89)</f>
        <v>0</v>
      </c>
      <c r="L49" s="369">
        <f>SUM(L51:L89)</f>
        <v>0</v>
      </c>
    </row>
    <row r="50" spans="1:12" ht="45.75" hidden="1" customHeight="1" x14ac:dyDescent="0.25">
      <c r="A50" s="830"/>
      <c r="B50" s="824"/>
      <c r="C50" s="824"/>
      <c r="D50" s="824"/>
      <c r="E50" s="824"/>
      <c r="F50" s="1284"/>
      <c r="G50" s="1285"/>
      <c r="H50" s="818"/>
      <c r="I50" s="224"/>
      <c r="J50" s="403"/>
      <c r="K50" s="400">
        <v>0</v>
      </c>
      <c r="L50" s="400">
        <v>0</v>
      </c>
    </row>
    <row r="51" spans="1:12" ht="22.5" hidden="1" customHeight="1" x14ac:dyDescent="0.25">
      <c r="A51" s="820"/>
      <c r="B51" s="824"/>
      <c r="C51" s="824"/>
      <c r="D51" s="824"/>
      <c r="E51" s="824"/>
      <c r="F51" s="1284"/>
      <c r="G51" s="1285"/>
      <c r="H51" s="931"/>
      <c r="I51" s="828"/>
      <c r="J51" s="403"/>
      <c r="K51" s="852">
        <v>0</v>
      </c>
      <c r="L51" s="852">
        <v>0</v>
      </c>
    </row>
    <row r="52" spans="1:12" hidden="1" x14ac:dyDescent="0.25">
      <c r="A52" s="820"/>
      <c r="B52" s="824"/>
      <c r="C52" s="824"/>
      <c r="D52" s="824"/>
      <c r="E52" s="824"/>
      <c r="F52" s="1284"/>
      <c r="G52" s="1285"/>
      <c r="H52" s="818"/>
      <c r="I52" s="828"/>
      <c r="J52" s="403"/>
      <c r="K52" s="852">
        <v>0</v>
      </c>
      <c r="L52" s="852">
        <v>0</v>
      </c>
    </row>
    <row r="53" spans="1:12" ht="15" hidden="1" customHeight="1" x14ac:dyDescent="0.25">
      <c r="A53" s="697"/>
      <c r="B53" s="824"/>
      <c r="C53" s="824"/>
      <c r="D53" s="824"/>
      <c r="E53" s="824"/>
      <c r="F53" s="1284"/>
      <c r="G53" s="1285"/>
      <c r="H53" s="818"/>
      <c r="I53" s="828"/>
      <c r="J53" s="403"/>
      <c r="K53" s="872">
        <v>0</v>
      </c>
      <c r="L53" s="872">
        <v>0</v>
      </c>
    </row>
    <row r="54" spans="1:12" hidden="1" x14ac:dyDescent="0.25">
      <c r="A54" s="697"/>
      <c r="B54" s="824"/>
      <c r="C54" s="824"/>
      <c r="D54" s="824"/>
      <c r="E54" s="824"/>
      <c r="F54" s="1284"/>
      <c r="G54" s="1285"/>
      <c r="H54" s="818"/>
      <c r="I54" s="828"/>
      <c r="J54" s="403"/>
      <c r="K54" s="872">
        <v>0</v>
      </c>
      <c r="L54" s="872">
        <v>0</v>
      </c>
    </row>
    <row r="55" spans="1:12" hidden="1" x14ac:dyDescent="0.25">
      <c r="A55" s="697"/>
      <c r="B55" s="824"/>
      <c r="C55" s="824"/>
      <c r="D55" s="824"/>
      <c r="E55" s="824"/>
      <c r="F55" s="1284"/>
      <c r="G55" s="1285"/>
      <c r="H55" s="818"/>
      <c r="I55" s="828"/>
      <c r="J55" s="403"/>
      <c r="K55" s="872">
        <v>0</v>
      </c>
      <c r="L55" s="872">
        <v>0</v>
      </c>
    </row>
    <row r="56" spans="1:12" ht="15" hidden="1" customHeight="1" x14ac:dyDescent="0.25">
      <c r="A56" s="697"/>
      <c r="B56" s="824"/>
      <c r="C56" s="824"/>
      <c r="D56" s="824"/>
      <c r="E56" s="824"/>
      <c r="F56" s="1284"/>
      <c r="G56" s="1285"/>
      <c r="H56" s="818"/>
      <c r="I56" s="828"/>
      <c r="J56" s="403"/>
      <c r="K56" s="872">
        <v>0</v>
      </c>
      <c r="L56" s="872">
        <v>0</v>
      </c>
    </row>
    <row r="57" spans="1:12" ht="3.75" hidden="1" customHeight="1" x14ac:dyDescent="0.25">
      <c r="A57" s="697"/>
      <c r="B57" s="824"/>
      <c r="C57" s="824"/>
      <c r="D57" s="824"/>
      <c r="E57" s="824"/>
      <c r="F57" s="1284"/>
      <c r="G57" s="1285"/>
      <c r="H57" s="818"/>
      <c r="I57" s="828"/>
      <c r="J57" s="403"/>
      <c r="K57" s="852">
        <v>0</v>
      </c>
      <c r="L57" s="852">
        <v>0</v>
      </c>
    </row>
    <row r="58" spans="1:12" ht="15.75" hidden="1" customHeight="1" x14ac:dyDescent="0.25">
      <c r="A58" s="697"/>
      <c r="B58" s="824"/>
      <c r="C58" s="824"/>
      <c r="D58" s="824"/>
      <c r="E58" s="824"/>
      <c r="F58" s="1284"/>
      <c r="G58" s="1285"/>
      <c r="H58" s="818"/>
      <c r="I58" s="828"/>
      <c r="J58" s="403"/>
      <c r="K58" s="852">
        <v>0</v>
      </c>
      <c r="L58" s="852">
        <v>0</v>
      </c>
    </row>
    <row r="59" spans="1:12" ht="15.75" hidden="1" customHeight="1" x14ac:dyDescent="0.25">
      <c r="A59" s="697"/>
      <c r="B59" s="824"/>
      <c r="C59" s="824"/>
      <c r="D59" s="824"/>
      <c r="E59" s="824"/>
      <c r="F59" s="1284"/>
      <c r="G59" s="1285"/>
      <c r="H59" s="818"/>
      <c r="I59" s="828"/>
      <c r="J59" s="403"/>
      <c r="K59" s="852">
        <v>0</v>
      </c>
      <c r="L59" s="852">
        <v>0</v>
      </c>
    </row>
    <row r="60" spans="1:12" ht="15.75" hidden="1" customHeight="1" x14ac:dyDescent="0.25">
      <c r="A60" s="697"/>
      <c r="B60" s="824"/>
      <c r="C60" s="824"/>
      <c r="D60" s="824"/>
      <c r="E60" s="824"/>
      <c r="F60" s="824"/>
      <c r="G60" s="824"/>
      <c r="H60" s="818"/>
      <c r="I60" s="828"/>
      <c r="J60" s="403"/>
      <c r="K60" s="928"/>
      <c r="L60" s="928"/>
    </row>
    <row r="61" spans="1:12" ht="15.75" hidden="1" customHeight="1" x14ac:dyDescent="0.25">
      <c r="A61" s="697"/>
      <c r="B61" s="824"/>
      <c r="C61" s="824"/>
      <c r="D61" s="824"/>
      <c r="E61" s="824"/>
      <c r="F61" s="824"/>
      <c r="G61" s="824"/>
      <c r="H61" s="818"/>
      <c r="I61" s="828"/>
      <c r="J61" s="403"/>
      <c r="K61" s="852"/>
      <c r="L61" s="852"/>
    </row>
    <row r="62" spans="1:12" ht="15.75" hidden="1" customHeight="1" x14ac:dyDescent="0.25">
      <c r="A62" s="697"/>
      <c r="B62" s="824"/>
      <c r="C62" s="824"/>
      <c r="D62" s="824"/>
      <c r="E62" s="824"/>
      <c r="F62" s="824"/>
      <c r="G62" s="824"/>
      <c r="H62" s="818"/>
      <c r="I62" s="828"/>
      <c r="J62" s="403"/>
      <c r="K62" s="928"/>
      <c r="L62" s="928"/>
    </row>
    <row r="63" spans="1:12" ht="11.25" hidden="1" customHeight="1" x14ac:dyDescent="0.25">
      <c r="A63" s="697"/>
      <c r="B63" s="824"/>
      <c r="C63" s="824"/>
      <c r="D63" s="824"/>
      <c r="E63" s="824"/>
      <c r="F63" s="824"/>
      <c r="G63" s="824"/>
      <c r="H63" s="818"/>
      <c r="I63" s="828"/>
      <c r="J63" s="403"/>
      <c r="K63" s="928"/>
      <c r="L63" s="928"/>
    </row>
    <row r="64" spans="1:12" ht="15.75" hidden="1" customHeight="1" x14ac:dyDescent="0.25">
      <c r="A64" s="697"/>
      <c r="B64" s="824"/>
      <c r="C64" s="824"/>
      <c r="D64" s="824"/>
      <c r="E64" s="824"/>
      <c r="F64" s="824"/>
      <c r="G64" s="824"/>
      <c r="H64" s="931"/>
      <c r="I64" s="828"/>
      <c r="J64" s="403"/>
      <c r="K64" s="852"/>
      <c r="L64" s="852"/>
    </row>
    <row r="65" spans="1:12" ht="15.75" hidden="1" customHeight="1" x14ac:dyDescent="0.25">
      <c r="A65" s="697"/>
      <c r="B65" s="824"/>
      <c r="C65" s="824"/>
      <c r="D65" s="824"/>
      <c r="E65" s="824"/>
      <c r="F65" s="824"/>
      <c r="G65" s="824"/>
      <c r="H65" s="818"/>
      <c r="I65" s="828"/>
      <c r="J65" s="403"/>
      <c r="K65" s="852"/>
      <c r="L65" s="852"/>
    </row>
    <row r="66" spans="1:12" hidden="1" x14ac:dyDescent="0.25">
      <c r="A66" s="697"/>
      <c r="B66" s="824"/>
      <c r="C66" s="824"/>
      <c r="D66" s="824"/>
      <c r="E66" s="824"/>
      <c r="F66" s="824"/>
      <c r="G66" s="824"/>
      <c r="H66" s="931"/>
      <c r="I66" s="828"/>
      <c r="J66" s="403"/>
      <c r="K66" s="852"/>
      <c r="L66" s="852"/>
    </row>
    <row r="67" spans="1:12" hidden="1" x14ac:dyDescent="0.25">
      <c r="A67" s="697"/>
      <c r="B67" s="824"/>
      <c r="C67" s="824"/>
      <c r="D67" s="824"/>
      <c r="E67" s="824"/>
      <c r="F67" s="824"/>
      <c r="G67" s="824"/>
      <c r="H67" s="818"/>
      <c r="I67" s="828"/>
      <c r="J67" s="403"/>
      <c r="K67" s="852"/>
      <c r="L67" s="852"/>
    </row>
    <row r="68" spans="1:12" hidden="1" x14ac:dyDescent="0.25">
      <c r="A68" s="697"/>
      <c r="B68" s="824"/>
      <c r="C68" s="824"/>
      <c r="D68" s="824"/>
      <c r="E68" s="824"/>
      <c r="F68" s="824"/>
      <c r="G68" s="824"/>
      <c r="H68" s="818"/>
      <c r="I68" s="828"/>
      <c r="J68" s="403"/>
      <c r="K68" s="852"/>
      <c r="L68" s="852"/>
    </row>
    <row r="69" spans="1:12" hidden="1" x14ac:dyDescent="0.25">
      <c r="A69" s="697"/>
      <c r="B69" s="824"/>
      <c r="C69" s="824"/>
      <c r="D69" s="824"/>
      <c r="E69" s="824"/>
      <c r="F69" s="824"/>
      <c r="G69" s="824"/>
      <c r="H69" s="818"/>
      <c r="I69" s="828"/>
      <c r="J69" s="403"/>
      <c r="K69" s="852"/>
      <c r="L69" s="852"/>
    </row>
    <row r="70" spans="1:12" hidden="1" x14ac:dyDescent="0.25">
      <c r="A70" s="697"/>
      <c r="B70" s="824"/>
      <c r="C70" s="824"/>
      <c r="D70" s="824"/>
      <c r="E70" s="824"/>
      <c r="F70" s="824"/>
      <c r="G70" s="824"/>
      <c r="H70" s="818"/>
      <c r="I70" s="828"/>
      <c r="J70" s="403"/>
      <c r="K70" s="852"/>
      <c r="L70" s="852"/>
    </row>
    <row r="71" spans="1:12" hidden="1" x14ac:dyDescent="0.25">
      <c r="A71" s="697"/>
      <c r="B71" s="824"/>
      <c r="C71" s="824"/>
      <c r="D71" s="824"/>
      <c r="E71" s="824"/>
      <c r="F71" s="1284"/>
      <c r="G71" s="1285"/>
      <c r="H71" s="818"/>
      <c r="I71" s="828"/>
      <c r="J71" s="403"/>
      <c r="K71" s="852">
        <v>0</v>
      </c>
      <c r="L71" s="852">
        <v>0</v>
      </c>
    </row>
    <row r="72" spans="1:12" hidden="1" x14ac:dyDescent="0.25">
      <c r="A72" s="697"/>
      <c r="B72" s="824"/>
      <c r="C72" s="824"/>
      <c r="D72" s="824"/>
      <c r="E72" s="824"/>
      <c r="F72" s="1284"/>
      <c r="G72" s="1285"/>
      <c r="H72" s="818"/>
      <c r="I72" s="828"/>
      <c r="J72" s="403"/>
      <c r="K72" s="852">
        <v>0</v>
      </c>
      <c r="L72" s="852">
        <v>0</v>
      </c>
    </row>
    <row r="73" spans="1:12" hidden="1" x14ac:dyDescent="0.25">
      <c r="A73" s="697"/>
      <c r="B73" s="824"/>
      <c r="C73" s="824"/>
      <c r="D73" s="824"/>
      <c r="E73" s="824"/>
      <c r="F73" s="1284"/>
      <c r="G73" s="1285"/>
      <c r="H73" s="818"/>
      <c r="I73" s="828"/>
      <c r="J73" s="403"/>
      <c r="K73" s="852">
        <v>0</v>
      </c>
      <c r="L73" s="852">
        <v>0</v>
      </c>
    </row>
    <row r="74" spans="1:12" hidden="1" x14ac:dyDescent="0.25">
      <c r="A74" s="697"/>
      <c r="B74" s="911"/>
      <c r="C74" s="829"/>
      <c r="D74" s="829"/>
      <c r="E74" s="829"/>
      <c r="F74" s="1406"/>
      <c r="G74" s="1341"/>
      <c r="H74" s="818"/>
      <c r="I74" s="828"/>
      <c r="J74" s="403"/>
      <c r="K74" s="852">
        <v>0</v>
      </c>
      <c r="L74" s="852">
        <v>0</v>
      </c>
    </row>
    <row r="75" spans="1:12" hidden="1" x14ac:dyDescent="0.25">
      <c r="A75" s="697"/>
      <c r="B75" s="824"/>
      <c r="C75" s="824"/>
      <c r="D75" s="824"/>
      <c r="E75" s="824"/>
      <c r="F75" s="1284"/>
      <c r="G75" s="1285"/>
      <c r="H75" s="818"/>
      <c r="I75" s="828"/>
      <c r="J75" s="403"/>
      <c r="K75" s="852">
        <v>0</v>
      </c>
      <c r="L75" s="852">
        <v>0</v>
      </c>
    </row>
    <row r="76" spans="1:12" hidden="1" x14ac:dyDescent="0.25">
      <c r="A76" s="697"/>
      <c r="B76" s="824"/>
      <c r="C76" s="824"/>
      <c r="D76" s="824"/>
      <c r="E76" s="824"/>
      <c r="F76" s="1284"/>
      <c r="G76" s="1285"/>
      <c r="H76" s="818"/>
      <c r="I76" s="828"/>
      <c r="J76" s="403"/>
      <c r="K76" s="852">
        <v>0</v>
      </c>
      <c r="L76" s="852">
        <v>0</v>
      </c>
    </row>
    <row r="77" spans="1:12" ht="15.75" hidden="1" customHeight="1" x14ac:dyDescent="0.25">
      <c r="A77" s="697"/>
      <c r="B77" s="824"/>
      <c r="C77" s="824"/>
      <c r="D77" s="824"/>
      <c r="E77" s="824"/>
      <c r="F77" s="1284"/>
      <c r="G77" s="1285"/>
      <c r="H77" s="818"/>
      <c r="I77" s="828"/>
      <c r="J77" s="403"/>
      <c r="K77" s="852">
        <v>0</v>
      </c>
      <c r="L77" s="852">
        <v>0</v>
      </c>
    </row>
    <row r="78" spans="1:12" ht="15.75" hidden="1" customHeight="1" x14ac:dyDescent="0.25">
      <c r="A78" s="697"/>
      <c r="B78" s="824"/>
      <c r="C78" s="824"/>
      <c r="D78" s="824"/>
      <c r="E78" s="824"/>
      <c r="F78" s="1284"/>
      <c r="G78" s="1285"/>
      <c r="H78" s="818"/>
      <c r="I78" s="828"/>
      <c r="J78" s="403"/>
      <c r="K78" s="852">
        <v>0</v>
      </c>
      <c r="L78" s="852">
        <v>0</v>
      </c>
    </row>
    <row r="79" spans="1:12" ht="15.75" hidden="1" customHeight="1" x14ac:dyDescent="0.25">
      <c r="A79" s="820"/>
      <c r="B79" s="824"/>
      <c r="C79" s="824"/>
      <c r="D79" s="824"/>
      <c r="E79" s="824"/>
      <c r="F79" s="1284"/>
      <c r="G79" s="1285"/>
      <c r="H79" s="818"/>
      <c r="I79" s="224"/>
      <c r="J79" s="706"/>
      <c r="K79" s="229"/>
      <c r="L79" s="229"/>
    </row>
    <row r="80" spans="1:12" ht="15.75" hidden="1" customHeight="1" x14ac:dyDescent="0.25">
      <c r="A80" s="820"/>
      <c r="B80" s="824"/>
      <c r="C80" s="824"/>
      <c r="D80" s="824"/>
      <c r="E80" s="824"/>
      <c r="F80" s="1284"/>
      <c r="G80" s="1285"/>
      <c r="H80" s="931"/>
      <c r="I80" s="224"/>
      <c r="J80" s="706"/>
      <c r="K80" s="229"/>
      <c r="L80" s="229"/>
    </row>
    <row r="81" spans="1:14" ht="15.75" hidden="1" customHeight="1" x14ac:dyDescent="0.25">
      <c r="A81" s="820"/>
      <c r="B81" s="824"/>
      <c r="C81" s="824"/>
      <c r="D81" s="824"/>
      <c r="E81" s="824"/>
      <c r="F81" s="1284"/>
      <c r="G81" s="1285"/>
      <c r="H81" s="818"/>
      <c r="I81" s="224"/>
      <c r="J81" s="403"/>
      <c r="K81" s="852"/>
      <c r="L81" s="852"/>
    </row>
    <row r="82" spans="1:14" ht="15.75" hidden="1" customHeight="1" x14ac:dyDescent="0.25">
      <c r="A82" s="820"/>
      <c r="B82" s="824"/>
      <c r="C82" s="824"/>
      <c r="D82" s="824"/>
      <c r="E82" s="824"/>
      <c r="F82" s="1284"/>
      <c r="G82" s="1285"/>
      <c r="H82" s="818"/>
      <c r="I82" s="449"/>
      <c r="J82" s="403"/>
      <c r="K82" s="852"/>
      <c r="L82" s="852"/>
    </row>
    <row r="83" spans="1:14" ht="15.75" hidden="1" customHeight="1" x14ac:dyDescent="0.25">
      <c r="A83" s="820"/>
      <c r="B83" s="824"/>
      <c r="C83" s="824"/>
      <c r="D83" s="824"/>
      <c r="E83" s="824"/>
      <c r="F83" s="1284"/>
      <c r="G83" s="1285"/>
      <c r="H83" s="822"/>
      <c r="I83" s="843"/>
      <c r="J83" s="403"/>
      <c r="K83" s="841"/>
      <c r="L83" s="841"/>
    </row>
    <row r="84" spans="1:14" ht="15.75" hidden="1" customHeight="1" x14ac:dyDescent="0.25">
      <c r="A84" s="820"/>
      <c r="B84" s="824"/>
      <c r="C84" s="824"/>
      <c r="D84" s="824"/>
      <c r="E84" s="824"/>
      <c r="F84" s="1284"/>
      <c r="G84" s="1285"/>
      <c r="H84" s="822"/>
      <c r="I84" s="910"/>
      <c r="J84" s="403"/>
      <c r="K84" s="841"/>
      <c r="L84" s="841"/>
    </row>
    <row r="85" spans="1:14" ht="15.75" hidden="1" customHeight="1" x14ac:dyDescent="0.25">
      <c r="A85" s="820"/>
      <c r="B85" s="824"/>
      <c r="C85" s="824"/>
      <c r="D85" s="824"/>
      <c r="E85" s="824"/>
      <c r="F85" s="1284"/>
      <c r="G85" s="1285"/>
      <c r="H85" s="822"/>
      <c r="I85" s="224"/>
      <c r="J85" s="403"/>
      <c r="K85" s="841"/>
      <c r="L85" s="841"/>
    </row>
    <row r="86" spans="1:14" ht="15.75" hidden="1" customHeight="1" x14ac:dyDescent="0.25">
      <c r="A86" s="820"/>
      <c r="B86" s="824"/>
      <c r="C86" s="824"/>
      <c r="D86" s="824"/>
      <c r="E86" s="824"/>
      <c r="F86" s="1284"/>
      <c r="G86" s="1285"/>
      <c r="H86" s="822"/>
      <c r="I86" s="224"/>
      <c r="J86" s="403"/>
      <c r="K86" s="852"/>
      <c r="L86" s="852"/>
    </row>
    <row r="87" spans="1:14" ht="15.75" hidden="1" customHeight="1" x14ac:dyDescent="0.25">
      <c r="A87" s="820"/>
      <c r="B87" s="824"/>
      <c r="C87" s="824"/>
      <c r="D87" s="824"/>
      <c r="E87" s="824"/>
      <c r="F87" s="1284"/>
      <c r="G87" s="1285"/>
      <c r="H87" s="818"/>
      <c r="I87" s="416"/>
      <c r="J87" s="406"/>
      <c r="K87" s="852"/>
      <c r="L87" s="852"/>
    </row>
    <row r="88" spans="1:14" ht="15.75" hidden="1" customHeight="1" x14ac:dyDescent="0.25">
      <c r="A88" s="820"/>
      <c r="B88" s="824"/>
      <c r="C88" s="824"/>
      <c r="D88" s="824"/>
      <c r="E88" s="824"/>
      <c r="F88" s="1284"/>
      <c r="G88" s="1285"/>
      <c r="H88" s="818"/>
      <c r="I88" s="416"/>
      <c r="J88" s="403"/>
      <c r="K88" s="841"/>
      <c r="L88" s="841"/>
    </row>
    <row r="89" spans="1:14" ht="15.75" hidden="1" customHeight="1" x14ac:dyDescent="0.25">
      <c r="A89" s="700"/>
      <c r="B89" s="393"/>
      <c r="C89" s="393"/>
      <c r="D89" s="393"/>
      <c r="E89" s="393"/>
      <c r="F89" s="1291"/>
      <c r="G89" s="1292"/>
      <c r="H89" s="701"/>
      <c r="I89" s="449"/>
      <c r="J89" s="403"/>
      <c r="K89" s="841"/>
      <c r="L89" s="841"/>
    </row>
    <row r="90" spans="1:14" ht="15.75" hidden="1" customHeight="1" x14ac:dyDescent="0.25">
      <c r="A90" s="820"/>
      <c r="B90" s="824"/>
      <c r="C90" s="824"/>
      <c r="D90" s="824"/>
      <c r="E90" s="824"/>
      <c r="F90" s="1284"/>
      <c r="G90" s="1285"/>
      <c r="H90" s="932"/>
      <c r="I90" s="224"/>
      <c r="J90" s="403"/>
      <c r="K90" s="918"/>
      <c r="L90" s="918"/>
    </row>
    <row r="91" spans="1:14" ht="15.75" hidden="1" customHeight="1" x14ac:dyDescent="0.25">
      <c r="A91" s="820"/>
      <c r="B91" s="702"/>
      <c r="C91" s="703"/>
      <c r="D91" s="703"/>
      <c r="E91" s="703"/>
      <c r="F91" s="1288"/>
      <c r="G91" s="1289"/>
      <c r="H91" s="394"/>
      <c r="I91" s="704"/>
      <c r="J91" s="823"/>
      <c r="K91" s="918"/>
      <c r="L91" s="918"/>
    </row>
    <row r="92" spans="1:14" ht="15.75" hidden="1" customHeight="1" x14ac:dyDescent="0.25">
      <c r="A92" s="820"/>
      <c r="B92" s="821"/>
      <c r="C92" s="821"/>
      <c r="D92" s="821"/>
      <c r="E92" s="821"/>
      <c r="F92" s="1406"/>
      <c r="G92" s="1341"/>
      <c r="H92" s="822"/>
      <c r="I92" s="224"/>
      <c r="J92" s="823"/>
      <c r="K92" s="918"/>
      <c r="L92" s="918"/>
    </row>
    <row r="93" spans="1:14" ht="15.75" hidden="1" customHeight="1" x14ac:dyDescent="0.25">
      <c r="A93" s="820"/>
      <c r="B93" s="703"/>
      <c r="C93" s="703"/>
      <c r="D93" s="703"/>
      <c r="E93" s="703"/>
      <c r="F93" s="1288"/>
      <c r="G93" s="1289"/>
      <c r="H93" s="394"/>
      <c r="I93" s="449"/>
      <c r="J93" s="823"/>
      <c r="K93" s="918"/>
      <c r="L93" s="918"/>
    </row>
    <row r="94" spans="1:14" ht="15.75" hidden="1" customHeight="1" x14ac:dyDescent="0.25">
      <c r="A94" s="820"/>
      <c r="B94" s="821"/>
      <c r="C94" s="821"/>
      <c r="D94" s="821"/>
      <c r="E94" s="821"/>
      <c r="F94" s="1406"/>
      <c r="G94" s="1341"/>
      <c r="H94" s="822"/>
      <c r="I94" s="224"/>
      <c r="J94" s="823"/>
      <c r="K94" s="918"/>
      <c r="L94" s="918"/>
    </row>
    <row r="95" spans="1:14" ht="15.75" hidden="1" customHeight="1" x14ac:dyDescent="0.25">
      <c r="A95" s="820"/>
      <c r="B95" s="821"/>
      <c r="C95" s="821"/>
      <c r="D95" s="821"/>
      <c r="E95" s="821"/>
      <c r="F95" s="1406"/>
      <c r="G95" s="1341"/>
      <c r="H95" s="822"/>
      <c r="I95" s="224"/>
      <c r="J95" s="823"/>
      <c r="K95" s="918">
        <v>0</v>
      </c>
      <c r="L95" s="918">
        <v>0</v>
      </c>
      <c r="N95" s="360"/>
    </row>
    <row r="96" spans="1:14" ht="15.75" customHeight="1" x14ac:dyDescent="0.25">
      <c r="A96" s="907"/>
      <c r="B96" s="1509" t="s">
        <v>948</v>
      </c>
      <c r="C96" s="1422"/>
      <c r="D96" s="1422"/>
      <c r="E96" s="1422"/>
      <c r="F96" s="1422"/>
      <c r="G96" s="1422"/>
      <c r="H96" s="1422"/>
      <c r="I96" s="1423"/>
      <c r="J96" s="921">
        <f>J98+J99+J100+J101+J107+J97+J106+J108</f>
        <v>0</v>
      </c>
      <c r="K96" s="921">
        <f>K98+K99+K100+K101+K102+K105+K103+K104</f>
        <v>0</v>
      </c>
      <c r="L96" s="921">
        <f>L98+L99+L100+L101+L102+L105+L103+L104</f>
        <v>0</v>
      </c>
      <c r="N96" s="360"/>
    </row>
    <row r="97" spans="1:14" ht="15.75" hidden="1" customHeight="1" x14ac:dyDescent="0.25">
      <c r="A97" s="844"/>
      <c r="B97" s="905"/>
      <c r="C97" s="829"/>
      <c r="D97" s="829"/>
      <c r="E97" s="829"/>
      <c r="F97" s="1406"/>
      <c r="G97" s="1341"/>
      <c r="H97" s="933"/>
      <c r="I97" s="224"/>
      <c r="J97" s="823"/>
      <c r="K97" s="921">
        <v>0</v>
      </c>
      <c r="L97" s="921">
        <v>0</v>
      </c>
      <c r="N97" s="360"/>
    </row>
    <row r="98" spans="1:14" ht="15.75" hidden="1" customHeight="1" x14ac:dyDescent="0.25">
      <c r="A98" s="1505"/>
      <c r="B98" s="729"/>
      <c r="C98" s="1460"/>
      <c r="D98" s="1460"/>
      <c r="E98" s="1460"/>
      <c r="F98" s="1293"/>
      <c r="G98" s="1294"/>
      <c r="H98" s="535"/>
      <c r="I98" s="1481"/>
      <c r="J98" s="823"/>
      <c r="K98" s="852">
        <v>0</v>
      </c>
      <c r="L98" s="852">
        <v>0</v>
      </c>
      <c r="N98" s="360"/>
    </row>
    <row r="99" spans="1:14" ht="15.75" hidden="1" customHeight="1" x14ac:dyDescent="0.25">
      <c r="A99" s="1374"/>
      <c r="B99" s="838"/>
      <c r="C99" s="1286"/>
      <c r="D99" s="1286"/>
      <c r="E99" s="1286"/>
      <c r="F99" s="1328"/>
      <c r="G99" s="1329"/>
      <c r="H99" s="822"/>
      <c r="I99" s="1354"/>
      <c r="J99" s="823"/>
      <c r="K99" s="852">
        <v>0</v>
      </c>
      <c r="L99" s="852">
        <v>0</v>
      </c>
      <c r="N99" s="360"/>
    </row>
    <row r="100" spans="1:14" ht="21.75" hidden="1" customHeight="1" x14ac:dyDescent="0.25">
      <c r="A100" s="1374"/>
      <c r="B100" s="838"/>
      <c r="C100" s="1286"/>
      <c r="D100" s="1286"/>
      <c r="E100" s="1286"/>
      <c r="F100" s="1328"/>
      <c r="G100" s="1329"/>
      <c r="H100" s="822"/>
      <c r="I100" s="1354"/>
      <c r="J100" s="823"/>
      <c r="K100" s="852">
        <v>0</v>
      </c>
      <c r="L100" s="852">
        <v>0</v>
      </c>
      <c r="N100" s="360"/>
    </row>
    <row r="101" spans="1:14" ht="84" hidden="1" customHeight="1" x14ac:dyDescent="0.25">
      <c r="A101" s="1374"/>
      <c r="B101" s="838"/>
      <c r="C101" s="1286"/>
      <c r="D101" s="1286"/>
      <c r="E101" s="1286"/>
      <c r="F101" s="1328"/>
      <c r="G101" s="1329"/>
      <c r="H101" s="826"/>
      <c r="I101" s="1354"/>
      <c r="J101" s="823"/>
      <c r="K101" s="852"/>
      <c r="L101" s="852">
        <v>0</v>
      </c>
      <c r="N101" s="360"/>
    </row>
    <row r="102" spans="1:14" hidden="1" x14ac:dyDescent="0.25">
      <c r="A102" s="1374"/>
      <c r="B102" s="838"/>
      <c r="C102" s="1286"/>
      <c r="D102" s="1286"/>
      <c r="E102" s="1286"/>
      <c r="F102" s="1328"/>
      <c r="G102" s="1329"/>
      <c r="H102" s="934"/>
      <c r="I102" s="1354"/>
      <c r="J102" s="823"/>
      <c r="K102" s="852">
        <v>0</v>
      </c>
      <c r="L102" s="852">
        <v>0</v>
      </c>
    </row>
    <row r="103" spans="1:14" ht="14.25" hidden="1" customHeight="1" x14ac:dyDescent="0.25">
      <c r="A103" s="1374"/>
      <c r="B103" s="730"/>
      <c r="C103" s="1286"/>
      <c r="D103" s="1286"/>
      <c r="E103" s="1286"/>
      <c r="F103" s="1328"/>
      <c r="G103" s="1329"/>
      <c r="H103" s="934"/>
      <c r="I103" s="1354"/>
      <c r="J103" s="823"/>
      <c r="K103" s="852">
        <v>0</v>
      </c>
      <c r="L103" s="852">
        <v>0</v>
      </c>
    </row>
    <row r="104" spans="1:14" ht="15.75" hidden="1" customHeight="1" x14ac:dyDescent="0.25">
      <c r="A104" s="1374"/>
      <c r="B104" s="730"/>
      <c r="C104" s="1286"/>
      <c r="D104" s="1286"/>
      <c r="E104" s="1286"/>
      <c r="F104" s="1328"/>
      <c r="G104" s="1329"/>
      <c r="H104" s="934"/>
      <c r="I104" s="1354"/>
      <c r="J104" s="823"/>
      <c r="K104" s="852">
        <v>0</v>
      </c>
      <c r="L104" s="852">
        <v>0</v>
      </c>
    </row>
    <row r="105" spans="1:14" ht="15.75" hidden="1" customHeight="1" x14ac:dyDescent="0.25">
      <c r="A105" s="1374"/>
      <c r="B105" s="730"/>
      <c r="C105" s="1286"/>
      <c r="D105" s="1286"/>
      <c r="E105" s="1286"/>
      <c r="F105" s="1328"/>
      <c r="G105" s="1329"/>
      <c r="H105" s="934"/>
      <c r="I105" s="1354"/>
      <c r="J105" s="823"/>
      <c r="K105" s="852">
        <v>0</v>
      </c>
      <c r="L105" s="852">
        <v>0</v>
      </c>
    </row>
    <row r="106" spans="1:14" ht="15.75" hidden="1" customHeight="1" x14ac:dyDescent="0.25">
      <c r="A106" s="1374"/>
      <c r="B106" s="730"/>
      <c r="C106" s="1286"/>
      <c r="D106" s="1286"/>
      <c r="E106" s="1286"/>
      <c r="F106" s="1328"/>
      <c r="G106" s="1329"/>
      <c r="H106" s="822"/>
      <c r="I106" s="1354"/>
      <c r="J106" s="823"/>
      <c r="K106" s="852">
        <v>0</v>
      </c>
      <c r="L106" s="852">
        <v>0</v>
      </c>
    </row>
    <row r="107" spans="1:14" ht="15.75" hidden="1" customHeight="1" x14ac:dyDescent="0.25">
      <c r="A107" s="1374"/>
      <c r="B107" s="731"/>
      <c r="C107" s="1286"/>
      <c r="D107" s="1286"/>
      <c r="E107" s="1286"/>
      <c r="F107" s="1328"/>
      <c r="G107" s="1329"/>
      <c r="H107" s="913"/>
      <c r="I107" s="1354"/>
      <c r="J107" s="823"/>
      <c r="K107" s="852">
        <v>0</v>
      </c>
      <c r="L107" s="852">
        <v>0</v>
      </c>
    </row>
    <row r="108" spans="1:14" ht="15.75" hidden="1" customHeight="1" x14ac:dyDescent="0.25">
      <c r="A108" s="1506"/>
      <c r="B108" s="905"/>
      <c r="C108" s="1287"/>
      <c r="D108" s="1287"/>
      <c r="E108" s="1287"/>
      <c r="F108" s="1462"/>
      <c r="G108" s="1296"/>
      <c r="H108" s="822"/>
      <c r="I108" s="1417"/>
      <c r="J108" s="823"/>
      <c r="K108" s="852">
        <v>0</v>
      </c>
      <c r="L108" s="852">
        <v>0</v>
      </c>
    </row>
    <row r="109" spans="1:14" ht="15.75" customHeight="1" x14ac:dyDescent="0.25">
      <c r="A109" s="907"/>
      <c r="B109" s="1507" t="s">
        <v>949</v>
      </c>
      <c r="C109" s="1412"/>
      <c r="D109" s="1412"/>
      <c r="E109" s="1412"/>
      <c r="F109" s="1412"/>
      <c r="G109" s="1412"/>
      <c r="H109" s="1412"/>
      <c r="I109" s="1413"/>
      <c r="J109" s="921">
        <f>J115</f>
        <v>0</v>
      </c>
      <c r="K109" s="921">
        <f>K110+K111+K112</f>
        <v>0</v>
      </c>
      <c r="L109" s="921">
        <f>L110+L111+L112</f>
        <v>0</v>
      </c>
    </row>
    <row r="110" spans="1:14" ht="15.75" hidden="1" customHeight="1" x14ac:dyDescent="0.25">
      <c r="A110" s="907"/>
      <c r="B110" s="935"/>
      <c r="C110" s="935"/>
      <c r="D110" s="935"/>
      <c r="E110" s="935"/>
      <c r="F110" s="1508"/>
      <c r="G110" s="1415"/>
      <c r="H110" s="936"/>
      <c r="I110" s="937"/>
      <c r="J110" s="823"/>
      <c r="K110" s="852"/>
      <c r="L110" s="852"/>
    </row>
    <row r="111" spans="1:14" ht="15.75" hidden="1" customHeight="1" x14ac:dyDescent="0.25">
      <c r="A111" s="733"/>
      <c r="B111" s="935"/>
      <c r="C111" s="935"/>
      <c r="D111" s="935"/>
      <c r="E111" s="935"/>
      <c r="F111" s="935"/>
      <c r="G111" s="938"/>
      <c r="H111" s="939"/>
      <c r="I111" s="937"/>
      <c r="J111" s="823"/>
      <c r="K111" s="852"/>
      <c r="L111" s="852"/>
    </row>
    <row r="112" spans="1:14" ht="15.75" hidden="1" customHeight="1" x14ac:dyDescent="0.25">
      <c r="A112" s="907"/>
      <c r="B112" s="935"/>
      <c r="C112" s="935"/>
      <c r="D112" s="935"/>
      <c r="E112" s="935"/>
      <c r="F112" s="935"/>
      <c r="G112" s="938"/>
      <c r="H112" s="939"/>
      <c r="I112" s="937"/>
      <c r="J112" s="823"/>
      <c r="K112" s="852"/>
      <c r="L112" s="852"/>
    </row>
    <row r="113" spans="1:14" ht="15.75" hidden="1" customHeight="1" x14ac:dyDescent="0.25">
      <c r="A113" s="907"/>
      <c r="B113" s="935"/>
      <c r="C113" s="935"/>
      <c r="D113" s="935"/>
      <c r="E113" s="935"/>
      <c r="F113" s="935"/>
      <c r="G113" s="935"/>
      <c r="H113" s="935"/>
      <c r="I113" s="937"/>
      <c r="J113" s="823"/>
      <c r="K113" s="852"/>
      <c r="L113" s="852"/>
    </row>
    <row r="114" spans="1:14" ht="15.75" hidden="1" customHeight="1" x14ac:dyDescent="0.25">
      <c r="A114" s="907"/>
      <c r="B114" s="912"/>
      <c r="C114" s="940"/>
      <c r="D114" s="940"/>
      <c r="E114" s="940"/>
      <c r="F114" s="940"/>
      <c r="G114" s="940"/>
      <c r="H114" s="940"/>
      <c r="I114" s="937"/>
      <c r="J114" s="823"/>
      <c r="K114" s="852"/>
      <c r="L114" s="852"/>
    </row>
    <row r="115" spans="1:14" hidden="1" x14ac:dyDescent="0.25">
      <c r="A115" s="907"/>
      <c r="B115" s="912"/>
      <c r="C115" s="940"/>
      <c r="D115" s="940"/>
      <c r="E115" s="940"/>
      <c r="F115" s="1508"/>
      <c r="G115" s="1415"/>
      <c r="H115" s="940"/>
      <c r="I115" s="155"/>
      <c r="J115" s="823"/>
      <c r="K115" s="852">
        <v>0</v>
      </c>
      <c r="L115" s="852">
        <v>0</v>
      </c>
    </row>
    <row r="116" spans="1:14" ht="16.5" customHeight="1" x14ac:dyDescent="0.25">
      <c r="A116" s="907"/>
      <c r="B116" s="1509" t="s">
        <v>950</v>
      </c>
      <c r="C116" s="1422"/>
      <c r="D116" s="1422"/>
      <c r="E116" s="1422"/>
      <c r="F116" s="1422"/>
      <c r="G116" s="1422"/>
      <c r="H116" s="1422"/>
      <c r="I116" s="1423"/>
      <c r="J116" s="921">
        <f>SUM(J122:J124)+J117+J118+J120+J121+J119+J125+J126+J127+J128+J129+J130</f>
        <v>0</v>
      </c>
      <c r="K116" s="921">
        <f>SUM(K122:K124)+K117+K118+K120+K121+K119+K125+K126+K127+K128</f>
        <v>0</v>
      </c>
      <c r="L116" s="921">
        <f>SUM(L122:L124)+L117+L118+L120+L121+L119+L125+L126+L127+L128</f>
        <v>0</v>
      </c>
    </row>
    <row r="117" spans="1:14" ht="3" hidden="1" customHeight="1" x14ac:dyDescent="0.25">
      <c r="A117" s="941"/>
      <c r="B117" s="829"/>
      <c r="C117" s="942"/>
      <c r="D117" s="829"/>
      <c r="E117" s="905"/>
      <c r="F117" s="1513"/>
      <c r="G117" s="1514"/>
      <c r="H117" s="942"/>
      <c r="I117" s="224"/>
      <c r="J117" s="823"/>
      <c r="K117" s="872">
        <v>0</v>
      </c>
      <c r="L117" s="872">
        <v>0</v>
      </c>
    </row>
    <row r="118" spans="1:14" hidden="1" x14ac:dyDescent="0.25">
      <c r="A118" s="941"/>
      <c r="B118" s="829"/>
      <c r="C118" s="829"/>
      <c r="D118" s="829"/>
      <c r="E118" s="829"/>
      <c r="F118" s="1406"/>
      <c r="G118" s="1341"/>
      <c r="H118" s="933"/>
      <c r="I118" s="943"/>
      <c r="J118" s="823"/>
      <c r="K118" s="872">
        <v>0</v>
      </c>
      <c r="L118" s="872">
        <v>0</v>
      </c>
    </row>
    <row r="119" spans="1:14" hidden="1" x14ac:dyDescent="0.25">
      <c r="A119" s="498"/>
      <c r="B119" s="417"/>
      <c r="C119" s="417"/>
      <c r="D119" s="417"/>
      <c r="E119" s="417"/>
      <c r="F119" s="1515"/>
      <c r="G119" s="1436"/>
      <c r="H119" s="470"/>
      <c r="I119" s="499"/>
      <c r="J119" s="823"/>
      <c r="K119" s="823"/>
      <c r="L119" s="823"/>
    </row>
    <row r="120" spans="1:14" hidden="1" x14ac:dyDescent="0.25">
      <c r="A120" s="941"/>
      <c r="B120" s="417"/>
      <c r="C120" s="417"/>
      <c r="D120" s="417"/>
      <c r="E120" s="417"/>
      <c r="F120" s="1406"/>
      <c r="G120" s="1341"/>
      <c r="H120" s="470"/>
      <c r="I120" s="455"/>
      <c r="J120" s="823"/>
      <c r="K120" s="872"/>
      <c r="L120" s="872"/>
    </row>
    <row r="121" spans="1:14" ht="15.75" hidden="1" customHeight="1" x14ac:dyDescent="0.25">
      <c r="A121" s="498"/>
      <c r="B121" s="417"/>
      <c r="C121" s="417"/>
      <c r="D121" s="417"/>
      <c r="E121" s="417"/>
      <c r="F121" s="1406"/>
      <c r="G121" s="1341"/>
      <c r="H121" s="470"/>
      <c r="I121" s="455"/>
      <c r="J121" s="823"/>
      <c r="K121" s="872"/>
      <c r="L121" s="872"/>
    </row>
    <row r="122" spans="1:14" hidden="1" x14ac:dyDescent="0.25">
      <c r="A122" s="941"/>
      <c r="B122" s="534"/>
      <c r="C122" s="534"/>
      <c r="D122" s="534"/>
      <c r="E122" s="534"/>
      <c r="F122" s="1416"/>
      <c r="G122" s="1319"/>
      <c r="H122" s="535"/>
      <c r="I122" s="224"/>
      <c r="J122" s="823"/>
      <c r="K122" s="852"/>
      <c r="L122" s="852"/>
    </row>
    <row r="123" spans="1:14" ht="14.25" hidden="1" customHeight="1" x14ac:dyDescent="0.25">
      <c r="A123" s="498"/>
      <c r="B123" s="534"/>
      <c r="C123" s="534"/>
      <c r="D123" s="534"/>
      <c r="E123" s="534"/>
      <c r="F123" s="1416"/>
      <c r="G123" s="1319"/>
      <c r="H123" s="824"/>
      <c r="I123" s="371"/>
      <c r="J123" s="823"/>
      <c r="K123" s="852"/>
      <c r="L123" s="852"/>
    </row>
    <row r="124" spans="1:14" ht="7.5" hidden="1" customHeight="1" x14ac:dyDescent="0.25">
      <c r="A124" s="865"/>
      <c r="B124" s="824"/>
      <c r="C124" s="824"/>
      <c r="D124" s="824"/>
      <c r="E124" s="824"/>
      <c r="F124" s="1284"/>
      <c r="G124" s="1285"/>
      <c r="H124" s="824"/>
      <c r="I124" s="452"/>
      <c r="J124" s="823"/>
      <c r="K124" s="841"/>
      <c r="L124" s="841"/>
      <c r="N124" s="696"/>
    </row>
    <row r="125" spans="1:14" ht="15.75" hidden="1" customHeight="1" x14ac:dyDescent="0.25">
      <c r="A125" s="865"/>
      <c r="B125" s="916"/>
      <c r="C125" s="916"/>
      <c r="D125" s="916"/>
      <c r="E125" s="916"/>
      <c r="F125" s="1407"/>
      <c r="G125" s="1397"/>
      <c r="H125" s="916"/>
      <c r="I125" s="944"/>
      <c r="J125" s="823"/>
      <c r="K125" s="852"/>
      <c r="L125" s="852"/>
    </row>
    <row r="126" spans="1:14" ht="15.75" hidden="1" customHeight="1" x14ac:dyDescent="0.25">
      <c r="A126" s="865"/>
      <c r="B126" s="916"/>
      <c r="C126" s="916"/>
      <c r="D126" s="916"/>
      <c r="E126" s="916"/>
      <c r="F126" s="1407"/>
      <c r="G126" s="1397"/>
      <c r="H126" s="916"/>
      <c r="I126" s="944"/>
      <c r="J126" s="823"/>
      <c r="K126" s="852">
        <v>0</v>
      </c>
      <c r="L126" s="852">
        <v>0</v>
      </c>
    </row>
    <row r="127" spans="1:14" ht="15.75" hidden="1" customHeight="1" x14ac:dyDescent="0.25">
      <c r="A127" s="945"/>
      <c r="B127" s="419"/>
      <c r="C127" s="419"/>
      <c r="D127" s="419"/>
      <c r="E127" s="419"/>
      <c r="F127" s="1467"/>
      <c r="G127" s="1383"/>
      <c r="H127" s="419"/>
      <c r="I127" s="438"/>
      <c r="J127" s="823"/>
      <c r="K127" s="852">
        <v>0</v>
      </c>
      <c r="L127" s="852">
        <v>0</v>
      </c>
    </row>
    <row r="128" spans="1:14" s="1" customFormat="1" ht="15.75" hidden="1" customHeight="1" x14ac:dyDescent="0.25">
      <c r="A128" s="383"/>
      <c r="B128" s="419"/>
      <c r="C128" s="419"/>
      <c r="D128" s="419"/>
      <c r="E128" s="419"/>
      <c r="F128" s="1467"/>
      <c r="G128" s="1383"/>
      <c r="H128" s="419"/>
      <c r="I128" s="224"/>
      <c r="J128" s="823"/>
      <c r="K128" s="852">
        <v>0</v>
      </c>
      <c r="L128" s="852">
        <v>0</v>
      </c>
    </row>
    <row r="129" spans="1:12" s="1" customFormat="1" ht="3" hidden="1" customHeight="1" x14ac:dyDescent="0.25">
      <c r="A129" s="945"/>
      <c r="B129" s="419"/>
      <c r="C129" s="419"/>
      <c r="D129" s="419"/>
      <c r="E129" s="419"/>
      <c r="F129" s="1467"/>
      <c r="G129" s="1383"/>
      <c r="H129" s="784"/>
      <c r="I129" s="377"/>
      <c r="J129" s="823"/>
      <c r="K129" s="852">
        <v>0</v>
      </c>
      <c r="L129" s="852">
        <v>0</v>
      </c>
    </row>
    <row r="130" spans="1:12" ht="6.75" hidden="1" customHeight="1" x14ac:dyDescent="0.25">
      <c r="A130" s="945"/>
      <c r="B130" s="916"/>
      <c r="C130" s="916"/>
      <c r="D130" s="916"/>
      <c r="E130" s="916"/>
      <c r="F130" s="1407"/>
      <c r="G130" s="1397"/>
      <c r="H130" s="946"/>
      <c r="I130" s="785"/>
      <c r="J130" s="823"/>
      <c r="K130" s="852">
        <v>0</v>
      </c>
      <c r="L130" s="852">
        <v>0</v>
      </c>
    </row>
    <row r="131" spans="1:12" ht="15" customHeight="1" x14ac:dyDescent="0.25">
      <c r="A131" s="907"/>
      <c r="B131" s="1504" t="s">
        <v>951</v>
      </c>
      <c r="C131" s="1392"/>
      <c r="D131" s="1392"/>
      <c r="E131" s="1392"/>
      <c r="F131" s="1392"/>
      <c r="G131" s="1392"/>
      <c r="H131" s="1392"/>
      <c r="I131" s="1393"/>
      <c r="J131" s="921">
        <f>J135+J134+J133+J132</f>
        <v>0</v>
      </c>
      <c r="K131" s="921">
        <f>K135+K134+K133+K132</f>
        <v>0</v>
      </c>
      <c r="L131" s="921">
        <f>L135+L134+L133+L132</f>
        <v>0</v>
      </c>
    </row>
    <row r="132" spans="1:12" ht="15.75" hidden="1" customHeight="1" x14ac:dyDescent="0.25">
      <c r="A132" s="851"/>
      <c r="B132" s="824"/>
      <c r="C132" s="824"/>
      <c r="D132" s="824"/>
      <c r="E132" s="824"/>
      <c r="F132" s="1284"/>
      <c r="G132" s="1285"/>
      <c r="H132" s="822"/>
      <c r="I132" s="224"/>
      <c r="J132" s="823"/>
      <c r="K132" s="852">
        <v>0</v>
      </c>
      <c r="L132" s="852">
        <v>0</v>
      </c>
    </row>
    <row r="133" spans="1:12" ht="15.75" hidden="1" customHeight="1" x14ac:dyDescent="0.25">
      <c r="A133" s="851"/>
      <c r="B133" s="824"/>
      <c r="C133" s="824"/>
      <c r="D133" s="824"/>
      <c r="E133" s="824"/>
      <c r="F133" s="1284"/>
      <c r="G133" s="1285"/>
      <c r="H133" s="824"/>
      <c r="I133" s="224"/>
      <c r="J133" s="823"/>
      <c r="K133" s="852">
        <v>0</v>
      </c>
      <c r="L133" s="852">
        <v>0</v>
      </c>
    </row>
    <row r="134" spans="1:12" ht="18" hidden="1" customHeight="1" x14ac:dyDescent="0.25">
      <c r="A134" s="920"/>
      <c r="B134" s="824"/>
      <c r="C134" s="824"/>
      <c r="D134" s="824"/>
      <c r="E134" s="824"/>
      <c r="F134" s="1284"/>
      <c r="G134" s="1285"/>
      <c r="H134" s="822"/>
      <c r="I134" s="224"/>
      <c r="J134" s="823"/>
      <c r="K134" s="852">
        <v>0</v>
      </c>
      <c r="L134" s="852">
        <v>0</v>
      </c>
    </row>
    <row r="135" spans="1:12" ht="69" hidden="1" customHeight="1" x14ac:dyDescent="0.25">
      <c r="A135" s="920"/>
      <c r="B135" s="1027"/>
      <c r="C135" s="821"/>
      <c r="D135" s="821"/>
      <c r="E135" s="821"/>
      <c r="F135" s="1406"/>
      <c r="G135" s="1341"/>
      <c r="H135" s="822"/>
      <c r="I135" s="224"/>
      <c r="J135" s="823"/>
      <c r="K135" s="852">
        <v>0</v>
      </c>
      <c r="L135" s="852">
        <v>0</v>
      </c>
    </row>
    <row r="136" spans="1:12" ht="18" customHeight="1" x14ac:dyDescent="0.25">
      <c r="A136" s="920"/>
      <c r="B136" s="1504" t="s">
        <v>952</v>
      </c>
      <c r="C136" s="1392"/>
      <c r="D136" s="1392"/>
      <c r="E136" s="1392"/>
      <c r="F136" s="1392"/>
      <c r="G136" s="1392"/>
      <c r="H136" s="1392"/>
      <c r="I136" s="1393"/>
      <c r="J136" s="921">
        <f>J138+J139</f>
        <v>0</v>
      </c>
      <c r="K136" s="921">
        <f>K137</f>
        <v>0</v>
      </c>
      <c r="L136" s="921">
        <f>L137</f>
        <v>0</v>
      </c>
    </row>
    <row r="137" spans="1:12" hidden="1" x14ac:dyDescent="0.25">
      <c r="A137" s="923"/>
      <c r="B137" s="916"/>
      <c r="C137" s="916"/>
      <c r="D137" s="916"/>
      <c r="E137" s="916"/>
      <c r="F137" s="1407"/>
      <c r="G137" s="1397"/>
      <c r="H137" s="916"/>
      <c r="I137" s="929"/>
      <c r="J137" s="872"/>
      <c r="K137" s="852"/>
      <c r="L137" s="852"/>
    </row>
    <row r="138" spans="1:12" ht="30" hidden="1" customHeight="1" x14ac:dyDescent="0.25">
      <c r="A138" s="923"/>
      <c r="B138" s="947"/>
      <c r="C138" s="947"/>
      <c r="D138" s="947"/>
      <c r="E138" s="947"/>
      <c r="F138" s="1510"/>
      <c r="G138" s="1395"/>
      <c r="H138" s="947"/>
      <c r="I138" s="948"/>
      <c r="J138" s="949"/>
      <c r="K138" s="852">
        <v>0</v>
      </c>
      <c r="L138" s="852">
        <v>0</v>
      </c>
    </row>
    <row r="139" spans="1:12" ht="0.75" customHeight="1" x14ac:dyDescent="0.25">
      <c r="A139" s="923"/>
      <c r="B139" s="916"/>
      <c r="C139" s="916"/>
      <c r="D139" s="916"/>
      <c r="E139" s="916"/>
      <c r="F139" s="1407"/>
      <c r="G139" s="1397"/>
      <c r="H139" s="916"/>
      <c r="I139" s="929"/>
      <c r="J139" s="872"/>
      <c r="K139" s="852"/>
      <c r="L139" s="852"/>
    </row>
    <row r="140" spans="1:12" ht="15.75" customHeight="1" x14ac:dyDescent="0.25">
      <c r="A140" s="930"/>
      <c r="B140" s="1516" t="s">
        <v>953</v>
      </c>
      <c r="C140" s="1409"/>
      <c r="D140" s="1409"/>
      <c r="E140" s="1409"/>
      <c r="F140" s="1409"/>
      <c r="G140" s="1409"/>
      <c r="H140" s="1409"/>
      <c r="I140" s="1410"/>
      <c r="J140" s="921">
        <f>SUM(J141:J149)</f>
        <v>0</v>
      </c>
      <c r="K140" s="921">
        <f>SUM(K141:K149)</f>
        <v>0</v>
      </c>
      <c r="L140" s="921">
        <f>SUM(L141:L149)</f>
        <v>0</v>
      </c>
    </row>
    <row r="141" spans="1:12" ht="63" hidden="1" customHeight="1" x14ac:dyDescent="0.25">
      <c r="A141" s="945"/>
      <c r="B141" s="824"/>
      <c r="C141" s="824"/>
      <c r="D141" s="824"/>
      <c r="E141" s="824"/>
      <c r="F141" s="1284"/>
      <c r="G141" s="1285"/>
      <c r="H141" s="824"/>
      <c r="I141" s="416"/>
      <c r="J141" s="823"/>
      <c r="K141" s="918">
        <v>0</v>
      </c>
      <c r="L141" s="918">
        <v>0</v>
      </c>
    </row>
    <row r="142" spans="1:12" hidden="1" x14ac:dyDescent="0.25">
      <c r="A142" s="950"/>
      <c r="B142" s="916"/>
      <c r="C142" s="916"/>
      <c r="D142" s="916"/>
      <c r="E142" s="916"/>
      <c r="F142" s="1407"/>
      <c r="G142" s="1397"/>
      <c r="H142" s="916"/>
      <c r="I142" s="929"/>
      <c r="J142" s="918"/>
      <c r="K142" s="425"/>
      <c r="L142" s="918"/>
    </row>
    <row r="143" spans="1:12" hidden="1" x14ac:dyDescent="0.25">
      <c r="A143" s="865"/>
      <c r="B143" s="916"/>
      <c r="C143" s="916"/>
      <c r="D143" s="916"/>
      <c r="E143" s="916"/>
      <c r="F143" s="916"/>
      <c r="G143" s="916"/>
      <c r="H143" s="916"/>
      <c r="I143" s="937"/>
      <c r="J143" s="872"/>
      <c r="K143" s="918"/>
      <c r="L143" s="918"/>
    </row>
    <row r="144" spans="1:12" ht="2.25" hidden="1" customHeight="1" x14ac:dyDescent="0.25">
      <c r="A144" s="865"/>
      <c r="B144" s="916"/>
      <c r="C144" s="916"/>
      <c r="D144" s="916"/>
      <c r="E144" s="916"/>
      <c r="F144" s="916"/>
      <c r="G144" s="916"/>
      <c r="H144" s="916"/>
      <c r="I144" s="929"/>
      <c r="J144" s="872"/>
      <c r="K144" s="852"/>
      <c r="L144" s="852"/>
    </row>
    <row r="145" spans="1:12" ht="15.75" hidden="1" customHeight="1" x14ac:dyDescent="0.25">
      <c r="A145" s="915"/>
      <c r="B145" s="916"/>
      <c r="C145" s="916"/>
      <c r="D145" s="916"/>
      <c r="E145" s="916"/>
      <c r="F145" s="916"/>
      <c r="G145" s="916"/>
      <c r="H145" s="916"/>
      <c r="I145" s="427"/>
      <c r="J145" s="872"/>
      <c r="K145" s="852"/>
      <c r="L145" s="852"/>
    </row>
    <row r="146" spans="1:12" s="1" customFormat="1" ht="15.75" hidden="1" customHeight="1" x14ac:dyDescent="0.25">
      <c r="A146" s="915"/>
      <c r="B146" s="916"/>
      <c r="C146" s="916"/>
      <c r="D146" s="916"/>
      <c r="E146" s="916"/>
      <c r="F146" s="916"/>
      <c r="G146" s="916"/>
      <c r="H146" s="916"/>
      <c r="I146" s="929"/>
      <c r="J146" s="872"/>
      <c r="K146" s="852"/>
      <c r="L146" s="852"/>
    </row>
    <row r="147" spans="1:12" s="1" customFormat="1" ht="18" hidden="1" customHeight="1" x14ac:dyDescent="0.25">
      <c r="A147" s="915"/>
      <c r="B147" s="916"/>
      <c r="C147" s="916"/>
      <c r="D147" s="916"/>
      <c r="E147" s="916"/>
      <c r="F147" s="916"/>
      <c r="G147" s="916"/>
      <c r="H147" s="916"/>
      <c r="I147" s="929"/>
      <c r="J147" s="872"/>
      <c r="K147" s="852"/>
      <c r="L147" s="852"/>
    </row>
    <row r="148" spans="1:12" s="1" customFormat="1" ht="5.25" hidden="1" customHeight="1" x14ac:dyDescent="0.25">
      <c r="A148" s="915"/>
      <c r="B148" s="916"/>
      <c r="C148" s="916"/>
      <c r="D148" s="916"/>
      <c r="E148" s="916"/>
      <c r="F148" s="1407"/>
      <c r="G148" s="1397"/>
      <c r="H148" s="916"/>
      <c r="I148" s="929"/>
      <c r="J148" s="872"/>
      <c r="K148" s="852"/>
      <c r="L148" s="852"/>
    </row>
    <row r="149" spans="1:12" s="1" customFormat="1" hidden="1" x14ac:dyDescent="0.25">
      <c r="A149" s="951"/>
      <c r="B149" s="952"/>
      <c r="C149" s="952"/>
      <c r="D149" s="952"/>
      <c r="E149" s="952"/>
      <c r="F149" s="1511"/>
      <c r="G149" s="1402"/>
      <c r="H149" s="952"/>
      <c r="I149" s="953"/>
      <c r="J149" s="954"/>
      <c r="K149" s="955"/>
      <c r="L149" s="955"/>
    </row>
    <row r="150" spans="1:12" hidden="1" x14ac:dyDescent="0.25">
      <c r="A150" s="915"/>
      <c r="B150" s="916"/>
      <c r="C150" s="916"/>
      <c r="D150" s="916"/>
      <c r="E150" s="916"/>
      <c r="F150" s="1407"/>
      <c r="G150" s="1397"/>
      <c r="H150" s="916"/>
      <c r="I150" s="929"/>
      <c r="J150" s="872"/>
      <c r="K150" s="852"/>
      <c r="L150" s="852"/>
    </row>
    <row r="151" spans="1:12" ht="14.25" customHeight="1" x14ac:dyDescent="0.25">
      <c r="A151" s="920"/>
      <c r="B151" s="1512" t="s">
        <v>954</v>
      </c>
      <c r="C151" s="1298"/>
      <c r="D151" s="1298"/>
      <c r="E151" s="1298"/>
      <c r="F151" s="1298"/>
      <c r="G151" s="1298"/>
      <c r="H151" s="1298"/>
      <c r="I151" s="1299"/>
      <c r="J151" s="921">
        <f>J140+J116+J109+J96+J49+J37+J30+J131+J136+J40+J150+J42</f>
        <v>0</v>
      </c>
      <c r="K151" s="921">
        <f t="shared" ref="K151:L151" si="2">K140+K116+K109+K96+K49+K37+K30+K131+K136+K40+K150</f>
        <v>0</v>
      </c>
      <c r="L151" s="921">
        <f t="shared" si="2"/>
        <v>0</v>
      </c>
    </row>
    <row r="152" spans="1:12" ht="14.25" customHeight="1" x14ac:dyDescent="0.25">
      <c r="I152" s="662"/>
      <c r="J152" s="64"/>
    </row>
    <row r="153" spans="1:12" ht="24.75" customHeight="1" x14ac:dyDescent="0.25">
      <c r="I153" s="662"/>
      <c r="J153" s="64"/>
    </row>
    <row r="154" spans="1:12" ht="18" customHeight="1" x14ac:dyDescent="0.25">
      <c r="I154" s="662"/>
      <c r="J154" s="64"/>
    </row>
    <row r="155" spans="1:12" ht="33" customHeight="1" x14ac:dyDescent="0.25">
      <c r="A155" s="1398" t="s">
        <v>1558</v>
      </c>
      <c r="B155" s="1398"/>
      <c r="C155" s="1398"/>
      <c r="D155" s="1398"/>
      <c r="E155" s="1398"/>
      <c r="F155" s="1398"/>
      <c r="G155" s="1398"/>
      <c r="H155" s="1398"/>
      <c r="I155" s="1201" t="s">
        <v>1559</v>
      </c>
      <c r="J155" s="1201"/>
      <c r="K155" s="1"/>
      <c r="L155" s="1"/>
    </row>
    <row r="157" spans="1:12" hidden="1" x14ac:dyDescent="0.25"/>
    <row r="158" spans="1:12" hidden="1" x14ac:dyDescent="0.25">
      <c r="A158" s="1" t="s">
        <v>957</v>
      </c>
    </row>
    <row r="159" spans="1:12" hidden="1" x14ac:dyDescent="0.25">
      <c r="A159" s="1390" t="s">
        <v>958</v>
      </c>
      <c r="B159" s="1390"/>
    </row>
    <row r="160" spans="1:12" hidden="1" x14ac:dyDescent="0.25">
      <c r="B160" s="3"/>
      <c r="C160" s="76"/>
      <c r="D160" s="76"/>
      <c r="E160" s="76"/>
      <c r="F160" s="76"/>
      <c r="G160" s="76"/>
      <c r="H160" s="76"/>
      <c r="I160" s="76"/>
      <c r="J160" s="76" t="s">
        <v>959</v>
      </c>
      <c r="K160" s="360">
        <f>[2]П2ДОХОДЫ!E171</f>
        <v>840336062.30999994</v>
      </c>
    </row>
    <row r="161" spans="1:14" s="1" customFormat="1" ht="30.75" hidden="1" customHeight="1" x14ac:dyDescent="0.25">
      <c r="A161" s="3"/>
      <c r="B161" s="1352"/>
      <c r="C161" s="1352"/>
      <c r="D161" s="1352"/>
      <c r="E161" s="1352"/>
      <c r="F161" s="1352"/>
      <c r="G161" s="1352"/>
      <c r="H161" s="1352"/>
      <c r="I161" s="1352"/>
      <c r="J161" s="433"/>
      <c r="K161" s="3"/>
      <c r="L161" s="3"/>
    </row>
    <row r="162" spans="1:14" hidden="1" x14ac:dyDescent="0.25">
      <c r="B162" s="1201" t="s">
        <v>960</v>
      </c>
      <c r="C162" s="1201"/>
      <c r="D162" s="1201"/>
      <c r="E162" s="1201"/>
      <c r="F162" s="1201"/>
      <c r="G162" s="1201"/>
      <c r="H162" s="1201"/>
      <c r="I162" s="1201"/>
      <c r="J162" s="5">
        <f>J163+J164+J165+J166</f>
        <v>0</v>
      </c>
      <c r="K162" s="5" t="e">
        <f>#REF!</f>
        <v>#REF!</v>
      </c>
      <c r="L162" s="5" t="e">
        <f>#REF!</f>
        <v>#REF!</v>
      </c>
    </row>
    <row r="163" spans="1:14" ht="9" hidden="1" customHeight="1" x14ac:dyDescent="0.25">
      <c r="B163" s="909"/>
      <c r="C163" s="909"/>
      <c r="D163" s="909"/>
      <c r="E163" s="909"/>
      <c r="F163" s="909"/>
      <c r="G163" s="909"/>
      <c r="H163" s="909"/>
      <c r="I163" s="434" t="s">
        <v>15</v>
      </c>
      <c r="J163" s="5"/>
      <c r="K163" s="5"/>
      <c r="L163" s="5"/>
    </row>
    <row r="164" spans="1:14" hidden="1" x14ac:dyDescent="0.25">
      <c r="B164" s="909"/>
      <c r="C164" s="909"/>
      <c r="D164" s="909"/>
      <c r="E164" s="909"/>
      <c r="F164" s="909"/>
      <c r="G164" s="909"/>
      <c r="H164" s="909"/>
      <c r="I164" s="434" t="s">
        <v>16</v>
      </c>
      <c r="J164" s="5"/>
      <c r="K164" s="5"/>
      <c r="L164" s="5"/>
    </row>
    <row r="165" spans="1:14" ht="14.25" hidden="1" customHeight="1" x14ac:dyDescent="0.25">
      <c r="B165" s="909"/>
      <c r="C165" s="909"/>
      <c r="D165" s="909"/>
      <c r="E165" s="909"/>
      <c r="F165" s="909"/>
      <c r="G165" s="909"/>
      <c r="H165" s="909"/>
      <c r="I165" s="434" t="s">
        <v>18</v>
      </c>
      <c r="J165" s="5"/>
      <c r="K165" s="5"/>
      <c r="L165" s="5"/>
    </row>
    <row r="166" spans="1:14" hidden="1" x14ac:dyDescent="0.25">
      <c r="B166" s="909"/>
      <c r="C166" s="909"/>
      <c r="D166" s="909"/>
      <c r="E166" s="909"/>
      <c r="F166" s="909"/>
      <c r="G166" s="909"/>
      <c r="H166" s="909"/>
      <c r="I166" s="434" t="s">
        <v>19</v>
      </c>
      <c r="J166" s="5"/>
      <c r="K166" s="5"/>
      <c r="L166" s="5"/>
      <c r="N166" s="360"/>
    </row>
    <row r="167" spans="1:14" ht="6" hidden="1" customHeight="1" x14ac:dyDescent="0.25">
      <c r="B167" s="1201" t="s">
        <v>961</v>
      </c>
      <c r="C167" s="1201"/>
      <c r="D167" s="1201"/>
      <c r="E167" s="1201"/>
      <c r="F167" s="1201"/>
      <c r="G167" s="1201"/>
      <c r="H167" s="1201"/>
      <c r="I167" s="1201"/>
      <c r="J167" s="5" t="e">
        <f>J168+J169+J170+J171</f>
        <v>#REF!</v>
      </c>
      <c r="K167" s="5" t="e">
        <f>K7+#REF!+#REF!+#REF!+#REF!+#REF!+#REF!+#REF!+#REF!+#REF!+#REF!+#REF!+#REF!+#REF!</f>
        <v>#REF!</v>
      </c>
      <c r="L167" s="5" t="e">
        <f>L7+#REF!+#REF!+#REF!+#REF!+#REF!+#REF!+#REF!+#REF!+#REF!+#REF!+#REF!+#REF!+#REF!</f>
        <v>#REF!</v>
      </c>
    </row>
    <row r="168" spans="1:14" ht="15.75" hidden="1" customHeight="1" x14ac:dyDescent="0.25">
      <c r="B168" s="909"/>
      <c r="C168" s="909"/>
      <c r="D168" s="909"/>
      <c r="E168" s="909"/>
      <c r="F168" s="909"/>
      <c r="G168" s="909"/>
      <c r="H168" s="909"/>
      <c r="I168" s="434" t="s">
        <v>15</v>
      </c>
      <c r="J168" s="5" t="e">
        <f>J7+#REF!</f>
        <v>#REF!</v>
      </c>
      <c r="K168" s="5"/>
      <c r="L168" s="5"/>
    </row>
    <row r="169" spans="1:14" hidden="1" x14ac:dyDescent="0.25">
      <c r="B169" s="909"/>
      <c r="C169" s="909"/>
      <c r="D169" s="909"/>
      <c r="E169" s="909"/>
      <c r="F169" s="909"/>
      <c r="G169" s="909"/>
      <c r="H169" s="909"/>
      <c r="I169" s="434" t="s">
        <v>16</v>
      </c>
      <c r="J169" s="5" t="e">
        <f>#REF!</f>
        <v>#REF!</v>
      </c>
      <c r="K169" s="5"/>
      <c r="L169" s="5"/>
    </row>
    <row r="170" spans="1:14" hidden="1" x14ac:dyDescent="0.25">
      <c r="B170" s="909"/>
      <c r="C170" s="909"/>
      <c r="D170" s="909"/>
      <c r="E170" s="909"/>
      <c r="F170" s="909"/>
      <c r="G170" s="909"/>
      <c r="H170" s="909"/>
      <c r="I170" s="434" t="s">
        <v>18</v>
      </c>
      <c r="J170" s="5">
        <v>0</v>
      </c>
      <c r="K170" s="5"/>
      <c r="L170" s="5"/>
    </row>
    <row r="171" spans="1:14" hidden="1" x14ac:dyDescent="0.25">
      <c r="B171" s="909"/>
      <c r="C171" s="909"/>
      <c r="D171" s="909"/>
      <c r="E171" s="909"/>
      <c r="F171" s="909"/>
      <c r="G171" s="909"/>
      <c r="H171" s="909"/>
      <c r="I171" s="434" t="s">
        <v>19</v>
      </c>
      <c r="J171" s="5">
        <v>0</v>
      </c>
      <c r="K171" s="5"/>
      <c r="L171" s="5"/>
    </row>
    <row r="172" spans="1:14" hidden="1" x14ac:dyDescent="0.25">
      <c r="B172" s="1201" t="s">
        <v>260</v>
      </c>
      <c r="C172" s="1201"/>
      <c r="D172" s="1201"/>
      <c r="E172" s="1201"/>
      <c r="F172" s="1201"/>
      <c r="G172" s="1201"/>
      <c r="H172" s="1201"/>
      <c r="I172" s="1201"/>
      <c r="J172" s="5" t="e">
        <f>SUM(J162:J167)</f>
        <v>#REF!</v>
      </c>
      <c r="K172" s="5" t="e">
        <f>SUM(K162:K167)</f>
        <v>#REF!</v>
      </c>
      <c r="L172" s="5" t="e">
        <f>SUM(L162:L167)</f>
        <v>#REF!</v>
      </c>
    </row>
    <row r="173" spans="1:14" ht="15.75" hidden="1" customHeight="1" x14ac:dyDescent="0.25">
      <c r="B173" s="1352" t="s">
        <v>938</v>
      </c>
      <c r="C173" s="1352"/>
      <c r="D173" s="1352"/>
      <c r="E173" s="1352"/>
      <c r="F173" s="1352"/>
      <c r="G173" s="1352"/>
      <c r="H173" s="1352"/>
      <c r="I173" s="1352"/>
      <c r="J173" s="433"/>
    </row>
    <row r="174" spans="1:14" hidden="1" x14ac:dyDescent="0.25">
      <c r="B174" s="1201" t="s">
        <v>962</v>
      </c>
      <c r="C174" s="1201"/>
      <c r="D174" s="1201"/>
      <c r="E174" s="1201"/>
      <c r="F174" s="1201"/>
      <c r="G174" s="1201"/>
      <c r="H174" s="1201"/>
      <c r="I174" s="1201"/>
      <c r="J174" s="5">
        <v>0</v>
      </c>
      <c r="K174" s="5">
        <f>K19+K21</f>
        <v>0</v>
      </c>
      <c r="L174" s="5">
        <f>L19+L21</f>
        <v>0</v>
      </c>
    </row>
    <row r="175" spans="1:14" hidden="1" x14ac:dyDescent="0.25">
      <c r="B175" s="1201" t="s">
        <v>963</v>
      </c>
      <c r="C175" s="1201"/>
      <c r="D175" s="1201"/>
      <c r="E175" s="1201"/>
      <c r="F175" s="1201"/>
      <c r="G175" s="1201"/>
      <c r="H175" s="1201"/>
      <c r="I175" s="1201"/>
      <c r="J175" s="5">
        <f>J19</f>
        <v>0</v>
      </c>
      <c r="K175" s="5"/>
      <c r="L175" s="5"/>
    </row>
    <row r="176" spans="1:14" hidden="1" x14ac:dyDescent="0.25">
      <c r="B176" s="1201" t="s">
        <v>964</v>
      </c>
      <c r="C176" s="1201"/>
      <c r="D176" s="1201"/>
      <c r="E176" s="1201"/>
      <c r="F176" s="1201"/>
      <c r="G176" s="1201"/>
      <c r="H176" s="1201"/>
      <c r="I176" s="1201"/>
      <c r="J176" s="5">
        <f>J20</f>
        <v>0</v>
      </c>
      <c r="K176" s="5">
        <f>K20</f>
        <v>0</v>
      </c>
      <c r="L176" s="5">
        <f>L20</f>
        <v>0</v>
      </c>
    </row>
    <row r="177" spans="2:12" hidden="1" x14ac:dyDescent="0.25">
      <c r="B177" s="1201" t="s">
        <v>260</v>
      </c>
      <c r="C177" s="1201"/>
      <c r="D177" s="1201"/>
      <c r="E177" s="1201"/>
      <c r="F177" s="1201"/>
      <c r="G177" s="1201"/>
      <c r="H177" s="1201"/>
      <c r="I177" s="1201"/>
      <c r="J177" s="5">
        <f>SUM(J174:J176)</f>
        <v>0</v>
      </c>
      <c r="K177" s="5">
        <f>SUM(K174:K176)</f>
        <v>0</v>
      </c>
      <c r="L177" s="5">
        <f>SUM(L174:L176)</f>
        <v>0</v>
      </c>
    </row>
    <row r="178" spans="2:12" ht="15.75" hidden="1" customHeight="1" x14ac:dyDescent="0.25">
      <c r="B178" s="1352" t="s">
        <v>940</v>
      </c>
      <c r="C178" s="1352"/>
      <c r="D178" s="1352"/>
      <c r="E178" s="1352"/>
      <c r="F178" s="1352"/>
      <c r="G178" s="1352"/>
      <c r="H178" s="1352"/>
      <c r="I178" s="1352"/>
      <c r="J178" s="433"/>
    </row>
    <row r="179" spans="2:12" ht="15.75" hidden="1" customHeight="1" x14ac:dyDescent="0.25">
      <c r="B179" s="1201" t="s">
        <v>965</v>
      </c>
      <c r="C179" s="1201"/>
      <c r="D179" s="1201"/>
      <c r="E179" s="1201"/>
      <c r="F179" s="1201"/>
      <c r="G179" s="1201"/>
      <c r="H179" s="1201"/>
      <c r="I179" s="1201"/>
      <c r="J179" s="64" t="e">
        <f>#REF!+#REF!+#REF!+#REF!+#REF!+#REF!+#REF!+#REF!+J132+J133+J134+#REF!+#REF!+#REF!+#REF!+#REF!+#REF!+J122+#REF!+#REF!</f>
        <v>#REF!</v>
      </c>
      <c r="K179" s="64" t="e">
        <f>#REF!+#REF!+#REF!+#REF!+K38+#REF!+#REF!+#REF!+#REF!+#REF!</f>
        <v>#REF!</v>
      </c>
      <c r="L179" s="64" t="e">
        <f>#REF!+#REF!+#REF!+#REF!+L38+#REF!+#REF!+#REF!+#REF!+#REF!</f>
        <v>#REF!</v>
      </c>
    </row>
    <row r="180" spans="2:12" ht="15.75" hidden="1" customHeight="1" x14ac:dyDescent="0.25">
      <c r="B180" s="1201" t="s">
        <v>966</v>
      </c>
      <c r="C180" s="1201"/>
      <c r="D180" s="1201"/>
      <c r="E180" s="1201"/>
      <c r="F180" s="1201"/>
      <c r="G180" s="1201"/>
      <c r="H180" s="1201"/>
      <c r="I180" s="1201"/>
      <c r="J180" s="64">
        <f>J136</f>
        <v>0</v>
      </c>
      <c r="K180" s="64">
        <f>K150+K141</f>
        <v>0</v>
      </c>
      <c r="L180" s="64">
        <f>L150+L141</f>
        <v>0</v>
      </c>
    </row>
    <row r="181" spans="2:12" ht="15.75" hidden="1" customHeight="1" x14ac:dyDescent="0.25">
      <c r="B181" s="1201" t="s">
        <v>967</v>
      </c>
      <c r="C181" s="1201"/>
      <c r="D181" s="1201"/>
      <c r="E181" s="1201"/>
      <c r="F181" s="1201"/>
      <c r="G181" s="1201"/>
      <c r="H181" s="1201"/>
      <c r="I181" s="1201"/>
      <c r="J181" s="64">
        <f>J50+J51+J52</f>
        <v>0</v>
      </c>
      <c r="K181" s="64">
        <f>K53+K52+K51+K56+K57+K58+K59+K60+K61+K62+K63+K64+K66+K67+K68+K69+K70+K71+K72+K73</f>
        <v>0</v>
      </c>
      <c r="L181" s="64">
        <f>L53+L52+L51+L56+L57+L58+L59+L60+L61+L62+L63+L64+L66+L67+L68+L69+L70+L71+L72+L73</f>
        <v>0</v>
      </c>
    </row>
    <row r="182" spans="2:12" ht="15.75" hidden="1" customHeight="1" x14ac:dyDescent="0.25">
      <c r="B182" s="1201" t="s">
        <v>968</v>
      </c>
      <c r="C182" s="1201"/>
      <c r="D182" s="1201"/>
      <c r="E182" s="1201"/>
      <c r="F182" s="1201"/>
      <c r="G182" s="1201"/>
      <c r="H182" s="1201"/>
      <c r="I182" s="1201"/>
      <c r="J182" s="64" t="e">
        <f>#REF!+#REF!</f>
        <v>#REF!</v>
      </c>
      <c r="K182" s="64" t="e">
        <f>K54+#REF!</f>
        <v>#REF!</v>
      </c>
      <c r="L182" s="64" t="e">
        <f>L54+#REF!</f>
        <v>#REF!</v>
      </c>
    </row>
    <row r="183" spans="2:12" ht="15.75" hidden="1" customHeight="1" x14ac:dyDescent="0.25">
      <c r="B183" s="1201" t="s">
        <v>260</v>
      </c>
      <c r="C183" s="1201"/>
      <c r="D183" s="1201"/>
      <c r="E183" s="1201"/>
      <c r="F183" s="1201"/>
      <c r="G183" s="1201"/>
      <c r="H183" s="1201"/>
      <c r="I183" s="1201"/>
      <c r="J183" s="64" t="e">
        <f>SUM(J179:J182)</f>
        <v>#REF!</v>
      </c>
      <c r="K183" s="64" t="e">
        <f>SUM(K179:K182)</f>
        <v>#REF!</v>
      </c>
      <c r="L183" s="64" t="e">
        <f>SUM(L179:L182)</f>
        <v>#REF!</v>
      </c>
    </row>
    <row r="184" spans="2:12" ht="15.75" hidden="1" customHeight="1" x14ac:dyDescent="0.25">
      <c r="B184" s="1352"/>
      <c r="C184" s="1352"/>
      <c r="D184" s="1352"/>
      <c r="E184" s="1352"/>
      <c r="F184" s="1352"/>
      <c r="G184" s="1352"/>
      <c r="H184" s="1352"/>
      <c r="I184" s="1352"/>
      <c r="J184" s="64" t="s">
        <v>959</v>
      </c>
      <c r="K184" s="64">
        <f>[2]П2ДОХОДЫ!E171</f>
        <v>840336062.30999994</v>
      </c>
      <c r="L184" s="435"/>
    </row>
    <row r="185" spans="2:12" ht="15.75" hidden="1" customHeight="1" x14ac:dyDescent="0.25">
      <c r="J185" s="28" t="s">
        <v>970</v>
      </c>
      <c r="K185" s="360">
        <f>[2]П4ВСР!Z726</f>
        <v>969684767.25000012</v>
      </c>
    </row>
    <row r="186" spans="2:12" ht="15.75" hidden="1" customHeight="1" x14ac:dyDescent="0.25">
      <c r="I186" s="909"/>
      <c r="J186" s="28" t="s">
        <v>971</v>
      </c>
      <c r="K186" s="360">
        <f>[2]П2ДОХОДЫ!E13</f>
        <v>222865647.22000003</v>
      </c>
    </row>
    <row r="187" spans="2:12" ht="15.75" hidden="1" customHeight="1" x14ac:dyDescent="0.25">
      <c r="J187" s="28" t="s">
        <v>972</v>
      </c>
      <c r="K187" s="360">
        <f>K160-K185</f>
        <v>-129348704.94000018</v>
      </c>
    </row>
    <row r="188" spans="2:12" ht="15.75" hidden="1" customHeight="1" x14ac:dyDescent="0.25">
      <c r="K188" s="360">
        <f>[2]П1ИВФ!C18</f>
        <v>2360000</v>
      </c>
    </row>
    <row r="189" spans="2:12" ht="15.75" hidden="1" customHeight="1" x14ac:dyDescent="0.25">
      <c r="K189" s="3">
        <f>K188/K186*100</f>
        <v>1.0589339494167735</v>
      </c>
    </row>
    <row r="190" spans="2:12" ht="15.75" hidden="1" customHeight="1" x14ac:dyDescent="0.25"/>
    <row r="191" spans="2:12" hidden="1" x14ac:dyDescent="0.25">
      <c r="J191" s="64"/>
      <c r="K191" s="360"/>
    </row>
    <row r="192" spans="2:12" hidden="1" x14ac:dyDescent="0.25">
      <c r="K192" s="360"/>
    </row>
    <row r="193" spans="10:12" x14ac:dyDescent="0.25">
      <c r="J193" s="28" t="s">
        <v>959</v>
      </c>
      <c r="K193" s="360">
        <f>П2ДОХОДЫ!E177</f>
        <v>877542628.18000007</v>
      </c>
    </row>
    <row r="194" spans="10:12" x14ac:dyDescent="0.25">
      <c r="J194" s="28" t="s">
        <v>1560</v>
      </c>
      <c r="K194" s="360">
        <f>П4ВСР!Z765</f>
        <v>1006891333.1199999</v>
      </c>
    </row>
    <row r="195" spans="10:12" x14ac:dyDescent="0.25">
      <c r="J195" s="28" t="s">
        <v>971</v>
      </c>
      <c r="K195" s="360">
        <f>П2ДОХОДЫ!E13</f>
        <v>231131347.21999997</v>
      </c>
    </row>
    <row r="196" spans="10:12" x14ac:dyDescent="0.25">
      <c r="J196" s="28" t="s">
        <v>972</v>
      </c>
      <c r="K196" s="360">
        <f>K193-K194</f>
        <v>-129348704.93999982</v>
      </c>
    </row>
    <row r="197" spans="10:12" x14ac:dyDescent="0.25">
      <c r="K197" s="360">
        <f>П1ИВФ!C18</f>
        <v>2360000</v>
      </c>
    </row>
    <row r="198" spans="10:12" x14ac:dyDescent="0.25">
      <c r="K198" s="3">
        <f>K197/K195*100</f>
        <v>1.0210644416629728</v>
      </c>
      <c r="L198" s="360"/>
    </row>
    <row r="199" spans="10:12" x14ac:dyDescent="0.25">
      <c r="L199" s="360"/>
    </row>
    <row r="200" spans="10:12" x14ac:dyDescent="0.25">
      <c r="K200" s="28"/>
      <c r="L200" s="360"/>
    </row>
    <row r="201" spans="10:12" x14ac:dyDescent="0.25">
      <c r="K201" s="28"/>
      <c r="L201" s="360"/>
    </row>
    <row r="202" spans="10:12" x14ac:dyDescent="0.25">
      <c r="J202" s="76"/>
      <c r="K202" s="28"/>
      <c r="L202" s="360"/>
    </row>
    <row r="203" spans="10:12" x14ac:dyDescent="0.25">
      <c r="J203" s="433"/>
    </row>
  </sheetData>
  <mergeCells count="162">
    <mergeCell ref="A47:A48"/>
    <mergeCell ref="C47:C48"/>
    <mergeCell ref="D47:D48"/>
    <mergeCell ref="E47:E48"/>
    <mergeCell ref="F47:G48"/>
    <mergeCell ref="D31:D32"/>
    <mergeCell ref="E31:E32"/>
    <mergeCell ref="F31:G32"/>
    <mergeCell ref="F33:G33"/>
    <mergeCell ref="F34:G34"/>
    <mergeCell ref="F35:G35"/>
    <mergeCell ref="F36:G36"/>
    <mergeCell ref="E43:E44"/>
    <mergeCell ref="F43:G44"/>
    <mergeCell ref="B49:I49"/>
    <mergeCell ref="F50:G50"/>
    <mergeCell ref="I43:I44"/>
    <mergeCell ref="B45:B46"/>
    <mergeCell ref="C45:C46"/>
    <mergeCell ref="D45:D46"/>
    <mergeCell ref="E45:E46"/>
    <mergeCell ref="F45:G46"/>
    <mergeCell ref="I45:I46"/>
    <mergeCell ref="I47:I48"/>
    <mergeCell ref="B27:J27"/>
    <mergeCell ref="B37:I37"/>
    <mergeCell ref="B40:I40"/>
    <mergeCell ref="F57:G57"/>
    <mergeCell ref="F58:G58"/>
    <mergeCell ref="A28:A29"/>
    <mergeCell ref="B28:B29"/>
    <mergeCell ref="C28:C29"/>
    <mergeCell ref="D28:D29"/>
    <mergeCell ref="E28:G29"/>
    <mergeCell ref="H28:H29"/>
    <mergeCell ref="I28:I29"/>
    <mergeCell ref="J28:L28"/>
    <mergeCell ref="A31:A32"/>
    <mergeCell ref="B30:I30"/>
    <mergeCell ref="I31:I32"/>
    <mergeCell ref="B42:I42"/>
    <mergeCell ref="B31:B32"/>
    <mergeCell ref="C31:C32"/>
    <mergeCell ref="A43:A44"/>
    <mergeCell ref="A45:A46"/>
    <mergeCell ref="B43:B44"/>
    <mergeCell ref="C43:C44"/>
    <mergeCell ref="D43:D44"/>
    <mergeCell ref="F59:G59"/>
    <mergeCell ref="F53:G53"/>
    <mergeCell ref="F51:G51"/>
    <mergeCell ref="A1:L1"/>
    <mergeCell ref="A2:L2"/>
    <mergeCell ref="A4:L4"/>
    <mergeCell ref="A5:A6"/>
    <mergeCell ref="B5:H6"/>
    <mergeCell ref="I5:I6"/>
    <mergeCell ref="J5:L5"/>
    <mergeCell ref="B19:H19"/>
    <mergeCell ref="B20:H20"/>
    <mergeCell ref="B21:H21"/>
    <mergeCell ref="B22:H22"/>
    <mergeCell ref="B23:H23"/>
    <mergeCell ref="B24:I24"/>
    <mergeCell ref="B14:I14"/>
    <mergeCell ref="B16:J16"/>
    <mergeCell ref="A17:A18"/>
    <mergeCell ref="B17:H18"/>
    <mergeCell ref="I17:I18"/>
    <mergeCell ref="J17:L17"/>
    <mergeCell ref="F38:G38"/>
    <mergeCell ref="F39:G39"/>
    <mergeCell ref="B162:I162"/>
    <mergeCell ref="B172:I172"/>
    <mergeCell ref="B174:I174"/>
    <mergeCell ref="F93:G93"/>
    <mergeCell ref="F94:G94"/>
    <mergeCell ref="F95:G95"/>
    <mergeCell ref="B96:I96"/>
    <mergeCell ref="F84:G84"/>
    <mergeCell ref="F85:G85"/>
    <mergeCell ref="F86:G86"/>
    <mergeCell ref="F87:G87"/>
    <mergeCell ref="F88:G88"/>
    <mergeCell ref="F89:G89"/>
    <mergeCell ref="F129:G129"/>
    <mergeCell ref="F130:G130"/>
    <mergeCell ref="F121:G121"/>
    <mergeCell ref="F117:G117"/>
    <mergeCell ref="F118:G118"/>
    <mergeCell ref="F119:G119"/>
    <mergeCell ref="F120:G120"/>
    <mergeCell ref="F122:G122"/>
    <mergeCell ref="B140:I140"/>
    <mergeCell ref="F132:G132"/>
    <mergeCell ref="F133:G133"/>
    <mergeCell ref="B181:I181"/>
    <mergeCell ref="B182:I182"/>
    <mergeCell ref="B183:I183"/>
    <mergeCell ref="B184:I184"/>
    <mergeCell ref="F148:G148"/>
    <mergeCell ref="F138:G138"/>
    <mergeCell ref="F139:G139"/>
    <mergeCell ref="F141:G141"/>
    <mergeCell ref="F142:G142"/>
    <mergeCell ref="F149:G149"/>
    <mergeCell ref="F150:G150"/>
    <mergeCell ref="B151:I151"/>
    <mergeCell ref="B167:I167"/>
    <mergeCell ref="B173:I173"/>
    <mergeCell ref="B178:I178"/>
    <mergeCell ref="B179:I179"/>
    <mergeCell ref="B180:I180"/>
    <mergeCell ref="A155:H155"/>
    <mergeCell ref="I155:J155"/>
    <mergeCell ref="A159:B159"/>
    <mergeCell ref="B161:I161"/>
    <mergeCell ref="B175:I175"/>
    <mergeCell ref="B176:I176"/>
    <mergeCell ref="B177:I177"/>
    <mergeCell ref="F115:G115"/>
    <mergeCell ref="B116:I116"/>
    <mergeCell ref="F97:G97"/>
    <mergeCell ref="F90:G90"/>
    <mergeCell ref="F91:G91"/>
    <mergeCell ref="F92:G92"/>
    <mergeCell ref="F123:G123"/>
    <mergeCell ref="F124:G124"/>
    <mergeCell ref="C98:C108"/>
    <mergeCell ref="A98:A108"/>
    <mergeCell ref="D98:D108"/>
    <mergeCell ref="E98:E108"/>
    <mergeCell ref="F98:G108"/>
    <mergeCell ref="I98:I108"/>
    <mergeCell ref="B109:I109"/>
    <mergeCell ref="F110:G110"/>
    <mergeCell ref="F52:G52"/>
    <mergeCell ref="F54:G54"/>
    <mergeCell ref="F55:G55"/>
    <mergeCell ref="F71:G71"/>
    <mergeCell ref="F72:G72"/>
    <mergeCell ref="F73:G73"/>
    <mergeCell ref="F74:G74"/>
    <mergeCell ref="F75:G75"/>
    <mergeCell ref="F76:G76"/>
    <mergeCell ref="F78:G78"/>
    <mergeCell ref="F79:G79"/>
    <mergeCell ref="F80:G80"/>
    <mergeCell ref="F81:G81"/>
    <mergeCell ref="F82:G82"/>
    <mergeCell ref="F83:G83"/>
    <mergeCell ref="F77:G77"/>
    <mergeCell ref="F56:G56"/>
    <mergeCell ref="F126:G126"/>
    <mergeCell ref="F127:G127"/>
    <mergeCell ref="F128:G128"/>
    <mergeCell ref="F134:G134"/>
    <mergeCell ref="F135:G135"/>
    <mergeCell ref="F125:G125"/>
    <mergeCell ref="B131:I131"/>
    <mergeCell ref="B136:I136"/>
    <mergeCell ref="F137:G137"/>
  </mergeCells>
  <pageMargins left="0.70866141732283472" right="0.70866141732283472" top="0.74803149606299213" bottom="0" header="0.31496062992125984" footer="0.31496062992125984"/>
  <pageSetup paperSize="9" scale="77"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1"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335" t="s">
        <v>987</v>
      </c>
      <c r="B1" s="1335"/>
      <c r="C1" s="1335"/>
      <c r="D1" s="1335"/>
      <c r="E1" s="1335"/>
      <c r="F1" s="1335"/>
      <c r="G1" s="1335"/>
      <c r="H1" s="1335"/>
      <c r="I1" s="1335"/>
      <c r="J1" s="1335"/>
      <c r="K1" s="1335"/>
      <c r="L1" s="1335"/>
    </row>
    <row r="2" spans="1:12" x14ac:dyDescent="0.25">
      <c r="A2" s="1131" t="s">
        <v>973</v>
      </c>
      <c r="B2" s="1131"/>
      <c r="C2" s="1131"/>
      <c r="D2" s="1131"/>
      <c r="E2" s="1131"/>
      <c r="F2" s="1131"/>
      <c r="G2" s="1131"/>
      <c r="H2" s="1131"/>
      <c r="I2" s="1131"/>
      <c r="J2" s="1131"/>
      <c r="K2" s="1131"/>
      <c r="L2" s="1131"/>
    </row>
    <row r="4" spans="1:12" ht="12" customHeight="1" x14ac:dyDescent="0.25">
      <c r="A4" s="1308" t="s">
        <v>934</v>
      </c>
      <c r="B4" s="1308"/>
      <c r="C4" s="1308"/>
      <c r="D4" s="1308"/>
      <c r="E4" s="1308"/>
      <c r="F4" s="1308"/>
      <c r="G4" s="1308"/>
      <c r="H4" s="1308"/>
      <c r="I4" s="1308"/>
      <c r="J4" s="1308"/>
      <c r="K4" s="1308"/>
      <c r="L4" s="1308"/>
    </row>
    <row r="5" spans="1:12" x14ac:dyDescent="0.25">
      <c r="A5" s="1336" t="s">
        <v>935</v>
      </c>
      <c r="B5" s="1321" t="s">
        <v>121</v>
      </c>
      <c r="C5" s="1322"/>
      <c r="D5" s="1322"/>
      <c r="E5" s="1322"/>
      <c r="F5" s="1322"/>
      <c r="G5" s="1322"/>
      <c r="H5" s="1323"/>
      <c r="I5" s="1132" t="s">
        <v>1</v>
      </c>
      <c r="J5" s="1136" t="s">
        <v>936</v>
      </c>
      <c r="K5" s="1137"/>
      <c r="L5" s="1138"/>
    </row>
    <row r="6" spans="1:12" x14ac:dyDescent="0.25">
      <c r="A6" s="1337"/>
      <c r="B6" s="1324"/>
      <c r="C6" s="1325"/>
      <c r="D6" s="1325"/>
      <c r="E6" s="1325"/>
      <c r="F6" s="1325"/>
      <c r="G6" s="1325"/>
      <c r="H6" s="1326"/>
      <c r="I6" s="1133"/>
      <c r="J6" s="523">
        <v>2018</v>
      </c>
      <c r="K6" s="78">
        <v>2019</v>
      </c>
      <c r="L6" s="78">
        <v>2020</v>
      </c>
    </row>
    <row r="7" spans="1:12" ht="100.5" customHeight="1" x14ac:dyDescent="0.25">
      <c r="A7" s="344">
        <v>1</v>
      </c>
      <c r="B7" s="345" t="s">
        <v>15</v>
      </c>
      <c r="C7" s="345" t="s">
        <v>1055</v>
      </c>
      <c r="D7" s="345" t="s">
        <v>132</v>
      </c>
      <c r="E7" s="554" t="s">
        <v>1056</v>
      </c>
      <c r="F7" s="345" t="s">
        <v>124</v>
      </c>
      <c r="G7" s="345" t="s">
        <v>1057</v>
      </c>
      <c r="H7" s="554" t="s">
        <v>1058</v>
      </c>
      <c r="I7" s="505" t="s">
        <v>1059</v>
      </c>
      <c r="J7" s="347">
        <v>25192386</v>
      </c>
      <c r="K7" s="41">
        <v>0</v>
      </c>
      <c r="L7" s="41">
        <v>0</v>
      </c>
    </row>
    <row r="8" spans="1:12" hidden="1" x14ac:dyDescent="0.25">
      <c r="A8" s="344"/>
      <c r="B8" s="345"/>
      <c r="C8" s="345"/>
      <c r="D8" s="345"/>
      <c r="E8" s="345"/>
      <c r="F8" s="345"/>
      <c r="G8" s="345"/>
      <c r="H8" s="345"/>
      <c r="I8" s="451"/>
      <c r="J8" s="317">
        <v>0</v>
      </c>
      <c r="K8" s="41">
        <v>0</v>
      </c>
      <c r="L8" s="41">
        <v>0</v>
      </c>
    </row>
    <row r="9" spans="1:12" hidden="1" x14ac:dyDescent="0.25">
      <c r="A9" s="344"/>
      <c r="B9" s="350"/>
      <c r="C9" s="350"/>
      <c r="D9" s="350"/>
      <c r="E9" s="350"/>
      <c r="F9" s="350"/>
      <c r="G9" s="350"/>
      <c r="H9" s="350"/>
      <c r="I9" s="436"/>
      <c r="J9" s="525">
        <v>0</v>
      </c>
      <c r="K9" s="110">
        <v>0</v>
      </c>
      <c r="L9" s="110">
        <v>0</v>
      </c>
    </row>
    <row r="10" spans="1:12" hidden="1" x14ac:dyDescent="0.25">
      <c r="A10" s="344"/>
      <c r="B10" s="350"/>
      <c r="C10" s="350"/>
      <c r="D10" s="350"/>
      <c r="E10" s="350"/>
      <c r="F10" s="350"/>
      <c r="G10" s="350"/>
      <c r="H10" s="350"/>
      <c r="I10" s="436"/>
      <c r="J10" s="81">
        <v>0</v>
      </c>
      <c r="K10" s="110">
        <v>0</v>
      </c>
      <c r="L10" s="110">
        <v>0</v>
      </c>
    </row>
    <row r="11" spans="1:12" hidden="1" x14ac:dyDescent="0.25">
      <c r="A11" s="344"/>
      <c r="B11" s="350"/>
      <c r="C11" s="350"/>
      <c r="D11" s="350"/>
      <c r="E11" s="350"/>
      <c r="F11" s="350"/>
      <c r="G11" s="350"/>
      <c r="H11" s="350"/>
      <c r="I11" s="436"/>
      <c r="J11" s="351"/>
      <c r="K11" s="365"/>
      <c r="L11" s="365"/>
    </row>
    <row r="12" spans="1:12" hidden="1" x14ac:dyDescent="0.25">
      <c r="A12" s="344"/>
      <c r="B12" s="350"/>
      <c r="C12" s="350"/>
      <c r="D12" s="350"/>
      <c r="E12" s="350"/>
      <c r="F12" s="350"/>
      <c r="G12" s="350"/>
      <c r="H12" s="350"/>
      <c r="I12" s="436"/>
      <c r="J12" s="351"/>
      <c r="K12" s="365"/>
      <c r="L12" s="365"/>
    </row>
    <row r="13" spans="1:12" hidden="1" x14ac:dyDescent="0.25">
      <c r="A13" s="344"/>
      <c r="B13" s="350"/>
      <c r="C13" s="350"/>
      <c r="D13" s="350"/>
      <c r="E13" s="350"/>
      <c r="F13" s="350"/>
      <c r="G13" s="350"/>
      <c r="H13" s="350"/>
      <c r="I13" s="473"/>
      <c r="J13" s="351"/>
      <c r="K13" s="110"/>
      <c r="L13" s="110"/>
    </row>
    <row r="14" spans="1:12" ht="13.5" hidden="1" customHeight="1" x14ac:dyDescent="0.25">
      <c r="A14" s="344"/>
      <c r="B14" s="350"/>
      <c r="C14" s="350"/>
      <c r="D14" s="350"/>
      <c r="E14" s="350"/>
      <c r="F14" s="350"/>
      <c r="G14" s="350"/>
      <c r="H14" s="350"/>
      <c r="I14" s="346"/>
      <c r="J14" s="351"/>
      <c r="K14" s="110">
        <v>0</v>
      </c>
      <c r="L14" s="110">
        <v>0</v>
      </c>
    </row>
    <row r="15" spans="1:12" hidden="1" x14ac:dyDescent="0.25">
      <c r="A15" s="344"/>
      <c r="B15" s="350"/>
      <c r="C15" s="350"/>
      <c r="D15" s="350"/>
      <c r="E15" s="350"/>
      <c r="F15" s="350"/>
      <c r="G15" s="350"/>
      <c r="H15" s="350"/>
      <c r="I15" s="346"/>
      <c r="J15" s="351"/>
      <c r="K15" s="110">
        <v>0</v>
      </c>
      <c r="L15" s="110">
        <v>0</v>
      </c>
    </row>
    <row r="16" spans="1:12" ht="0.75" hidden="1" customHeight="1" x14ac:dyDescent="0.25">
      <c r="A16" s="344"/>
      <c r="B16" s="350"/>
      <c r="C16" s="350"/>
      <c r="D16" s="350"/>
      <c r="E16" s="350"/>
      <c r="F16" s="350"/>
      <c r="G16" s="350"/>
      <c r="H16" s="350"/>
      <c r="I16" s="346"/>
      <c r="J16" s="351"/>
      <c r="K16" s="110">
        <v>0</v>
      </c>
      <c r="L16" s="110">
        <v>0</v>
      </c>
    </row>
    <row r="17" spans="1:12" hidden="1" x14ac:dyDescent="0.25">
      <c r="A17" s="344"/>
      <c r="B17" s="350"/>
      <c r="C17" s="350"/>
      <c r="D17" s="350"/>
      <c r="E17" s="350"/>
      <c r="F17" s="350"/>
      <c r="G17" s="350"/>
      <c r="H17" s="350"/>
      <c r="I17" s="353"/>
      <c r="J17" s="351"/>
      <c r="K17" s="110">
        <v>0</v>
      </c>
      <c r="L17" s="110">
        <v>0</v>
      </c>
    </row>
    <row r="18" spans="1:12" ht="15" hidden="1" customHeight="1" x14ac:dyDescent="0.25">
      <c r="A18" s="344"/>
      <c r="B18" s="350"/>
      <c r="C18" s="350"/>
      <c r="D18" s="350"/>
      <c r="E18" s="350"/>
      <c r="F18" s="350"/>
      <c r="G18" s="350"/>
      <c r="H18" s="350"/>
      <c r="I18" s="352"/>
      <c r="J18" s="351"/>
      <c r="K18" s="110">
        <v>0</v>
      </c>
      <c r="L18" s="110">
        <v>0</v>
      </c>
    </row>
    <row r="19" spans="1:12" hidden="1" x14ac:dyDescent="0.25">
      <c r="A19" s="344"/>
      <c r="B19" s="350"/>
      <c r="C19" s="350"/>
      <c r="D19" s="350"/>
      <c r="E19" s="350"/>
      <c r="F19" s="350"/>
      <c r="G19" s="350"/>
      <c r="H19" s="350"/>
      <c r="I19" s="352"/>
      <c r="J19" s="351"/>
      <c r="K19" s="110">
        <v>0</v>
      </c>
      <c r="L19" s="110">
        <v>0</v>
      </c>
    </row>
    <row r="20" spans="1:12" hidden="1" x14ac:dyDescent="0.25">
      <c r="A20" s="344"/>
      <c r="B20" s="350"/>
      <c r="C20" s="350"/>
      <c r="D20" s="350"/>
      <c r="E20" s="350"/>
      <c r="F20" s="350"/>
      <c r="G20" s="350"/>
      <c r="H20" s="350"/>
      <c r="I20" s="353"/>
      <c r="J20" s="351"/>
      <c r="K20" s="110">
        <v>0</v>
      </c>
      <c r="L20" s="110">
        <v>0</v>
      </c>
    </row>
    <row r="21" spans="1:12" hidden="1" x14ac:dyDescent="0.25">
      <c r="A21" s="344"/>
      <c r="B21" s="350"/>
      <c r="C21" s="350"/>
      <c r="D21" s="350"/>
      <c r="E21" s="350"/>
      <c r="F21" s="350"/>
      <c r="G21" s="350"/>
      <c r="H21" s="350"/>
      <c r="I21" s="353"/>
      <c r="J21" s="351"/>
      <c r="K21" s="110">
        <v>0</v>
      </c>
      <c r="L21" s="110">
        <v>0</v>
      </c>
    </row>
    <row r="22" spans="1:12" hidden="1" x14ac:dyDescent="0.25">
      <c r="A22" s="344"/>
      <c r="B22" s="350"/>
      <c r="C22" s="350"/>
      <c r="D22" s="350"/>
      <c r="E22" s="350"/>
      <c r="F22" s="350"/>
      <c r="G22" s="350"/>
      <c r="H22" s="350"/>
      <c r="I22" s="354"/>
      <c r="J22" s="351"/>
      <c r="K22" s="110">
        <v>0</v>
      </c>
      <c r="L22" s="110">
        <v>0</v>
      </c>
    </row>
    <row r="23" spans="1:12" hidden="1" x14ac:dyDescent="0.25">
      <c r="A23" s="344"/>
      <c r="B23" s="350"/>
      <c r="C23" s="350"/>
      <c r="D23" s="350"/>
      <c r="E23" s="350"/>
      <c r="F23" s="350"/>
      <c r="G23" s="350"/>
      <c r="H23" s="350"/>
      <c r="I23" s="352"/>
      <c r="J23" s="351"/>
      <c r="K23" s="110">
        <v>0</v>
      </c>
      <c r="L23" s="110">
        <v>0</v>
      </c>
    </row>
    <row r="24" spans="1:12" hidden="1" x14ac:dyDescent="0.25">
      <c r="A24" s="344"/>
      <c r="B24" s="350"/>
      <c r="C24" s="350"/>
      <c r="D24" s="350"/>
      <c r="E24" s="350"/>
      <c r="F24" s="350"/>
      <c r="G24" s="350"/>
      <c r="H24" s="350"/>
      <c r="I24" s="346"/>
      <c r="J24" s="351"/>
      <c r="K24" s="110">
        <v>0</v>
      </c>
      <c r="L24" s="110">
        <v>0</v>
      </c>
    </row>
    <row r="25" spans="1:12" hidden="1" x14ac:dyDescent="0.25">
      <c r="A25" s="344"/>
      <c r="B25" s="350"/>
      <c r="C25" s="350"/>
      <c r="D25" s="350"/>
      <c r="E25" s="350"/>
      <c r="F25" s="350"/>
      <c r="G25" s="350"/>
      <c r="H25" s="350"/>
      <c r="I25" s="346"/>
      <c r="J25" s="351"/>
      <c r="K25" s="110">
        <v>0</v>
      </c>
      <c r="L25" s="110">
        <v>0</v>
      </c>
    </row>
    <row r="26" spans="1:12" hidden="1" x14ac:dyDescent="0.25">
      <c r="A26" s="344"/>
      <c r="B26" s="350"/>
      <c r="C26" s="350"/>
      <c r="D26" s="350"/>
      <c r="E26" s="350"/>
      <c r="F26" s="350"/>
      <c r="G26" s="350"/>
      <c r="H26" s="350"/>
      <c r="I26" s="346"/>
      <c r="J26" s="351"/>
      <c r="K26" s="110">
        <v>0</v>
      </c>
      <c r="L26" s="110">
        <v>0</v>
      </c>
    </row>
    <row r="27" spans="1:12" hidden="1" x14ac:dyDescent="0.25">
      <c r="A27" s="344"/>
      <c r="B27" s="350"/>
      <c r="C27" s="350"/>
      <c r="D27" s="350"/>
      <c r="E27" s="350"/>
      <c r="F27" s="350"/>
      <c r="G27" s="350"/>
      <c r="H27" s="350"/>
      <c r="I27" s="346"/>
      <c r="J27" s="351"/>
      <c r="K27" s="110">
        <v>0</v>
      </c>
      <c r="L27" s="110">
        <v>0</v>
      </c>
    </row>
    <row r="28" spans="1:12" hidden="1" x14ac:dyDescent="0.25">
      <c r="A28" s="344"/>
      <c r="B28" s="350"/>
      <c r="C28" s="350"/>
      <c r="D28" s="350"/>
      <c r="E28" s="350"/>
      <c r="F28" s="350"/>
      <c r="G28" s="350"/>
      <c r="H28" s="350"/>
      <c r="I28" s="355"/>
      <c r="J28" s="351"/>
      <c r="K28" s="110">
        <v>0</v>
      </c>
      <c r="L28" s="110">
        <v>0</v>
      </c>
    </row>
    <row r="29" spans="1:12" hidden="1" x14ac:dyDescent="0.25">
      <c r="A29" s="344"/>
      <c r="B29" s="350"/>
      <c r="C29" s="350"/>
      <c r="D29" s="350"/>
      <c r="E29" s="350"/>
      <c r="F29" s="350"/>
      <c r="G29" s="350"/>
      <c r="H29" s="350"/>
      <c r="I29" s="346"/>
      <c r="J29" s="351"/>
      <c r="K29" s="110">
        <v>0</v>
      </c>
      <c r="L29" s="110">
        <v>0</v>
      </c>
    </row>
    <row r="30" spans="1:12" hidden="1" x14ac:dyDescent="0.25">
      <c r="A30" s="344"/>
      <c r="B30" s="350"/>
      <c r="C30" s="350"/>
      <c r="D30" s="350"/>
      <c r="E30" s="350"/>
      <c r="F30" s="350"/>
      <c r="G30" s="350"/>
      <c r="H30" s="350"/>
      <c r="I30" s="346"/>
      <c r="J30" s="351"/>
      <c r="K30" s="110">
        <v>0</v>
      </c>
      <c r="L30" s="110">
        <v>0</v>
      </c>
    </row>
    <row r="31" spans="1:12" hidden="1" x14ac:dyDescent="0.25">
      <c r="A31" s="344"/>
      <c r="B31" s="350"/>
      <c r="C31" s="350"/>
      <c r="D31" s="350"/>
      <c r="E31" s="350"/>
      <c r="F31" s="350"/>
      <c r="G31" s="350"/>
      <c r="H31" s="350"/>
      <c r="I31" s="346"/>
      <c r="J31" s="351"/>
      <c r="K31" s="110">
        <v>0</v>
      </c>
      <c r="L31" s="110">
        <v>0</v>
      </c>
    </row>
    <row r="32" spans="1:12" hidden="1" x14ac:dyDescent="0.25">
      <c r="A32" s="344"/>
      <c r="B32" s="350"/>
      <c r="C32" s="350"/>
      <c r="D32" s="350"/>
      <c r="E32" s="350"/>
      <c r="F32" s="350"/>
      <c r="G32" s="350"/>
      <c r="H32" s="350"/>
      <c r="I32" s="346"/>
      <c r="J32" s="351"/>
      <c r="K32" s="110">
        <v>0</v>
      </c>
      <c r="L32" s="110">
        <v>0</v>
      </c>
    </row>
    <row r="33" spans="1:12" hidden="1" x14ac:dyDescent="0.25">
      <c r="A33" s="344"/>
      <c r="B33" s="350"/>
      <c r="C33" s="350"/>
      <c r="D33" s="350"/>
      <c r="E33" s="350"/>
      <c r="F33" s="350"/>
      <c r="G33" s="350"/>
      <c r="H33" s="350"/>
      <c r="I33" s="356"/>
      <c r="J33" s="351"/>
      <c r="K33" s="110">
        <v>0</v>
      </c>
      <c r="L33" s="110">
        <v>0</v>
      </c>
    </row>
    <row r="34" spans="1:12" hidden="1" x14ac:dyDescent="0.25">
      <c r="A34" s="344"/>
      <c r="B34" s="350"/>
      <c r="C34" s="350"/>
      <c r="D34" s="350"/>
      <c r="E34" s="350"/>
      <c r="F34" s="350"/>
      <c r="G34" s="350"/>
      <c r="H34" s="350"/>
      <c r="I34" s="354"/>
      <c r="J34" s="351"/>
      <c r="K34" s="110">
        <v>0</v>
      </c>
      <c r="L34" s="110">
        <v>0</v>
      </c>
    </row>
    <row r="35" spans="1:12" hidden="1" x14ac:dyDescent="0.25">
      <c r="A35" s="344"/>
      <c r="B35" s="350"/>
      <c r="C35" s="350"/>
      <c r="D35" s="350"/>
      <c r="E35" s="350"/>
      <c r="F35" s="350"/>
      <c r="G35" s="350"/>
      <c r="H35" s="350"/>
      <c r="I35" s="451"/>
      <c r="J35" s="351"/>
      <c r="K35" s="365"/>
      <c r="L35" s="110"/>
    </row>
    <row r="36" spans="1:12" hidden="1" x14ac:dyDescent="0.25">
      <c r="A36" s="344"/>
      <c r="B36" s="350"/>
      <c r="C36" s="350"/>
      <c r="D36" s="350"/>
      <c r="E36" s="350"/>
      <c r="F36" s="350"/>
      <c r="G36" s="350"/>
      <c r="H36" s="350"/>
      <c r="I36" s="451"/>
      <c r="J36" s="351"/>
      <c r="K36" s="365"/>
      <c r="L36" s="365"/>
    </row>
    <row r="37" spans="1:12" hidden="1" x14ac:dyDescent="0.25">
      <c r="A37" s="344"/>
      <c r="B37" s="350"/>
      <c r="C37" s="350"/>
      <c r="D37" s="350"/>
      <c r="E37" s="350"/>
      <c r="F37" s="350"/>
      <c r="G37" s="350"/>
      <c r="H37" s="350"/>
      <c r="I37" s="453"/>
      <c r="J37" s="351"/>
      <c r="K37" s="110">
        <v>0</v>
      </c>
      <c r="L37" s="110">
        <v>0</v>
      </c>
    </row>
    <row r="38" spans="1:12" hidden="1" x14ac:dyDescent="0.25">
      <c r="A38" s="344"/>
      <c r="B38" s="350"/>
      <c r="C38" s="350"/>
      <c r="D38" s="350"/>
      <c r="E38" s="350"/>
      <c r="F38" s="350"/>
      <c r="G38" s="350"/>
      <c r="H38" s="350"/>
      <c r="I38" s="352"/>
      <c r="J38" s="351"/>
      <c r="K38" s="110">
        <v>0</v>
      </c>
      <c r="L38" s="110">
        <v>0</v>
      </c>
    </row>
    <row r="39" spans="1:12" hidden="1" x14ac:dyDescent="0.25">
      <c r="A39" s="344"/>
      <c r="B39" s="350"/>
      <c r="C39" s="350"/>
      <c r="D39" s="350"/>
      <c r="E39" s="350"/>
      <c r="F39" s="350"/>
      <c r="G39" s="350"/>
      <c r="H39" s="350"/>
      <c r="I39" s="346"/>
      <c r="J39" s="351"/>
      <c r="K39" s="110">
        <v>0</v>
      </c>
      <c r="L39" s="110">
        <v>0</v>
      </c>
    </row>
    <row r="40" spans="1:12" ht="14.25" hidden="1" customHeight="1" x14ac:dyDescent="0.25">
      <c r="A40" s="344"/>
      <c r="B40" s="350"/>
      <c r="C40" s="350"/>
      <c r="D40" s="350"/>
      <c r="E40" s="350"/>
      <c r="F40" s="350"/>
      <c r="G40" s="350"/>
      <c r="H40" s="350"/>
      <c r="I40" s="346"/>
      <c r="J40" s="351"/>
      <c r="K40" s="110">
        <v>0</v>
      </c>
      <c r="L40" s="110">
        <v>0</v>
      </c>
    </row>
    <row r="41" spans="1:12" hidden="1" x14ac:dyDescent="0.25">
      <c r="A41" s="344"/>
      <c r="B41" s="350"/>
      <c r="C41" s="350"/>
      <c r="D41" s="350"/>
      <c r="E41" s="350"/>
      <c r="F41" s="350"/>
      <c r="G41" s="350"/>
      <c r="H41" s="350"/>
      <c r="I41" s="355"/>
      <c r="J41" s="351"/>
      <c r="K41" s="110">
        <v>0</v>
      </c>
      <c r="L41" s="110">
        <v>0</v>
      </c>
    </row>
    <row r="42" spans="1:12" hidden="1" x14ac:dyDescent="0.25">
      <c r="A42" s="344"/>
      <c r="B42" s="350"/>
      <c r="C42" s="350"/>
      <c r="D42" s="350"/>
      <c r="E42" s="350"/>
      <c r="F42" s="350"/>
      <c r="G42" s="350"/>
      <c r="H42" s="350"/>
      <c r="I42" s="352"/>
      <c r="J42" s="351"/>
      <c r="K42" s="110">
        <v>0</v>
      </c>
      <c r="L42" s="110">
        <v>0</v>
      </c>
    </row>
    <row r="43" spans="1:12" hidden="1" x14ac:dyDescent="0.25">
      <c r="A43" s="344"/>
      <c r="B43" s="350"/>
      <c r="C43" s="350"/>
      <c r="D43" s="350"/>
      <c r="E43" s="350"/>
      <c r="F43" s="350"/>
      <c r="G43" s="350"/>
      <c r="H43" s="350"/>
      <c r="I43" s="357"/>
      <c r="J43" s="351"/>
      <c r="K43" s="110">
        <v>0</v>
      </c>
      <c r="L43" s="110">
        <v>0</v>
      </c>
    </row>
    <row r="44" spans="1:12" hidden="1" x14ac:dyDescent="0.25">
      <c r="A44" s="344"/>
      <c r="B44" s="350"/>
      <c r="C44" s="350"/>
      <c r="D44" s="350"/>
      <c r="E44" s="350"/>
      <c r="F44" s="350"/>
      <c r="G44" s="350"/>
      <c r="H44" s="350"/>
      <c r="I44" s="357"/>
      <c r="J44" s="351"/>
      <c r="K44" s="110">
        <v>0</v>
      </c>
      <c r="L44" s="110">
        <v>0</v>
      </c>
    </row>
    <row r="45" spans="1:12" hidden="1" x14ac:dyDescent="0.25">
      <c r="A45" s="344"/>
      <c r="B45" s="350"/>
      <c r="C45" s="350"/>
      <c r="D45" s="350"/>
      <c r="E45" s="350"/>
      <c r="F45" s="350"/>
      <c r="G45" s="350"/>
      <c r="H45" s="350"/>
      <c r="I45" s="352"/>
      <c r="J45" s="351"/>
      <c r="K45" s="110">
        <v>0</v>
      </c>
      <c r="L45" s="110">
        <v>0</v>
      </c>
    </row>
    <row r="46" spans="1:12" hidden="1" x14ac:dyDescent="0.25">
      <c r="A46" s="344"/>
      <c r="B46" s="350"/>
      <c r="C46" s="350"/>
      <c r="D46" s="350"/>
      <c r="E46" s="350"/>
      <c r="F46" s="350"/>
      <c r="G46" s="350"/>
      <c r="H46" s="350"/>
      <c r="I46" s="352"/>
      <c r="J46" s="351"/>
      <c r="K46" s="110">
        <v>0</v>
      </c>
      <c r="L46" s="110">
        <v>0</v>
      </c>
    </row>
    <row r="47" spans="1:12" hidden="1" x14ac:dyDescent="0.25">
      <c r="A47" s="344"/>
      <c r="B47" s="350"/>
      <c r="C47" s="350"/>
      <c r="D47" s="350"/>
      <c r="E47" s="350"/>
      <c r="F47" s="350"/>
      <c r="G47" s="350"/>
      <c r="H47" s="350"/>
      <c r="I47" s="346"/>
      <c r="J47" s="351"/>
      <c r="K47" s="110">
        <v>0</v>
      </c>
      <c r="L47" s="110">
        <v>0</v>
      </c>
    </row>
    <row r="48" spans="1:12" hidden="1" x14ac:dyDescent="0.25">
      <c r="A48" s="344"/>
      <c r="B48" s="350"/>
      <c r="C48" s="350"/>
      <c r="D48" s="350"/>
      <c r="E48" s="350"/>
      <c r="F48" s="350"/>
      <c r="G48" s="350"/>
      <c r="H48" s="350"/>
      <c r="I48" s="355"/>
      <c r="J48" s="351"/>
      <c r="K48" s="110">
        <v>0</v>
      </c>
      <c r="L48" s="110">
        <v>0</v>
      </c>
    </row>
    <row r="49" spans="1:14" hidden="1" x14ac:dyDescent="0.25">
      <c r="A49" s="344"/>
      <c r="B49" s="350"/>
      <c r="C49" s="350"/>
      <c r="D49" s="350"/>
      <c r="E49" s="350"/>
      <c r="F49" s="350"/>
      <c r="G49" s="350"/>
      <c r="H49" s="350"/>
      <c r="I49" s="353"/>
      <c r="J49" s="351"/>
      <c r="K49" s="110">
        <v>0</v>
      </c>
      <c r="L49" s="110">
        <v>0</v>
      </c>
    </row>
    <row r="50" spans="1:14" hidden="1" x14ac:dyDescent="0.25">
      <c r="A50" s="344"/>
      <c r="B50" s="350"/>
      <c r="C50" s="350"/>
      <c r="D50" s="350"/>
      <c r="E50" s="350"/>
      <c r="F50" s="350"/>
      <c r="G50" s="350"/>
      <c r="H50" s="350"/>
      <c r="I50" s="358"/>
      <c r="J50" s="351"/>
      <c r="K50" s="110">
        <v>0</v>
      </c>
      <c r="L50" s="110">
        <v>0</v>
      </c>
    </row>
    <row r="51" spans="1:14" hidden="1" x14ac:dyDescent="0.25">
      <c r="A51" s="344"/>
      <c r="B51" s="350"/>
      <c r="C51" s="350"/>
      <c r="D51" s="350"/>
      <c r="E51" s="350"/>
      <c r="F51" s="350"/>
      <c r="G51" s="350"/>
      <c r="H51" s="350"/>
      <c r="I51" s="356"/>
      <c r="J51" s="351"/>
      <c r="K51" s="110">
        <v>0</v>
      </c>
      <c r="L51" s="110">
        <v>0</v>
      </c>
    </row>
    <row r="52" spans="1:14" hidden="1" x14ac:dyDescent="0.25">
      <c r="A52" s="344"/>
      <c r="B52" s="350"/>
      <c r="C52" s="350"/>
      <c r="D52" s="350"/>
      <c r="E52" s="350"/>
      <c r="F52" s="350"/>
      <c r="G52" s="350"/>
      <c r="H52" s="350"/>
      <c r="I52" s="356"/>
      <c r="J52" s="351"/>
      <c r="K52" s="110">
        <v>0</v>
      </c>
      <c r="L52" s="110">
        <v>0</v>
      </c>
    </row>
    <row r="53" spans="1:14" hidden="1" x14ac:dyDescent="0.25">
      <c r="A53" s="344"/>
      <c r="B53" s="350"/>
      <c r="C53" s="350"/>
      <c r="D53" s="350"/>
      <c r="E53" s="350"/>
      <c r="F53" s="350"/>
      <c r="G53" s="350"/>
      <c r="H53" s="350"/>
      <c r="I53" s="356"/>
      <c r="J53" s="351"/>
      <c r="K53" s="110">
        <v>0</v>
      </c>
      <c r="L53" s="110">
        <v>0</v>
      </c>
    </row>
    <row r="54" spans="1:14" hidden="1" x14ac:dyDescent="0.25">
      <c r="A54" s="344"/>
      <c r="B54" s="350"/>
      <c r="C54" s="350"/>
      <c r="D54" s="350"/>
      <c r="E54" s="350"/>
      <c r="F54" s="350"/>
      <c r="G54" s="350"/>
      <c r="H54" s="350"/>
      <c r="I54" s="355"/>
      <c r="J54" s="351"/>
      <c r="K54" s="110">
        <v>0</v>
      </c>
      <c r="L54" s="110">
        <v>0</v>
      </c>
    </row>
    <row r="55" spans="1:14" hidden="1" x14ac:dyDescent="0.25">
      <c r="A55" s="344"/>
      <c r="B55" s="350"/>
      <c r="C55" s="350"/>
      <c r="D55" s="350"/>
      <c r="E55" s="350"/>
      <c r="F55" s="350"/>
      <c r="G55" s="350"/>
      <c r="H55" s="350"/>
      <c r="I55" s="358"/>
      <c r="J55" s="351"/>
      <c r="K55" s="110">
        <v>0</v>
      </c>
      <c r="L55" s="110">
        <v>0</v>
      </c>
    </row>
    <row r="56" spans="1:14" hidden="1" x14ac:dyDescent="0.25">
      <c r="A56" s="344"/>
      <c r="B56" s="350"/>
      <c r="C56" s="350"/>
      <c r="D56" s="350"/>
      <c r="E56" s="350"/>
      <c r="F56" s="350"/>
      <c r="G56" s="350"/>
      <c r="H56" s="350"/>
      <c r="I56" s="358"/>
      <c r="J56" s="351"/>
      <c r="K56" s="110">
        <v>0</v>
      </c>
      <c r="L56" s="110">
        <v>0</v>
      </c>
    </row>
    <row r="57" spans="1:14" hidden="1" x14ac:dyDescent="0.25">
      <c r="A57" s="344"/>
      <c r="B57" s="350"/>
      <c r="C57" s="350"/>
      <c r="D57" s="350"/>
      <c r="E57" s="350"/>
      <c r="F57" s="350"/>
      <c r="G57" s="350"/>
      <c r="H57" s="350"/>
      <c r="I57" s="358"/>
      <c r="J57" s="351"/>
      <c r="K57" s="110">
        <v>0</v>
      </c>
      <c r="L57" s="110">
        <v>0</v>
      </c>
    </row>
    <row r="58" spans="1:14" hidden="1" x14ac:dyDescent="0.25">
      <c r="A58" s="344"/>
      <c r="B58" s="350"/>
      <c r="C58" s="350"/>
      <c r="D58" s="350"/>
      <c r="E58" s="350"/>
      <c r="F58" s="350"/>
      <c r="G58" s="350"/>
      <c r="H58" s="350"/>
      <c r="I58" s="355"/>
      <c r="J58" s="351"/>
      <c r="K58" s="110">
        <v>0</v>
      </c>
      <c r="L58" s="110">
        <v>0</v>
      </c>
    </row>
    <row r="59" spans="1:14" hidden="1" x14ac:dyDescent="0.25">
      <c r="A59" s="344"/>
      <c r="B59" s="350"/>
      <c r="C59" s="350"/>
      <c r="D59" s="350"/>
      <c r="E59" s="350"/>
      <c r="F59" s="350"/>
      <c r="G59" s="350"/>
      <c r="H59" s="350"/>
      <c r="I59" s="228"/>
      <c r="J59" s="351"/>
      <c r="K59" s="110">
        <v>0</v>
      </c>
      <c r="L59" s="110">
        <v>0</v>
      </c>
    </row>
    <row r="60" spans="1:14" hidden="1" x14ac:dyDescent="0.25">
      <c r="A60" s="344"/>
      <c r="B60" s="350"/>
      <c r="C60" s="350"/>
      <c r="D60" s="350"/>
      <c r="E60" s="350"/>
      <c r="F60" s="350"/>
      <c r="G60" s="350"/>
      <c r="H60" s="350"/>
      <c r="I60" s="346"/>
      <c r="J60" s="351"/>
      <c r="K60" s="110">
        <v>0</v>
      </c>
      <c r="L60" s="110">
        <v>0</v>
      </c>
    </row>
    <row r="61" spans="1:14" ht="35.25" hidden="1" customHeight="1" x14ac:dyDescent="0.25">
      <c r="A61" s="344"/>
      <c r="B61" s="350"/>
      <c r="C61" s="350"/>
      <c r="D61" s="350"/>
      <c r="E61" s="350"/>
      <c r="F61" s="350"/>
      <c r="G61" s="350"/>
      <c r="H61" s="350"/>
      <c r="I61" s="359"/>
      <c r="J61" s="351"/>
      <c r="K61" s="110">
        <v>0</v>
      </c>
      <c r="L61" s="110">
        <v>0</v>
      </c>
      <c r="N61" s="360"/>
    </row>
    <row r="62" spans="1:14" x14ac:dyDescent="0.25">
      <c r="A62" s="82"/>
      <c r="B62" s="1342" t="s">
        <v>937</v>
      </c>
      <c r="C62" s="1342"/>
      <c r="D62" s="1342"/>
      <c r="E62" s="1342"/>
      <c r="F62" s="1342"/>
      <c r="G62" s="1342"/>
      <c r="H62" s="1342"/>
      <c r="I62" s="1342"/>
      <c r="J62" s="46">
        <f>SUM(J7:J52)+J53+J54+J57+J58+J59+J55+J56+J61+J60</f>
        <v>25192386</v>
      </c>
      <c r="K62" s="46">
        <f t="shared" ref="K62:L62" si="0">SUM(K7:K52)</f>
        <v>0</v>
      </c>
      <c r="L62" s="46">
        <f t="shared" si="0"/>
        <v>0</v>
      </c>
    </row>
    <row r="63" spans="1:14" ht="10.5" hidden="1" customHeight="1" x14ac:dyDescent="0.25">
      <c r="B63" s="361"/>
      <c r="C63" s="361"/>
      <c r="D63" s="361"/>
      <c r="E63" s="361"/>
      <c r="F63" s="361"/>
      <c r="G63" s="361"/>
    </row>
    <row r="64" spans="1:14" x14ac:dyDescent="0.25">
      <c r="B64" s="1308" t="s">
        <v>938</v>
      </c>
      <c r="C64" s="1308"/>
      <c r="D64" s="1308"/>
      <c r="E64" s="1308"/>
      <c r="F64" s="1308"/>
      <c r="G64" s="1308"/>
      <c r="H64" s="1308"/>
      <c r="I64" s="1308"/>
      <c r="J64" s="1308"/>
    </row>
    <row r="65" spans="1:14" x14ac:dyDescent="0.25">
      <c r="A65" s="1343" t="s">
        <v>935</v>
      </c>
      <c r="B65" s="1321" t="s">
        <v>121</v>
      </c>
      <c r="C65" s="1322"/>
      <c r="D65" s="1322"/>
      <c r="E65" s="1322"/>
      <c r="F65" s="1322"/>
      <c r="G65" s="1322"/>
      <c r="H65" s="1323"/>
      <c r="I65" s="1132" t="s">
        <v>1</v>
      </c>
      <c r="J65" s="1136" t="s">
        <v>936</v>
      </c>
      <c r="K65" s="1137"/>
      <c r="L65" s="1138"/>
    </row>
    <row r="66" spans="1:14" ht="17.25" customHeight="1" x14ac:dyDescent="0.25">
      <c r="A66" s="1344"/>
      <c r="B66" s="1324"/>
      <c r="C66" s="1325"/>
      <c r="D66" s="1325"/>
      <c r="E66" s="1325"/>
      <c r="F66" s="1325"/>
      <c r="G66" s="1325"/>
      <c r="H66" s="1326"/>
      <c r="I66" s="1133"/>
      <c r="J66" s="457">
        <v>2018</v>
      </c>
      <c r="K66" s="78">
        <v>2019</v>
      </c>
      <c r="L66" s="78">
        <v>2020</v>
      </c>
    </row>
    <row r="67" spans="1:14" hidden="1" x14ac:dyDescent="0.25">
      <c r="A67" s="362"/>
      <c r="B67" s="1338"/>
      <c r="C67" s="1338"/>
      <c r="D67" s="1338"/>
      <c r="E67" s="1338"/>
      <c r="F67" s="1338"/>
      <c r="G67" s="1338"/>
      <c r="H67" s="1338"/>
      <c r="I67" s="363"/>
      <c r="J67" s="41">
        <v>0</v>
      </c>
      <c r="K67" s="110">
        <v>0</v>
      </c>
      <c r="L67" s="84">
        <v>0</v>
      </c>
      <c r="N67" s="360"/>
    </row>
    <row r="68" spans="1:14" ht="18" hidden="1" customHeight="1" x14ac:dyDescent="0.25">
      <c r="A68" s="344"/>
      <c r="B68" s="1339"/>
      <c r="C68" s="1340"/>
      <c r="D68" s="1340"/>
      <c r="E68" s="1340"/>
      <c r="F68" s="1340"/>
      <c r="G68" s="1340"/>
      <c r="H68" s="1341"/>
      <c r="I68" s="363"/>
      <c r="J68" s="41">
        <v>0</v>
      </c>
      <c r="K68" s="110">
        <v>0</v>
      </c>
      <c r="L68" s="84">
        <v>0</v>
      </c>
    </row>
    <row r="69" spans="1:14" ht="0.75" hidden="1" customHeight="1" x14ac:dyDescent="0.25">
      <c r="A69" s="366"/>
      <c r="B69" s="1345"/>
      <c r="C69" s="1346"/>
      <c r="D69" s="1346"/>
      <c r="E69" s="1346"/>
      <c r="F69" s="1346"/>
      <c r="G69" s="1346"/>
      <c r="H69" s="1347"/>
      <c r="I69" s="367"/>
      <c r="J69" s="41"/>
      <c r="K69" s="84"/>
      <c r="L69" s="84"/>
    </row>
    <row r="70" spans="1:14" ht="0.75" hidden="1" customHeight="1" x14ac:dyDescent="0.25">
      <c r="A70" s="366"/>
      <c r="B70" s="1345"/>
      <c r="C70" s="1346"/>
      <c r="D70" s="1346"/>
      <c r="E70" s="1346"/>
      <c r="F70" s="1346"/>
      <c r="G70" s="1346"/>
      <c r="H70" s="1347"/>
      <c r="I70" s="367"/>
      <c r="J70" s="41"/>
      <c r="K70" s="82"/>
      <c r="L70" s="82"/>
    </row>
    <row r="71" spans="1:14" ht="6" hidden="1" customHeight="1" x14ac:dyDescent="0.25">
      <c r="A71" s="82"/>
      <c r="B71" s="1345"/>
      <c r="C71" s="1346"/>
      <c r="D71" s="1346"/>
      <c r="E71" s="1346"/>
      <c r="F71" s="1346"/>
      <c r="G71" s="1346"/>
      <c r="H71" s="1346"/>
      <c r="I71" s="21"/>
      <c r="J71" s="41"/>
      <c r="K71" s="82"/>
      <c r="L71" s="82"/>
    </row>
    <row r="72" spans="1:14" ht="15" customHeight="1" x14ac:dyDescent="0.25">
      <c r="A72" s="82"/>
      <c r="B72" s="1297" t="s">
        <v>939</v>
      </c>
      <c r="C72" s="1298"/>
      <c r="D72" s="1298"/>
      <c r="E72" s="1298"/>
      <c r="F72" s="1298"/>
      <c r="G72" s="1298"/>
      <c r="H72" s="1298"/>
      <c r="I72" s="1299"/>
      <c r="J72" s="46">
        <f>SUM(J67:J71)</f>
        <v>0</v>
      </c>
      <c r="K72" s="46">
        <f>SUM(K67:K71)</f>
        <v>0</v>
      </c>
      <c r="L72" s="46">
        <f>SUM(L67:L71)</f>
        <v>0</v>
      </c>
    </row>
    <row r="73" spans="1:14" ht="15" hidden="1" customHeight="1" x14ac:dyDescent="0.25">
      <c r="B73" s="361"/>
      <c r="C73" s="361"/>
      <c r="D73" s="361"/>
      <c r="E73" s="361"/>
      <c r="F73" s="361"/>
      <c r="G73" s="361"/>
    </row>
    <row r="74" spans="1:14" hidden="1" x14ac:dyDescent="0.25">
      <c r="B74" s="361"/>
      <c r="C74" s="361"/>
      <c r="D74" s="361"/>
      <c r="E74" s="361"/>
      <c r="F74" s="361"/>
      <c r="G74" s="361"/>
    </row>
    <row r="75" spans="1:14" ht="15" customHeight="1" x14ac:dyDescent="0.25">
      <c r="B75" s="1308" t="s">
        <v>940</v>
      </c>
      <c r="C75" s="1308"/>
      <c r="D75" s="1308"/>
      <c r="E75" s="1308"/>
      <c r="F75" s="1308"/>
      <c r="G75" s="1308"/>
      <c r="H75" s="1308"/>
      <c r="I75" s="1308"/>
      <c r="J75" s="1308"/>
    </row>
    <row r="76" spans="1:14" x14ac:dyDescent="0.25">
      <c r="A76" s="1336" t="s">
        <v>935</v>
      </c>
      <c r="B76" s="1320" t="s">
        <v>941</v>
      </c>
      <c r="C76" s="1320" t="s">
        <v>134</v>
      </c>
      <c r="D76" s="1320" t="s">
        <v>264</v>
      </c>
      <c r="E76" s="1321" t="s">
        <v>197</v>
      </c>
      <c r="F76" s="1322"/>
      <c r="G76" s="1323"/>
      <c r="H76" s="1320" t="s">
        <v>225</v>
      </c>
      <c r="I76" s="1348" t="s">
        <v>1</v>
      </c>
      <c r="J76" s="1136" t="s">
        <v>936</v>
      </c>
      <c r="K76" s="1137"/>
      <c r="L76" s="1138"/>
    </row>
    <row r="77" spans="1:14" ht="15" customHeight="1" x14ac:dyDescent="0.25">
      <c r="A77" s="1337"/>
      <c r="B77" s="1320"/>
      <c r="C77" s="1320"/>
      <c r="D77" s="1320"/>
      <c r="E77" s="1324"/>
      <c r="F77" s="1325"/>
      <c r="G77" s="1326"/>
      <c r="H77" s="1320"/>
      <c r="I77" s="1348"/>
      <c r="J77" s="457">
        <v>2018</v>
      </c>
      <c r="K77" s="78">
        <v>2019</v>
      </c>
      <c r="L77" s="78">
        <v>2020</v>
      </c>
    </row>
    <row r="78" spans="1:14" x14ac:dyDescent="0.25">
      <c r="A78" s="368"/>
      <c r="B78" s="1468" t="s">
        <v>942</v>
      </c>
      <c r="C78" s="1468"/>
      <c r="D78" s="1468"/>
      <c r="E78" s="1468"/>
      <c r="F78" s="1468"/>
      <c r="G78" s="1468"/>
      <c r="H78" s="1468"/>
      <c r="I78" s="1469"/>
      <c r="J78" s="369">
        <f>SUM(J79:J87)</f>
        <v>0</v>
      </c>
      <c r="K78" s="369">
        <f>SUM(K79:K80)</f>
        <v>0</v>
      </c>
      <c r="L78" s="369">
        <f>SUM(L79:L80)</f>
        <v>0</v>
      </c>
    </row>
    <row r="79" spans="1:14" ht="16.5" customHeight="1" x14ac:dyDescent="0.25">
      <c r="A79" s="370"/>
      <c r="B79" s="345"/>
      <c r="C79" s="345"/>
      <c r="D79" s="345"/>
      <c r="E79" s="345"/>
      <c r="F79" s="1396"/>
      <c r="G79" s="1397"/>
      <c r="H79" s="345"/>
      <c r="I79" s="224"/>
      <c r="J79" s="41">
        <v>0</v>
      </c>
      <c r="K79" s="110">
        <v>0</v>
      </c>
      <c r="L79" s="110">
        <v>0</v>
      </c>
    </row>
    <row r="80" spans="1:14" s="1" customFormat="1" ht="31.5" hidden="1" customHeight="1" x14ac:dyDescent="0.25">
      <c r="A80" s="370"/>
      <c r="B80" s="345"/>
      <c r="C80" s="345"/>
      <c r="D80" s="345"/>
      <c r="E80" s="345"/>
      <c r="F80" s="1396"/>
      <c r="G80" s="1397"/>
      <c r="H80" s="345"/>
      <c r="I80" s="416"/>
      <c r="J80" s="41"/>
      <c r="K80" s="110">
        <v>0</v>
      </c>
      <c r="L80" s="110">
        <v>0</v>
      </c>
    </row>
    <row r="81" spans="1:12" s="1" customFormat="1" hidden="1" x14ac:dyDescent="0.25">
      <c r="A81" s="237"/>
      <c r="B81" s="345"/>
      <c r="C81" s="345"/>
      <c r="D81" s="345"/>
      <c r="E81" s="345"/>
      <c r="F81" s="1396"/>
      <c r="G81" s="1397"/>
      <c r="H81" s="345"/>
      <c r="I81" s="452"/>
      <c r="J81" s="41"/>
      <c r="K81" s="110">
        <v>0</v>
      </c>
      <c r="L81" s="110">
        <v>0</v>
      </c>
    </row>
    <row r="82" spans="1:12" s="1" customFormat="1" ht="16.5" hidden="1" x14ac:dyDescent="0.3">
      <c r="A82" s="237"/>
      <c r="B82" s="372"/>
      <c r="C82" s="372"/>
      <c r="D82" s="372"/>
      <c r="E82" s="372"/>
      <c r="F82" s="1312"/>
      <c r="G82" s="1313"/>
      <c r="H82" s="372"/>
      <c r="I82" s="224"/>
      <c r="J82" s="41"/>
      <c r="K82" s="110">
        <v>0</v>
      </c>
      <c r="L82" s="110">
        <v>0</v>
      </c>
    </row>
    <row r="83" spans="1:12" s="1" customFormat="1" ht="3.75" hidden="1" customHeight="1" x14ac:dyDescent="0.3">
      <c r="A83" s="237"/>
      <c r="B83" s="372"/>
      <c r="C83" s="372"/>
      <c r="D83" s="372"/>
      <c r="E83" s="372"/>
      <c r="F83" s="1312"/>
      <c r="G83" s="1313"/>
      <c r="H83" s="372"/>
      <c r="I83" s="469"/>
      <c r="J83" s="41"/>
      <c r="K83" s="110">
        <v>0</v>
      </c>
      <c r="L83" s="110">
        <v>0</v>
      </c>
    </row>
    <row r="84" spans="1:12" s="1" customFormat="1" ht="16.5" hidden="1" x14ac:dyDescent="0.3">
      <c r="A84" s="237"/>
      <c r="B84" s="372"/>
      <c r="C84" s="372"/>
      <c r="D84" s="372"/>
      <c r="E84" s="372"/>
      <c r="F84" s="1312"/>
      <c r="G84" s="1313"/>
      <c r="H84" s="372"/>
      <c r="I84" s="455"/>
      <c r="J84" s="41"/>
      <c r="K84" s="110">
        <v>0</v>
      </c>
      <c r="L84" s="110">
        <v>0</v>
      </c>
    </row>
    <row r="85" spans="1:12" s="1" customFormat="1" ht="16.5" hidden="1" x14ac:dyDescent="0.3">
      <c r="A85" s="237"/>
      <c r="B85" s="372"/>
      <c r="C85" s="372"/>
      <c r="D85" s="372"/>
      <c r="E85" s="372"/>
      <c r="F85" s="1312"/>
      <c r="G85" s="1313"/>
      <c r="H85" s="372"/>
      <c r="I85" s="374"/>
      <c r="J85" s="41"/>
      <c r="K85" s="110">
        <v>0</v>
      </c>
      <c r="L85" s="110">
        <v>0</v>
      </c>
    </row>
    <row r="86" spans="1:12" s="1" customFormat="1" ht="16.5" hidden="1" x14ac:dyDescent="0.3">
      <c r="A86" s="237"/>
      <c r="B86" s="372"/>
      <c r="C86" s="372"/>
      <c r="D86" s="372"/>
      <c r="E86" s="372"/>
      <c r="F86" s="1312"/>
      <c r="G86" s="1313"/>
      <c r="H86" s="372"/>
      <c r="I86" s="374"/>
      <c r="J86" s="41"/>
      <c r="K86" s="110">
        <v>0</v>
      </c>
      <c r="L86" s="110">
        <v>0</v>
      </c>
    </row>
    <row r="87" spans="1:12" s="1" customFormat="1" ht="30" hidden="1" customHeight="1" x14ac:dyDescent="0.25">
      <c r="A87" s="237"/>
      <c r="B87" s="345"/>
      <c r="C87" s="345"/>
      <c r="D87" s="345"/>
      <c r="E87" s="345"/>
      <c r="F87" s="1396"/>
      <c r="G87" s="1397"/>
      <c r="H87" s="345"/>
      <c r="I87" s="375"/>
      <c r="J87" s="41"/>
      <c r="K87" s="110">
        <v>0</v>
      </c>
      <c r="L87" s="110">
        <v>0</v>
      </c>
    </row>
    <row r="88" spans="1:12" s="1" customFormat="1" x14ac:dyDescent="0.25">
      <c r="A88" s="237"/>
      <c r="B88" s="1391" t="s">
        <v>943</v>
      </c>
      <c r="C88" s="1392"/>
      <c r="D88" s="1392"/>
      <c r="E88" s="1392"/>
      <c r="F88" s="1392"/>
      <c r="G88" s="1392"/>
      <c r="H88" s="1392"/>
      <c r="I88" s="1393"/>
      <c r="J88" s="46">
        <f>J89+J90</f>
        <v>0</v>
      </c>
      <c r="K88" s="46">
        <f>K89+K90</f>
        <v>0</v>
      </c>
      <c r="L88" s="46">
        <f>L89+L90</f>
        <v>0</v>
      </c>
    </row>
    <row r="89" spans="1:12" s="1" customFormat="1" ht="16.5" customHeight="1" x14ac:dyDescent="0.3">
      <c r="A89" s="376"/>
      <c r="B89" s="372"/>
      <c r="C89" s="372"/>
      <c r="D89" s="372"/>
      <c r="E89" s="372"/>
      <c r="F89" s="1312"/>
      <c r="G89" s="1313"/>
      <c r="H89" s="372"/>
      <c r="I89" s="224"/>
      <c r="J89" s="41">
        <v>0</v>
      </c>
      <c r="K89" s="110">
        <v>0</v>
      </c>
      <c r="L89" s="110">
        <v>0</v>
      </c>
    </row>
    <row r="90" spans="1:12" s="1" customFormat="1" ht="27" hidden="1" customHeight="1" x14ac:dyDescent="0.3">
      <c r="A90" s="237"/>
      <c r="B90" s="372"/>
      <c r="C90" s="372"/>
      <c r="D90" s="372"/>
      <c r="E90" s="372"/>
      <c r="F90" s="1312"/>
      <c r="G90" s="1313"/>
      <c r="H90" s="372"/>
      <c r="I90" s="416"/>
      <c r="J90" s="41"/>
      <c r="K90" s="110">
        <v>0</v>
      </c>
      <c r="L90" s="110">
        <v>0</v>
      </c>
    </row>
    <row r="91" spans="1:12" s="1" customFormat="1" x14ac:dyDescent="0.25">
      <c r="A91" s="378"/>
      <c r="B91" s="1446" t="s">
        <v>944</v>
      </c>
      <c r="C91" s="1447"/>
      <c r="D91" s="1447"/>
      <c r="E91" s="1447"/>
      <c r="F91" s="1447"/>
      <c r="G91" s="1447"/>
      <c r="H91" s="1447"/>
      <c r="I91" s="1448"/>
      <c r="J91" s="369">
        <f>SUM(J92:J96)+J98+J97+J99+J100+J101+J102+J103++J104+J105+J106</f>
        <v>0</v>
      </c>
      <c r="K91" s="369">
        <f>SUM(K92:K96)+K98+K97+K99+K100+K101+K102+K103++K104+K105+K106</f>
        <v>0</v>
      </c>
      <c r="L91" s="369">
        <f>SUM(L92:L96)+L98+L97+L99+L100+L101+L102+L103++L104+L105+L106</f>
        <v>0</v>
      </c>
    </row>
    <row r="92" spans="1:12" s="1" customFormat="1" ht="23.25" customHeight="1" x14ac:dyDescent="0.3">
      <c r="A92" s="376"/>
      <c r="B92" s="372"/>
      <c r="C92" s="372"/>
      <c r="D92" s="372"/>
      <c r="E92" s="372"/>
      <c r="F92" s="1312"/>
      <c r="G92" s="1313"/>
      <c r="H92" s="496"/>
      <c r="I92" s="224"/>
      <c r="J92" s="41">
        <v>0</v>
      </c>
      <c r="K92" s="110">
        <v>0</v>
      </c>
      <c r="L92" s="110">
        <v>0</v>
      </c>
    </row>
    <row r="93" spans="1:12" s="1" customFormat="1" ht="0.75" hidden="1" customHeight="1" x14ac:dyDescent="0.3">
      <c r="A93" s="376"/>
      <c r="B93" s="379"/>
      <c r="C93" s="379"/>
      <c r="D93" s="379"/>
      <c r="E93" s="379"/>
      <c r="F93" s="1463"/>
      <c r="G93" s="1464"/>
      <c r="H93" s="380"/>
      <c r="I93" s="224"/>
      <c r="J93" s="364"/>
      <c r="K93" s="110">
        <v>0</v>
      </c>
      <c r="L93" s="110">
        <v>0</v>
      </c>
    </row>
    <row r="94" spans="1:12" s="1" customFormat="1" ht="16.5" hidden="1" x14ac:dyDescent="0.3">
      <c r="A94" s="376"/>
      <c r="B94" s="372"/>
      <c r="C94" s="372"/>
      <c r="D94" s="372"/>
      <c r="E94" s="372"/>
      <c r="F94" s="1312"/>
      <c r="G94" s="1313"/>
      <c r="H94" s="372"/>
      <c r="I94" s="382"/>
      <c r="J94" s="364"/>
      <c r="K94" s="110">
        <v>0</v>
      </c>
      <c r="L94" s="110">
        <v>0</v>
      </c>
    </row>
    <row r="95" spans="1:12" s="1" customFormat="1" ht="0.75" customHeight="1" x14ac:dyDescent="0.3">
      <c r="A95" s="376"/>
      <c r="B95" s="372"/>
      <c r="C95" s="372"/>
      <c r="D95" s="372"/>
      <c r="E95" s="372"/>
      <c r="F95" s="1312"/>
      <c r="G95" s="1313"/>
      <c r="H95" s="372"/>
      <c r="I95" s="224"/>
      <c r="J95" s="364"/>
      <c r="K95" s="110">
        <v>0</v>
      </c>
      <c r="L95" s="110">
        <v>0</v>
      </c>
    </row>
    <row r="96" spans="1:12" s="1" customFormat="1" ht="0.75" customHeight="1" x14ac:dyDescent="0.3">
      <c r="A96" s="376"/>
      <c r="B96" s="379"/>
      <c r="C96" s="379"/>
      <c r="D96" s="379"/>
      <c r="E96" s="379"/>
      <c r="F96" s="1463"/>
      <c r="G96" s="1464"/>
      <c r="H96" s="379"/>
      <c r="I96" s="224"/>
      <c r="J96" s="364"/>
      <c r="K96" s="41">
        <v>0</v>
      </c>
      <c r="L96" s="41">
        <v>0</v>
      </c>
    </row>
    <row r="97" spans="1:12" s="1" customFormat="1" ht="17.25" hidden="1" customHeight="1" x14ac:dyDescent="0.3">
      <c r="A97" s="376"/>
      <c r="B97" s="379"/>
      <c r="C97" s="379"/>
      <c r="D97" s="379"/>
      <c r="E97" s="379"/>
      <c r="F97" s="1463"/>
      <c r="G97" s="1464"/>
      <c r="H97" s="379"/>
      <c r="I97" s="224"/>
      <c r="J97" s="384"/>
      <c r="K97" s="400">
        <v>0</v>
      </c>
      <c r="L97" s="400">
        <v>0</v>
      </c>
    </row>
    <row r="98" spans="1:12" s="1" customFormat="1" ht="20.25" hidden="1" customHeight="1" x14ac:dyDescent="0.3">
      <c r="A98" s="376"/>
      <c r="B98" s="448"/>
      <c r="C98" s="448"/>
      <c r="D98" s="448"/>
      <c r="E98" s="448"/>
      <c r="F98" s="1478"/>
      <c r="G98" s="1478"/>
      <c r="H98" s="448"/>
      <c r="I98" s="373"/>
      <c r="J98" s="384"/>
      <c r="K98" s="385">
        <v>0</v>
      </c>
      <c r="L98" s="385">
        <v>0</v>
      </c>
    </row>
    <row r="99" spans="1:12" s="1" customFormat="1" ht="19.5" hidden="1" customHeight="1" x14ac:dyDescent="0.3">
      <c r="A99" s="465"/>
      <c r="B99" s="379"/>
      <c r="C99" s="379"/>
      <c r="D99" s="379"/>
      <c r="E99" s="379"/>
      <c r="F99" s="1463"/>
      <c r="G99" s="1464"/>
      <c r="H99" s="379"/>
      <c r="I99" s="371"/>
      <c r="J99" s="384"/>
      <c r="K99" s="385">
        <v>0</v>
      </c>
      <c r="L99" s="385">
        <v>0</v>
      </c>
    </row>
    <row r="100" spans="1:12" s="1" customFormat="1" ht="21" hidden="1" customHeight="1" x14ac:dyDescent="0.3">
      <c r="A100" s="465"/>
      <c r="B100" s="379"/>
      <c r="C100" s="379"/>
      <c r="D100" s="379"/>
      <c r="E100" s="379"/>
      <c r="F100" s="1463"/>
      <c r="G100" s="1464"/>
      <c r="H100" s="379"/>
      <c r="I100" s="224"/>
      <c r="J100" s="384"/>
      <c r="K100" s="385">
        <v>0</v>
      </c>
      <c r="L100" s="385">
        <v>0</v>
      </c>
    </row>
    <row r="101" spans="1:12" s="1" customFormat="1" ht="15.75" hidden="1" customHeight="1" x14ac:dyDescent="0.3">
      <c r="A101" s="465"/>
      <c r="B101" s="448"/>
      <c r="C101" s="448"/>
      <c r="D101" s="448"/>
      <c r="E101" s="448"/>
      <c r="F101" s="1449"/>
      <c r="G101" s="1450"/>
      <c r="H101" s="448"/>
      <c r="I101" s="449"/>
      <c r="J101" s="384"/>
      <c r="K101" s="385">
        <v>0</v>
      </c>
      <c r="L101" s="385">
        <v>0</v>
      </c>
    </row>
    <row r="102" spans="1:12" s="1" customFormat="1" ht="16.5" hidden="1" customHeight="1" x14ac:dyDescent="0.3">
      <c r="A102" s="465"/>
      <c r="B102" s="379"/>
      <c r="C102" s="379"/>
      <c r="D102" s="379"/>
      <c r="E102" s="379"/>
      <c r="F102" s="1463"/>
      <c r="G102" s="1464"/>
      <c r="H102" s="379"/>
      <c r="I102" s="224"/>
      <c r="J102" s="384"/>
      <c r="K102" s="385">
        <v>0</v>
      </c>
      <c r="L102" s="385">
        <v>0</v>
      </c>
    </row>
    <row r="103" spans="1:12" s="1" customFormat="1" ht="19.5" hidden="1" customHeight="1" x14ac:dyDescent="0.3">
      <c r="A103" s="465"/>
      <c r="B103" s="379"/>
      <c r="C103" s="379"/>
      <c r="D103" s="379"/>
      <c r="E103" s="379"/>
      <c r="F103" s="1463"/>
      <c r="G103" s="1464"/>
      <c r="H103" s="379"/>
      <c r="I103" s="224"/>
      <c r="J103" s="384"/>
      <c r="K103" s="385">
        <v>0</v>
      </c>
      <c r="L103" s="385">
        <v>0</v>
      </c>
    </row>
    <row r="104" spans="1:12" s="1" customFormat="1" ht="19.5" hidden="1" customHeight="1" x14ac:dyDescent="0.3">
      <c r="A104" s="465"/>
      <c r="B104" s="448"/>
      <c r="C104" s="448"/>
      <c r="D104" s="448"/>
      <c r="E104" s="448"/>
      <c r="F104" s="1449"/>
      <c r="G104" s="1450"/>
      <c r="H104" s="448"/>
      <c r="I104" s="449"/>
      <c r="J104" s="384"/>
      <c r="K104" s="385">
        <v>0</v>
      </c>
      <c r="L104" s="385">
        <v>0</v>
      </c>
    </row>
    <row r="105" spans="1:12" s="1" customFormat="1" ht="24.75" hidden="1" customHeight="1" x14ac:dyDescent="0.3">
      <c r="A105" s="465"/>
      <c r="B105" s="379"/>
      <c r="C105" s="379"/>
      <c r="D105" s="379"/>
      <c r="E105" s="379"/>
      <c r="F105" s="1463"/>
      <c r="G105" s="1464"/>
      <c r="H105" s="379"/>
      <c r="I105" s="382"/>
      <c r="J105" s="384"/>
      <c r="K105" s="385">
        <v>0</v>
      </c>
      <c r="L105" s="385">
        <v>0</v>
      </c>
    </row>
    <row r="106" spans="1:12" s="1" customFormat="1" ht="24.75" hidden="1" customHeight="1" x14ac:dyDescent="0.3">
      <c r="A106" s="465"/>
      <c r="B106" s="379"/>
      <c r="C106" s="379"/>
      <c r="D106" s="379"/>
      <c r="E106" s="379"/>
      <c r="F106" s="1463"/>
      <c r="G106" s="1464"/>
      <c r="H106" s="379"/>
      <c r="I106" s="455"/>
      <c r="J106" s="384"/>
      <c r="K106" s="454"/>
      <c r="L106" s="454"/>
    </row>
    <row r="107" spans="1:12" s="1" customFormat="1" ht="18.75" hidden="1" customHeight="1" x14ac:dyDescent="0.3">
      <c r="A107" s="465"/>
      <c r="B107" s="379"/>
      <c r="C107" s="379"/>
      <c r="D107" s="379"/>
      <c r="E107" s="379"/>
      <c r="F107" s="1463"/>
      <c r="G107" s="1464"/>
      <c r="H107" s="379"/>
      <c r="I107" s="450"/>
      <c r="J107" s="384"/>
      <c r="K107" s="385"/>
      <c r="L107" s="385"/>
    </row>
    <row r="108" spans="1:12" s="1" customFormat="1" x14ac:dyDescent="0.25">
      <c r="A108" s="378"/>
      <c r="B108" s="1451" t="s">
        <v>945</v>
      </c>
      <c r="C108" s="1452"/>
      <c r="D108" s="1452"/>
      <c r="E108" s="1452"/>
      <c r="F108" s="1452"/>
      <c r="G108" s="1452"/>
      <c r="H108" s="1452"/>
      <c r="I108" s="1453"/>
      <c r="J108" s="369">
        <f>SUM(J109:J118)+J119+J120+J121+J122</f>
        <v>25442386</v>
      </c>
      <c r="K108" s="369">
        <f>SUM(K109:K118)</f>
        <v>0</v>
      </c>
      <c r="L108" s="369">
        <f>SUM(L109:L118)</f>
        <v>0</v>
      </c>
    </row>
    <row r="109" spans="1:12" s="390" customFormat="1" ht="23.25" hidden="1" customHeight="1" x14ac:dyDescent="0.25">
      <c r="A109" s="386"/>
      <c r="B109" s="387"/>
      <c r="C109" s="387"/>
      <c r="D109" s="387"/>
      <c r="E109" s="387"/>
      <c r="F109" s="1290"/>
      <c r="G109" s="1285"/>
      <c r="H109" s="388"/>
      <c r="I109" s="224"/>
      <c r="J109" s="364"/>
      <c r="K109" s="41">
        <v>0</v>
      </c>
      <c r="L109" s="41">
        <v>0</v>
      </c>
    </row>
    <row r="110" spans="1:12" s="390" customFormat="1" ht="14.25" hidden="1" customHeight="1" x14ac:dyDescent="0.25">
      <c r="A110" s="386"/>
      <c r="B110" s="387"/>
      <c r="C110" s="387"/>
      <c r="D110" s="387"/>
      <c r="E110" s="387"/>
      <c r="F110" s="1290"/>
      <c r="G110" s="1285"/>
      <c r="H110" s="388"/>
      <c r="I110" s="224"/>
      <c r="J110" s="364"/>
      <c r="K110" s="41">
        <v>0</v>
      </c>
      <c r="L110" s="389">
        <v>0</v>
      </c>
    </row>
    <row r="111" spans="1:12" s="390" customFormat="1" ht="2.25" hidden="1" customHeight="1" x14ac:dyDescent="0.25">
      <c r="A111" s="386"/>
      <c r="B111" s="387"/>
      <c r="C111" s="387"/>
      <c r="D111" s="387"/>
      <c r="E111" s="387"/>
      <c r="F111" s="1290"/>
      <c r="G111" s="1285"/>
      <c r="H111" s="388"/>
      <c r="I111" s="224"/>
      <c r="J111" s="364"/>
      <c r="K111" s="389">
        <v>0</v>
      </c>
      <c r="L111" s="389">
        <v>0</v>
      </c>
    </row>
    <row r="112" spans="1:12" s="390" customFormat="1" hidden="1" x14ac:dyDescent="0.25">
      <c r="A112" s="386"/>
      <c r="B112" s="387"/>
      <c r="C112" s="387"/>
      <c r="D112" s="387"/>
      <c r="E112" s="387"/>
      <c r="F112" s="1290"/>
      <c r="G112" s="1285"/>
      <c r="H112" s="388"/>
      <c r="I112" s="224"/>
      <c r="J112" s="364"/>
      <c r="K112" s="364"/>
      <c r="L112" s="364"/>
    </row>
    <row r="113" spans="1:12" ht="14.25" hidden="1" customHeight="1" x14ac:dyDescent="0.25">
      <c r="A113" s="344"/>
      <c r="B113" s="387"/>
      <c r="C113" s="387"/>
      <c r="D113" s="387"/>
      <c r="E113" s="387"/>
      <c r="F113" s="1290"/>
      <c r="G113" s="1285"/>
      <c r="H113" s="388"/>
      <c r="I113" s="377"/>
      <c r="J113" s="364"/>
      <c r="K113" s="84">
        <v>0</v>
      </c>
      <c r="L113" s="84">
        <v>0</v>
      </c>
    </row>
    <row r="114" spans="1:12" ht="22.5" hidden="1" customHeight="1" x14ac:dyDescent="0.25">
      <c r="A114" s="344"/>
      <c r="B114" s="387"/>
      <c r="C114" s="387"/>
      <c r="D114" s="387"/>
      <c r="E114" s="387"/>
      <c r="F114" s="1290"/>
      <c r="G114" s="1285"/>
      <c r="H114" s="388"/>
      <c r="I114" s="224"/>
      <c r="J114" s="364"/>
      <c r="K114" s="84">
        <v>0</v>
      </c>
      <c r="L114" s="84">
        <v>0</v>
      </c>
    </row>
    <row r="115" spans="1:12" ht="21.75" hidden="1" customHeight="1" x14ac:dyDescent="0.25">
      <c r="A115" s="344"/>
      <c r="B115" s="387"/>
      <c r="C115" s="387"/>
      <c r="D115" s="387"/>
      <c r="E115" s="387"/>
      <c r="F115" s="1290"/>
      <c r="G115" s="1285"/>
      <c r="H115" s="388"/>
      <c r="I115" s="224"/>
      <c r="J115" s="364"/>
      <c r="K115" s="84">
        <v>0</v>
      </c>
      <c r="L115" s="84">
        <v>0</v>
      </c>
    </row>
    <row r="116" spans="1:12" ht="33" hidden="1" customHeight="1" x14ac:dyDescent="0.25">
      <c r="A116" s="344"/>
      <c r="B116" s="345"/>
      <c r="C116" s="345"/>
      <c r="D116" s="345"/>
      <c r="E116" s="345"/>
      <c r="F116" s="1396"/>
      <c r="G116" s="1397"/>
      <c r="H116" s="391"/>
      <c r="I116" s="526"/>
      <c r="J116" s="364"/>
      <c r="K116" s="84">
        <v>0</v>
      </c>
      <c r="L116" s="84">
        <v>0</v>
      </c>
    </row>
    <row r="117" spans="1:12" ht="129" customHeight="1" x14ac:dyDescent="0.25">
      <c r="A117" s="344">
        <v>1</v>
      </c>
      <c r="B117" s="345" t="s">
        <v>15</v>
      </c>
      <c r="C117" s="345" t="s">
        <v>124</v>
      </c>
      <c r="D117" s="345" t="s">
        <v>122</v>
      </c>
      <c r="E117" s="345" t="s">
        <v>1060</v>
      </c>
      <c r="F117" s="1396" t="s">
        <v>1061</v>
      </c>
      <c r="G117" s="1397"/>
      <c r="H117" s="391">
        <v>400</v>
      </c>
      <c r="I117" s="224" t="s">
        <v>1062</v>
      </c>
      <c r="J117" s="364">
        <v>25192386</v>
      </c>
      <c r="K117" s="84">
        <v>0</v>
      </c>
      <c r="L117" s="84">
        <v>0</v>
      </c>
    </row>
    <row r="118" spans="1:12" ht="81" customHeight="1" x14ac:dyDescent="0.25">
      <c r="A118" s="392">
        <v>2</v>
      </c>
      <c r="B118" s="393" t="s">
        <v>15</v>
      </c>
      <c r="C118" s="393" t="s">
        <v>124</v>
      </c>
      <c r="D118" s="393" t="s">
        <v>122</v>
      </c>
      <c r="E118" s="393" t="s">
        <v>1042</v>
      </c>
      <c r="F118" s="1291" t="s">
        <v>1043</v>
      </c>
      <c r="G118" s="1292"/>
      <c r="H118" s="394" t="s">
        <v>275</v>
      </c>
      <c r="I118" s="224" t="s">
        <v>1040</v>
      </c>
      <c r="J118" s="364">
        <v>-459690</v>
      </c>
      <c r="K118" s="84">
        <v>0</v>
      </c>
      <c r="L118" s="84">
        <v>0</v>
      </c>
    </row>
    <row r="119" spans="1:12" ht="110.25" customHeight="1" x14ac:dyDescent="0.25">
      <c r="A119" s="344">
        <v>3</v>
      </c>
      <c r="B119" s="393" t="s">
        <v>16</v>
      </c>
      <c r="C119" s="393" t="s">
        <v>124</v>
      </c>
      <c r="D119" s="393" t="s">
        <v>122</v>
      </c>
      <c r="E119" s="393" t="s">
        <v>1042</v>
      </c>
      <c r="F119" s="1291" t="s">
        <v>1043</v>
      </c>
      <c r="G119" s="1292"/>
      <c r="H119" s="394" t="s">
        <v>427</v>
      </c>
      <c r="I119" s="449" t="s">
        <v>1052</v>
      </c>
      <c r="J119" s="364">
        <v>459690</v>
      </c>
      <c r="K119" s="84">
        <v>0</v>
      </c>
      <c r="L119" s="84">
        <v>0</v>
      </c>
    </row>
    <row r="120" spans="1:12" ht="55.5" customHeight="1" x14ac:dyDescent="0.25">
      <c r="A120" s="236">
        <v>4</v>
      </c>
      <c r="B120" s="551" t="s">
        <v>15</v>
      </c>
      <c r="C120" s="551" t="s">
        <v>124</v>
      </c>
      <c r="D120" s="551" t="s">
        <v>123</v>
      </c>
      <c r="E120" s="551" t="s">
        <v>1063</v>
      </c>
      <c r="F120" s="1290" t="s">
        <v>1064</v>
      </c>
      <c r="G120" s="1285"/>
      <c r="H120" s="395" t="s">
        <v>275</v>
      </c>
      <c r="I120" s="224" t="s">
        <v>1065</v>
      </c>
      <c r="J120" s="364">
        <v>-100000</v>
      </c>
      <c r="K120" s="41">
        <f>K121</f>
        <v>0</v>
      </c>
      <c r="L120" s="41">
        <f>L121</f>
        <v>0</v>
      </c>
    </row>
    <row r="121" spans="1:12" ht="64.5" customHeight="1" x14ac:dyDescent="0.25">
      <c r="A121" s="344">
        <v>5</v>
      </c>
      <c r="B121" s="387" t="s">
        <v>16</v>
      </c>
      <c r="C121" s="387" t="s">
        <v>124</v>
      </c>
      <c r="D121" s="387" t="s">
        <v>123</v>
      </c>
      <c r="E121" s="387" t="s">
        <v>1063</v>
      </c>
      <c r="F121" s="1290" t="s">
        <v>1064</v>
      </c>
      <c r="G121" s="1285"/>
      <c r="H121" s="388">
        <v>500</v>
      </c>
      <c r="I121" s="224" t="s">
        <v>1066</v>
      </c>
      <c r="J121" s="364">
        <v>100000</v>
      </c>
      <c r="K121" s="389">
        <v>0</v>
      </c>
      <c r="L121" s="389">
        <v>0</v>
      </c>
    </row>
    <row r="122" spans="1:12" ht="80.25" customHeight="1" x14ac:dyDescent="0.25">
      <c r="A122" s="236">
        <v>6</v>
      </c>
      <c r="B122" s="387" t="s">
        <v>16</v>
      </c>
      <c r="C122" s="387" t="s">
        <v>124</v>
      </c>
      <c r="D122" s="387" t="s">
        <v>123</v>
      </c>
      <c r="E122" s="387" t="s">
        <v>1071</v>
      </c>
      <c r="F122" s="1290" t="s">
        <v>1072</v>
      </c>
      <c r="G122" s="1285"/>
      <c r="H122" s="388">
        <v>500</v>
      </c>
      <c r="I122" s="224" t="s">
        <v>1069</v>
      </c>
      <c r="J122" s="364">
        <v>250000</v>
      </c>
      <c r="K122" s="84">
        <v>0</v>
      </c>
      <c r="L122" s="84">
        <v>0</v>
      </c>
    </row>
    <row r="123" spans="1:12" x14ac:dyDescent="0.25">
      <c r="A123" s="463"/>
      <c r="B123" s="1434" t="s">
        <v>947</v>
      </c>
      <c r="C123" s="1434"/>
      <c r="D123" s="1434"/>
      <c r="E123" s="1434"/>
      <c r="F123" s="1434"/>
      <c r="G123" s="1434"/>
      <c r="H123" s="1434"/>
      <c r="I123" s="1434"/>
      <c r="J123" s="369">
        <f>SUM(J124:J128)</f>
        <v>-200000</v>
      </c>
      <c r="K123" s="369">
        <f>SUM(K124:K128)</f>
        <v>0</v>
      </c>
      <c r="L123" s="369">
        <f>SUM(L124:L128)</f>
        <v>0</v>
      </c>
    </row>
    <row r="124" spans="1:12" ht="110.25" customHeight="1" x14ac:dyDescent="0.25">
      <c r="A124" s="370">
        <v>1</v>
      </c>
      <c r="B124" s="345" t="s">
        <v>15</v>
      </c>
      <c r="C124" s="345" t="s">
        <v>138</v>
      </c>
      <c r="D124" s="345" t="s">
        <v>138</v>
      </c>
      <c r="E124" s="345" t="s">
        <v>1046</v>
      </c>
      <c r="F124" s="1396" t="s">
        <v>1050</v>
      </c>
      <c r="G124" s="1397"/>
      <c r="H124" s="413" t="s">
        <v>275</v>
      </c>
      <c r="I124" s="371" t="s">
        <v>1051</v>
      </c>
      <c r="J124" s="364">
        <v>50000</v>
      </c>
      <c r="K124" s="400">
        <v>0</v>
      </c>
      <c r="L124" s="400">
        <v>0</v>
      </c>
    </row>
    <row r="125" spans="1:12" ht="13.5" hidden="1" customHeight="1" x14ac:dyDescent="0.25">
      <c r="A125" s="370"/>
      <c r="B125" s="345"/>
      <c r="C125" s="345"/>
      <c r="D125" s="345"/>
      <c r="E125" s="345"/>
      <c r="F125" s="1396"/>
      <c r="G125" s="1397"/>
      <c r="H125" s="552"/>
      <c r="I125" s="224"/>
      <c r="J125" s="364"/>
      <c r="K125" s="110">
        <v>0</v>
      </c>
      <c r="L125" s="110">
        <v>0</v>
      </c>
    </row>
    <row r="126" spans="1:12" ht="10.5" hidden="1" customHeight="1" x14ac:dyDescent="0.25">
      <c r="A126" s="370"/>
      <c r="B126" s="345"/>
      <c r="C126" s="345"/>
      <c r="D126" s="345"/>
      <c r="E126" s="345"/>
      <c r="F126" s="1396"/>
      <c r="G126" s="1397"/>
      <c r="H126" s="553"/>
      <c r="I126" s="224"/>
      <c r="J126" s="403"/>
      <c r="K126" s="110">
        <v>0</v>
      </c>
      <c r="L126" s="110">
        <v>0</v>
      </c>
    </row>
    <row r="127" spans="1:12" ht="0.75" hidden="1" customHeight="1" x14ac:dyDescent="0.25">
      <c r="A127" s="370"/>
      <c r="B127" s="345"/>
      <c r="C127" s="345"/>
      <c r="D127" s="345"/>
      <c r="E127" s="345"/>
      <c r="F127" s="1396"/>
      <c r="G127" s="1397"/>
      <c r="H127" s="413"/>
      <c r="I127" s="495"/>
      <c r="J127" s="403"/>
      <c r="K127" s="84">
        <v>0</v>
      </c>
      <c r="L127" s="84">
        <v>0</v>
      </c>
    </row>
    <row r="128" spans="1:12" ht="82.5" customHeight="1" x14ac:dyDescent="0.25">
      <c r="A128" s="370">
        <v>2</v>
      </c>
      <c r="B128" s="345" t="s">
        <v>15</v>
      </c>
      <c r="C128" s="345" t="s">
        <v>138</v>
      </c>
      <c r="D128" s="345" t="s">
        <v>132</v>
      </c>
      <c r="E128" s="345" t="s">
        <v>1046</v>
      </c>
      <c r="F128" s="1396" t="s">
        <v>1067</v>
      </c>
      <c r="G128" s="1397"/>
      <c r="H128" s="552">
        <v>200</v>
      </c>
      <c r="I128" s="224" t="s">
        <v>1068</v>
      </c>
      <c r="J128" s="403">
        <v>-250000</v>
      </c>
      <c r="K128" s="84">
        <v>0</v>
      </c>
      <c r="L128" s="84">
        <v>0</v>
      </c>
    </row>
    <row r="129" spans="1:14" x14ac:dyDescent="0.25">
      <c r="A129" s="236"/>
      <c r="B129" s="1421" t="s">
        <v>948</v>
      </c>
      <c r="C129" s="1422"/>
      <c r="D129" s="1422"/>
      <c r="E129" s="1422"/>
      <c r="F129" s="1422"/>
      <c r="G129" s="1422"/>
      <c r="H129" s="1422"/>
      <c r="I129" s="1423"/>
      <c r="J129" s="46">
        <f>J130+J131+J132+J133</f>
        <v>0</v>
      </c>
      <c r="K129" s="46">
        <f t="shared" ref="K129:L129" si="1">K130+K131+K132</f>
        <v>0</v>
      </c>
      <c r="L129" s="46">
        <f t="shared" si="1"/>
        <v>0</v>
      </c>
    </row>
    <row r="130" spans="1:14" ht="19.5" customHeight="1" x14ac:dyDescent="0.25">
      <c r="A130" s="344"/>
      <c r="B130" s="345"/>
      <c r="C130" s="345"/>
      <c r="D130" s="345"/>
      <c r="E130" s="345"/>
      <c r="F130" s="1396"/>
      <c r="G130" s="1397"/>
      <c r="H130" s="413"/>
      <c r="I130" s="382"/>
      <c r="J130" s="364"/>
      <c r="K130" s="84">
        <v>0</v>
      </c>
      <c r="L130" s="84">
        <v>0</v>
      </c>
    </row>
    <row r="131" spans="1:14" ht="0.75" customHeight="1" x14ac:dyDescent="0.25">
      <c r="A131" s="344"/>
      <c r="B131" s="345"/>
      <c r="C131" s="345"/>
      <c r="D131" s="345"/>
      <c r="E131" s="345"/>
      <c r="F131" s="1396"/>
      <c r="G131" s="1397"/>
      <c r="H131" s="413"/>
      <c r="I131" s="224"/>
      <c r="J131" s="364"/>
      <c r="K131" s="84">
        <v>0</v>
      </c>
      <c r="L131" s="84">
        <v>0</v>
      </c>
      <c r="N131" s="360"/>
    </row>
    <row r="132" spans="1:14" ht="19.5" hidden="1" customHeight="1" x14ac:dyDescent="0.25">
      <c r="A132" s="344"/>
      <c r="B132" s="345"/>
      <c r="C132" s="345"/>
      <c r="D132" s="345"/>
      <c r="E132" s="345"/>
      <c r="F132" s="1396"/>
      <c r="G132" s="1397"/>
      <c r="H132" s="391"/>
      <c r="I132" s="224"/>
      <c r="J132" s="364"/>
      <c r="K132" s="84">
        <v>0</v>
      </c>
      <c r="L132" s="84">
        <v>0</v>
      </c>
    </row>
    <row r="133" spans="1:14" hidden="1" x14ac:dyDescent="0.25">
      <c r="A133" s="236"/>
      <c r="B133" s="345"/>
      <c r="C133" s="345"/>
      <c r="D133" s="345"/>
      <c r="E133" s="345"/>
      <c r="F133" s="1396"/>
      <c r="G133" s="1397"/>
      <c r="H133" s="408"/>
      <c r="I133" s="224"/>
      <c r="J133" s="364"/>
      <c r="K133" s="84">
        <v>0</v>
      </c>
      <c r="L133" s="84">
        <v>0</v>
      </c>
    </row>
    <row r="134" spans="1:14" hidden="1" x14ac:dyDescent="0.25">
      <c r="A134" s="236"/>
      <c r="B134" s="461"/>
      <c r="C134" s="407"/>
      <c r="D134" s="407"/>
      <c r="E134" s="407"/>
      <c r="F134" s="1535"/>
      <c r="G134" s="1536"/>
      <c r="H134" s="408"/>
      <c r="I134" s="371"/>
      <c r="J134" s="364"/>
      <c r="K134" s="84">
        <v>0</v>
      </c>
      <c r="L134" s="84">
        <v>0</v>
      </c>
    </row>
    <row r="135" spans="1:14" hidden="1" x14ac:dyDescent="0.25">
      <c r="A135" s="236"/>
      <c r="B135" s="461"/>
      <c r="C135" s="407"/>
      <c r="D135" s="407"/>
      <c r="E135" s="407"/>
      <c r="F135" s="1535"/>
      <c r="G135" s="1536"/>
      <c r="H135" s="408"/>
      <c r="I135" s="409"/>
      <c r="J135" s="364"/>
      <c r="K135" s="84">
        <v>0</v>
      </c>
      <c r="L135" s="84">
        <v>0</v>
      </c>
    </row>
    <row r="136" spans="1:14" hidden="1" x14ac:dyDescent="0.25">
      <c r="A136" s="236"/>
      <c r="B136" s="462"/>
      <c r="C136" s="410"/>
      <c r="D136" s="410"/>
      <c r="E136" s="410"/>
      <c r="F136" s="1530"/>
      <c r="G136" s="1531"/>
      <c r="H136" s="411"/>
      <c r="I136" s="371"/>
      <c r="J136" s="364"/>
      <c r="K136" s="84">
        <v>0</v>
      </c>
      <c r="L136" s="84">
        <v>0</v>
      </c>
    </row>
    <row r="137" spans="1:14" hidden="1" x14ac:dyDescent="0.25">
      <c r="A137" s="236"/>
      <c r="B137" s="462"/>
      <c r="C137" s="410"/>
      <c r="D137" s="410"/>
      <c r="E137" s="410"/>
      <c r="F137" s="1339"/>
      <c r="G137" s="1341"/>
      <c r="H137" s="411"/>
      <c r="I137" s="371"/>
      <c r="J137" s="364"/>
      <c r="K137" s="84">
        <v>0</v>
      </c>
      <c r="L137" s="84">
        <v>0</v>
      </c>
    </row>
    <row r="138" spans="1:14" ht="0.75" hidden="1" customHeight="1" x14ac:dyDescent="0.25">
      <c r="A138" s="236"/>
      <c r="B138" s="458"/>
      <c r="C138" s="458"/>
      <c r="D138" s="458"/>
      <c r="E138" s="458"/>
      <c r="F138" s="1339"/>
      <c r="G138" s="1341"/>
      <c r="H138" s="412"/>
      <c r="I138" s="371"/>
      <c r="J138" s="364"/>
      <c r="K138" s="84">
        <v>0</v>
      </c>
      <c r="L138" s="84">
        <v>0</v>
      </c>
    </row>
    <row r="139" spans="1:14" x14ac:dyDescent="0.25">
      <c r="A139" s="236"/>
      <c r="B139" s="1411" t="s">
        <v>949</v>
      </c>
      <c r="C139" s="1412"/>
      <c r="D139" s="1412"/>
      <c r="E139" s="1412"/>
      <c r="F139" s="1412"/>
      <c r="G139" s="1412"/>
      <c r="H139" s="1412"/>
      <c r="I139" s="1413"/>
      <c r="J139" s="46">
        <f>J145</f>
        <v>0</v>
      </c>
      <c r="K139" s="46">
        <f>K140+K141+K142</f>
        <v>0</v>
      </c>
      <c r="L139" s="46">
        <f>L140+L141+L142</f>
        <v>0</v>
      </c>
    </row>
    <row r="140" spans="1:14" ht="10.5" hidden="1" customHeight="1" x14ac:dyDescent="0.25">
      <c r="A140" s="236"/>
      <c r="B140" s="345"/>
      <c r="C140" s="345"/>
      <c r="D140" s="345"/>
      <c r="E140" s="345"/>
      <c r="F140" s="1396"/>
      <c r="G140" s="1397"/>
      <c r="H140" s="413"/>
      <c r="I140" s="396"/>
      <c r="J140" s="41"/>
      <c r="K140" s="84"/>
      <c r="L140" s="84"/>
    </row>
    <row r="141" spans="1:14" ht="1.5" hidden="1" customHeight="1" x14ac:dyDescent="0.25">
      <c r="A141" s="464"/>
      <c r="B141" s="345"/>
      <c r="C141" s="345"/>
      <c r="D141" s="345"/>
      <c r="E141" s="345"/>
      <c r="F141" s="345"/>
      <c r="G141" s="401"/>
      <c r="H141" s="391"/>
      <c r="I141" s="396"/>
      <c r="J141" s="41"/>
      <c r="K141" s="84"/>
      <c r="L141" s="84"/>
    </row>
    <row r="142" spans="1:14" hidden="1" x14ac:dyDescent="0.25">
      <c r="A142" s="236"/>
      <c r="B142" s="345"/>
      <c r="C142" s="345"/>
      <c r="D142" s="345"/>
      <c r="E142" s="345"/>
      <c r="F142" s="345"/>
      <c r="G142" s="401"/>
      <c r="H142" s="391"/>
      <c r="I142" s="396"/>
      <c r="J142" s="41"/>
      <c r="K142" s="84"/>
      <c r="L142" s="84"/>
    </row>
    <row r="143" spans="1:14" hidden="1" x14ac:dyDescent="0.25">
      <c r="A143" s="236"/>
      <c r="B143" s="345"/>
      <c r="C143" s="345"/>
      <c r="D143" s="345"/>
      <c r="E143" s="345"/>
      <c r="F143" s="345"/>
      <c r="G143" s="345"/>
      <c r="H143" s="345"/>
      <c r="I143" s="396"/>
      <c r="J143" s="41"/>
      <c r="K143" s="84"/>
      <c r="L143" s="84"/>
    </row>
    <row r="144" spans="1:14" hidden="1" x14ac:dyDescent="0.25">
      <c r="A144" s="236"/>
      <c r="B144" s="415"/>
      <c r="C144" s="133"/>
      <c r="D144" s="133"/>
      <c r="E144" s="133"/>
      <c r="F144" s="133"/>
      <c r="G144" s="133"/>
      <c r="H144" s="133"/>
      <c r="I144" s="36"/>
      <c r="J144" s="41"/>
      <c r="K144" s="84"/>
      <c r="L144" s="84"/>
    </row>
    <row r="145" spans="1:12" ht="15" customHeight="1" x14ac:dyDescent="0.25">
      <c r="A145" s="236"/>
      <c r="B145" s="460"/>
      <c r="C145" s="412"/>
      <c r="D145" s="412"/>
      <c r="E145" s="412"/>
      <c r="F145" s="1290"/>
      <c r="G145" s="1285"/>
      <c r="H145" s="412"/>
      <c r="I145" s="416"/>
      <c r="J145" s="41"/>
      <c r="K145" s="84">
        <v>0</v>
      </c>
      <c r="L145" s="84">
        <v>0</v>
      </c>
    </row>
    <row r="146" spans="1:12" x14ac:dyDescent="0.25">
      <c r="A146" s="236"/>
      <c r="B146" s="1421" t="s">
        <v>950</v>
      </c>
      <c r="C146" s="1422"/>
      <c r="D146" s="1422"/>
      <c r="E146" s="1422"/>
      <c r="F146" s="1422"/>
      <c r="G146" s="1422"/>
      <c r="H146" s="1422"/>
      <c r="I146" s="1423"/>
      <c r="J146" s="46">
        <f>SUM(J152:J154)+J147+J148+J150+J151+J149+J155+J156+J157+J158</f>
        <v>0</v>
      </c>
      <c r="K146" s="46">
        <f>SUM(K152:K154)+K147+K148+K150+K151+K149+K155+K156+K157+K158</f>
        <v>0</v>
      </c>
      <c r="L146" s="46">
        <f>SUM(L152:L154)+L147+L148+L150+L151+L149+L155+L156+L157+L158</f>
        <v>0</v>
      </c>
    </row>
    <row r="147" spans="1:12" ht="0.75" customHeight="1" x14ac:dyDescent="0.25">
      <c r="A147" s="471"/>
      <c r="B147" s="410"/>
      <c r="C147" s="410"/>
      <c r="D147" s="410"/>
      <c r="E147" s="410"/>
      <c r="F147" s="1530"/>
      <c r="G147" s="1531"/>
      <c r="H147" s="439"/>
      <c r="I147" s="374"/>
      <c r="J147" s="364"/>
      <c r="K147" s="41">
        <v>0</v>
      </c>
      <c r="L147" s="41">
        <v>0</v>
      </c>
    </row>
    <row r="148" spans="1:12" ht="44.25" hidden="1" customHeight="1" x14ac:dyDescent="0.25">
      <c r="A148" s="498"/>
      <c r="B148" s="410"/>
      <c r="C148" s="410"/>
      <c r="D148" s="410"/>
      <c r="E148" s="410"/>
      <c r="F148" s="1530"/>
      <c r="G148" s="1531"/>
      <c r="H148" s="470"/>
      <c r="I148" s="500"/>
      <c r="J148" s="364"/>
      <c r="K148" s="41">
        <v>0</v>
      </c>
      <c r="L148" s="41">
        <v>0</v>
      </c>
    </row>
    <row r="149" spans="1:12" hidden="1" x14ac:dyDescent="0.25">
      <c r="A149" s="471"/>
      <c r="B149" s="417"/>
      <c r="C149" s="417"/>
      <c r="D149" s="417"/>
      <c r="E149" s="417"/>
      <c r="F149" s="1339"/>
      <c r="G149" s="1341"/>
      <c r="H149" s="417"/>
      <c r="I149" s="499"/>
      <c r="J149" s="364"/>
      <c r="K149" s="364">
        <v>0</v>
      </c>
      <c r="L149" s="364">
        <v>0</v>
      </c>
    </row>
    <row r="150" spans="1:12" ht="0.75" hidden="1" customHeight="1" x14ac:dyDescent="0.25">
      <c r="A150" s="471"/>
      <c r="B150" s="417"/>
      <c r="C150" s="417"/>
      <c r="D150" s="417"/>
      <c r="E150" s="417"/>
      <c r="F150" s="1339"/>
      <c r="G150" s="1341"/>
      <c r="H150" s="417"/>
      <c r="I150" s="452"/>
      <c r="J150" s="364"/>
      <c r="K150" s="364"/>
      <c r="L150" s="364"/>
    </row>
    <row r="151" spans="1:12" hidden="1" x14ac:dyDescent="0.25">
      <c r="A151" s="471"/>
      <c r="B151" s="417"/>
      <c r="C151" s="417"/>
      <c r="D151" s="417"/>
      <c r="E151" s="417"/>
      <c r="F151" s="1532"/>
      <c r="G151" s="1533"/>
      <c r="H151" s="417"/>
      <c r="I151" s="455"/>
      <c r="J151" s="364"/>
      <c r="K151" s="41"/>
      <c r="L151" s="41"/>
    </row>
    <row r="152" spans="1:12" s="1" customFormat="1" ht="15" hidden="1" customHeight="1" x14ac:dyDescent="0.25">
      <c r="A152" s="471"/>
      <c r="B152" s="418"/>
      <c r="C152" s="418"/>
      <c r="D152" s="418"/>
      <c r="E152" s="418"/>
      <c r="F152" s="1534"/>
      <c r="G152" s="1385"/>
      <c r="H152" s="418"/>
      <c r="I152" s="437"/>
      <c r="J152" s="364"/>
      <c r="K152" s="84">
        <v>0</v>
      </c>
      <c r="L152" s="84">
        <v>0</v>
      </c>
    </row>
    <row r="153" spans="1:12" s="1" customFormat="1" ht="12.75" hidden="1" customHeight="1" x14ac:dyDescent="0.25">
      <c r="A153" s="426"/>
      <c r="B153" s="345"/>
      <c r="C153" s="345"/>
      <c r="D153" s="345"/>
      <c r="E153" s="345"/>
      <c r="F153" s="1396"/>
      <c r="G153" s="1397"/>
      <c r="H153" s="345"/>
      <c r="I153" s="374"/>
      <c r="J153" s="364"/>
      <c r="K153" s="84">
        <v>0</v>
      </c>
      <c r="L153" s="84">
        <v>0</v>
      </c>
    </row>
    <row r="154" spans="1:12" ht="1.5" hidden="1" customHeight="1" x14ac:dyDescent="0.25">
      <c r="A154" s="426"/>
      <c r="B154" s="345"/>
      <c r="C154" s="345"/>
      <c r="D154" s="345"/>
      <c r="E154" s="345"/>
      <c r="F154" s="1396"/>
      <c r="G154" s="1397"/>
      <c r="H154" s="345"/>
      <c r="I154" s="374"/>
      <c r="J154" s="364"/>
      <c r="K154" s="84">
        <v>0</v>
      </c>
      <c r="L154" s="84">
        <v>0</v>
      </c>
    </row>
    <row r="155" spans="1:12" hidden="1" x14ac:dyDescent="0.25">
      <c r="A155" s="426"/>
      <c r="B155" s="345"/>
      <c r="C155" s="345"/>
      <c r="D155" s="345"/>
      <c r="E155" s="345"/>
      <c r="F155" s="1396"/>
      <c r="G155" s="1397"/>
      <c r="H155" s="345"/>
      <c r="I155" s="374"/>
      <c r="J155" s="364"/>
      <c r="K155" s="84">
        <v>0</v>
      </c>
      <c r="L155" s="84">
        <v>0</v>
      </c>
    </row>
    <row r="156" spans="1:12" ht="15" hidden="1" customHeight="1" x14ac:dyDescent="0.25">
      <c r="A156" s="426"/>
      <c r="B156" s="345"/>
      <c r="C156" s="345"/>
      <c r="D156" s="345"/>
      <c r="E156" s="345"/>
      <c r="F156" s="1396"/>
      <c r="G156" s="1397"/>
      <c r="H156" s="345"/>
      <c r="I156" s="374"/>
      <c r="J156" s="364"/>
      <c r="K156" s="84">
        <v>0</v>
      </c>
      <c r="L156" s="84">
        <v>0</v>
      </c>
    </row>
    <row r="157" spans="1:12" hidden="1" x14ac:dyDescent="0.25">
      <c r="A157" s="466"/>
      <c r="B157" s="419"/>
      <c r="C157" s="419"/>
      <c r="D157" s="419"/>
      <c r="E157" s="419"/>
      <c r="F157" s="1467"/>
      <c r="G157" s="1383"/>
      <c r="H157" s="419"/>
      <c r="I157" s="438"/>
      <c r="J157" s="364"/>
      <c r="K157" s="84">
        <v>0</v>
      </c>
      <c r="L157" s="84">
        <v>0</v>
      </c>
    </row>
    <row r="158" spans="1:12" hidden="1" x14ac:dyDescent="0.25">
      <c r="A158" s="383"/>
      <c r="B158" s="419"/>
      <c r="C158" s="419"/>
      <c r="D158" s="419"/>
      <c r="E158" s="419"/>
      <c r="F158" s="1467"/>
      <c r="G158" s="1383"/>
      <c r="H158" s="419"/>
      <c r="I158" s="373"/>
      <c r="J158" s="364"/>
      <c r="K158" s="84">
        <v>0</v>
      </c>
      <c r="L158" s="84">
        <v>0</v>
      </c>
    </row>
    <row r="159" spans="1:12" ht="18" customHeight="1" x14ac:dyDescent="0.25">
      <c r="A159" s="376"/>
      <c r="B159" s="345"/>
      <c r="C159" s="345"/>
      <c r="D159" s="345"/>
      <c r="E159" s="345"/>
      <c r="F159" s="1396"/>
      <c r="G159" s="1397"/>
      <c r="H159" s="345"/>
      <c r="I159" s="420"/>
      <c r="J159" s="364"/>
      <c r="K159" s="84"/>
      <c r="L159" s="84"/>
    </row>
    <row r="160" spans="1:12" ht="18" customHeight="1" x14ac:dyDescent="0.25">
      <c r="A160" s="236"/>
      <c r="B160" s="1391" t="s">
        <v>951</v>
      </c>
      <c r="C160" s="1392"/>
      <c r="D160" s="1392"/>
      <c r="E160" s="1392"/>
      <c r="F160" s="1392"/>
      <c r="G160" s="1392"/>
      <c r="H160" s="1392"/>
      <c r="I160" s="1393"/>
      <c r="J160" s="46">
        <f>J164+J163+J162+J161</f>
        <v>-50000</v>
      </c>
      <c r="K160" s="46">
        <f>K164+K163+K162+K161</f>
        <v>0</v>
      </c>
      <c r="L160" s="46">
        <f>L164+L163+L162+L161</f>
        <v>0</v>
      </c>
    </row>
    <row r="161" spans="1:12" ht="12.75" hidden="1" customHeight="1" x14ac:dyDescent="0.25">
      <c r="A161" s="344"/>
      <c r="B161" s="345"/>
      <c r="C161" s="345"/>
      <c r="D161" s="345"/>
      <c r="E161" s="345"/>
      <c r="F161" s="1396"/>
      <c r="G161" s="1397"/>
      <c r="H161" s="413"/>
      <c r="I161" s="224"/>
      <c r="J161" s="364"/>
      <c r="K161" s="84">
        <v>0</v>
      </c>
      <c r="L161" s="84">
        <v>0</v>
      </c>
    </row>
    <row r="162" spans="1:12" ht="84.75" customHeight="1" x14ac:dyDescent="0.25">
      <c r="A162" s="344">
        <v>1</v>
      </c>
      <c r="B162" s="345" t="s">
        <v>15</v>
      </c>
      <c r="C162" s="345" t="s">
        <v>128</v>
      </c>
      <c r="D162" s="345" t="s">
        <v>132</v>
      </c>
      <c r="E162" s="345" t="s">
        <v>1047</v>
      </c>
      <c r="F162" s="1396" t="s">
        <v>1048</v>
      </c>
      <c r="G162" s="1397"/>
      <c r="H162" s="413" t="s">
        <v>275</v>
      </c>
      <c r="I162" s="224" t="s">
        <v>1049</v>
      </c>
      <c r="J162" s="364">
        <v>-50000</v>
      </c>
      <c r="K162" s="84">
        <v>0</v>
      </c>
      <c r="L162" s="84">
        <v>0</v>
      </c>
    </row>
    <row r="163" spans="1:12" ht="28.5" hidden="1" customHeight="1" x14ac:dyDescent="0.25">
      <c r="A163" s="82"/>
      <c r="B163" s="345"/>
      <c r="C163" s="345"/>
      <c r="D163" s="345"/>
      <c r="E163" s="345"/>
      <c r="F163" s="1396"/>
      <c r="G163" s="1397"/>
      <c r="H163" s="345"/>
      <c r="I163" s="224"/>
      <c r="J163" s="364"/>
      <c r="K163" s="84">
        <v>0</v>
      </c>
      <c r="L163" s="84">
        <v>0</v>
      </c>
    </row>
    <row r="164" spans="1:12" ht="35.25" hidden="1" customHeight="1" x14ac:dyDescent="0.25">
      <c r="A164" s="82"/>
      <c r="B164" s="459"/>
      <c r="C164" s="458"/>
      <c r="D164" s="458"/>
      <c r="E164" s="458"/>
      <c r="F164" s="1339"/>
      <c r="G164" s="1341"/>
      <c r="H164" s="412"/>
      <c r="I164" s="371"/>
      <c r="J164" s="364"/>
      <c r="K164" s="84">
        <v>0</v>
      </c>
      <c r="L164" s="84">
        <v>0</v>
      </c>
    </row>
    <row r="165" spans="1:12" x14ac:dyDescent="0.25">
      <c r="A165" s="82"/>
      <c r="B165" s="1391" t="s">
        <v>952</v>
      </c>
      <c r="C165" s="1392"/>
      <c r="D165" s="1392"/>
      <c r="E165" s="1392"/>
      <c r="F165" s="1392"/>
      <c r="G165" s="1392"/>
      <c r="H165" s="1392"/>
      <c r="I165" s="1393"/>
      <c r="J165" s="46">
        <f>J167+J168</f>
        <v>0</v>
      </c>
      <c r="K165" s="46">
        <f>K166</f>
        <v>0</v>
      </c>
      <c r="L165" s="46">
        <f>L166</f>
        <v>0</v>
      </c>
    </row>
    <row r="166" spans="1:12" ht="0.75" customHeight="1" x14ac:dyDescent="0.25">
      <c r="A166" s="366"/>
      <c r="B166" s="345"/>
      <c r="C166" s="345"/>
      <c r="D166" s="345"/>
      <c r="E166" s="345"/>
      <c r="F166" s="345"/>
      <c r="G166" s="345"/>
      <c r="H166" s="345"/>
      <c r="I166" s="396"/>
      <c r="J166" s="41"/>
      <c r="K166" s="84"/>
      <c r="L166" s="84"/>
    </row>
    <row r="167" spans="1:12" hidden="1" x14ac:dyDescent="0.25">
      <c r="A167" s="366"/>
      <c r="B167" s="421"/>
      <c r="C167" s="421"/>
      <c r="D167" s="421"/>
      <c r="E167" s="421"/>
      <c r="F167" s="1394"/>
      <c r="G167" s="1395"/>
      <c r="H167" s="421"/>
      <c r="I167" s="422"/>
      <c r="J167" s="423"/>
      <c r="K167" s="84">
        <v>0</v>
      </c>
      <c r="L167" s="84">
        <v>0</v>
      </c>
    </row>
    <row r="168" spans="1:12" hidden="1" x14ac:dyDescent="0.25">
      <c r="A168" s="366"/>
      <c r="B168" s="345"/>
      <c r="C168" s="345"/>
      <c r="D168" s="345"/>
      <c r="E168" s="345"/>
      <c r="F168" s="1396"/>
      <c r="G168" s="1397"/>
      <c r="H168" s="345"/>
      <c r="I168" s="396"/>
      <c r="J168" s="41"/>
      <c r="K168" s="84"/>
      <c r="L168" s="84"/>
    </row>
    <row r="169" spans="1:12" s="1" customFormat="1" x14ac:dyDescent="0.25">
      <c r="A169" s="26"/>
      <c r="B169" s="1408" t="s">
        <v>953</v>
      </c>
      <c r="C169" s="1409"/>
      <c r="D169" s="1409"/>
      <c r="E169" s="1409"/>
      <c r="F169" s="1409"/>
      <c r="G169" s="1409"/>
      <c r="H169" s="1409"/>
      <c r="I169" s="1410"/>
      <c r="J169" s="46">
        <f>SUM(J170:J178)</f>
        <v>0</v>
      </c>
      <c r="K169" s="46">
        <f>SUM(K170:K178)</f>
        <v>0</v>
      </c>
      <c r="L169" s="46">
        <f>SUM(L170:L178)</f>
        <v>0</v>
      </c>
    </row>
    <row r="170" spans="1:12" s="1" customFormat="1" hidden="1" x14ac:dyDescent="0.25">
      <c r="A170" s="424"/>
      <c r="B170" s="345"/>
      <c r="C170" s="345"/>
      <c r="D170" s="345"/>
      <c r="E170" s="345"/>
      <c r="F170" s="1396"/>
      <c r="G170" s="1397"/>
      <c r="H170" s="345"/>
      <c r="I170" s="396"/>
      <c r="J170" s="397"/>
      <c r="K170" s="110"/>
      <c r="L170" s="110"/>
    </row>
    <row r="171" spans="1:12" s="1" customFormat="1" ht="0.75" hidden="1" customHeight="1" x14ac:dyDescent="0.25">
      <c r="A171" s="424"/>
      <c r="B171" s="345"/>
      <c r="C171" s="345"/>
      <c r="D171" s="345"/>
      <c r="E171" s="345"/>
      <c r="F171" s="1396"/>
      <c r="G171" s="1397"/>
      <c r="H171" s="345"/>
      <c r="I171" s="396"/>
      <c r="J171" s="110"/>
      <c r="K171" s="425"/>
      <c r="L171" s="110"/>
    </row>
    <row r="172" spans="1:12" s="1" customFormat="1" hidden="1" x14ac:dyDescent="0.25">
      <c r="A172" s="426"/>
      <c r="B172" s="345"/>
      <c r="C172" s="345"/>
      <c r="D172" s="345"/>
      <c r="E172" s="345"/>
      <c r="F172" s="345"/>
      <c r="G172" s="345"/>
      <c r="H172" s="345"/>
      <c r="I172" s="36"/>
      <c r="J172" s="41"/>
      <c r="K172" s="110"/>
      <c r="L172" s="110"/>
    </row>
    <row r="173" spans="1:12" hidden="1" x14ac:dyDescent="0.25">
      <c r="A173" s="426"/>
      <c r="B173" s="345"/>
      <c r="C173" s="345"/>
      <c r="D173" s="345"/>
      <c r="E173" s="345"/>
      <c r="F173" s="345"/>
      <c r="G173" s="345"/>
      <c r="H173" s="345"/>
      <c r="I173" s="396"/>
      <c r="J173" s="41"/>
      <c r="K173" s="84"/>
      <c r="L173" s="84"/>
    </row>
    <row r="174" spans="1:12" hidden="1" x14ac:dyDescent="0.25">
      <c r="A174" s="78"/>
      <c r="B174" s="345"/>
      <c r="C174" s="345"/>
      <c r="D174" s="345"/>
      <c r="E174" s="345"/>
      <c r="F174" s="345"/>
      <c r="G174" s="345"/>
      <c r="H174" s="345"/>
      <c r="I174" s="427"/>
      <c r="J174" s="41"/>
      <c r="K174" s="84"/>
      <c r="L174" s="84"/>
    </row>
    <row r="175" spans="1:12" hidden="1" x14ac:dyDescent="0.25">
      <c r="A175" s="78"/>
      <c r="B175" s="345"/>
      <c r="C175" s="345"/>
      <c r="D175" s="345"/>
      <c r="E175" s="345"/>
      <c r="F175" s="345"/>
      <c r="G175" s="345"/>
      <c r="H175" s="345"/>
      <c r="I175" s="396"/>
      <c r="J175" s="41"/>
      <c r="K175" s="84"/>
      <c r="L175" s="84"/>
    </row>
    <row r="176" spans="1:12" hidden="1" x14ac:dyDescent="0.25">
      <c r="A176" s="78"/>
      <c r="B176" s="345"/>
      <c r="C176" s="345"/>
      <c r="D176" s="345"/>
      <c r="E176" s="345"/>
      <c r="F176" s="345"/>
      <c r="G176" s="345"/>
      <c r="H176" s="345"/>
      <c r="I176" s="396"/>
      <c r="J176" s="41"/>
      <c r="K176" s="84"/>
      <c r="L176" s="84"/>
    </row>
    <row r="177" spans="1:14" hidden="1" x14ac:dyDescent="0.25">
      <c r="A177" s="78"/>
      <c r="B177" s="345"/>
      <c r="C177" s="345"/>
      <c r="D177" s="345"/>
      <c r="E177" s="345"/>
      <c r="F177" s="1396"/>
      <c r="G177" s="1397"/>
      <c r="H177" s="345"/>
      <c r="I177" s="396"/>
      <c r="J177" s="41"/>
      <c r="K177" s="84"/>
      <c r="L177" s="84"/>
    </row>
    <row r="178" spans="1:14" hidden="1" x14ac:dyDescent="0.25">
      <c r="A178" s="428"/>
      <c r="B178" s="429"/>
      <c r="C178" s="429"/>
      <c r="D178" s="429"/>
      <c r="E178" s="429"/>
      <c r="F178" s="1401"/>
      <c r="G178" s="1402"/>
      <c r="H178" s="429"/>
      <c r="I178" s="430"/>
      <c r="J178" s="431"/>
      <c r="K178" s="432"/>
      <c r="L178" s="432"/>
    </row>
    <row r="179" spans="1:14" hidden="1" x14ac:dyDescent="0.25">
      <c r="A179" s="78"/>
      <c r="B179" s="345"/>
      <c r="C179" s="345"/>
      <c r="D179" s="345"/>
      <c r="E179" s="345"/>
      <c r="F179" s="345"/>
      <c r="G179" s="345"/>
      <c r="H179" s="345"/>
      <c r="I179" s="396"/>
      <c r="J179" s="41"/>
      <c r="K179" s="84"/>
      <c r="L179" s="84"/>
    </row>
    <row r="180" spans="1:14" x14ac:dyDescent="0.25">
      <c r="A180" s="82"/>
      <c r="B180" s="1297" t="s">
        <v>954</v>
      </c>
      <c r="C180" s="1298"/>
      <c r="D180" s="1298"/>
      <c r="E180" s="1298"/>
      <c r="F180" s="1298"/>
      <c r="G180" s="1298"/>
      <c r="H180" s="1298"/>
      <c r="I180" s="1299"/>
      <c r="J180" s="46">
        <f>J169+J146+J139+J129+J123+J108+J88+J78+J160+J165+J91+J179</f>
        <v>25192386</v>
      </c>
      <c r="K180" s="46">
        <f>K169+K146+K139+K129+K123+K108+K88+K78+K120+K160+K165+K91+K179</f>
        <v>0</v>
      </c>
      <c r="L180" s="46">
        <f>L169+L146+L139+L129+L123+L108+L88+L78+L120+L160+L165+L91+L179</f>
        <v>0</v>
      </c>
    </row>
    <row r="181" spans="1:14" x14ac:dyDescent="0.25">
      <c r="I181" s="25"/>
      <c r="J181" s="64"/>
    </row>
    <row r="182" spans="1:14" x14ac:dyDescent="0.25">
      <c r="I182" s="25"/>
      <c r="J182" s="64"/>
    </row>
    <row r="183" spans="1:14" x14ac:dyDescent="0.25">
      <c r="I183" s="25"/>
      <c r="J183" s="64"/>
    </row>
    <row r="184" spans="1:14" s="1" customFormat="1" ht="33" customHeight="1" x14ac:dyDescent="0.25">
      <c r="A184" s="1398" t="s">
        <v>1044</v>
      </c>
      <c r="B184" s="1398"/>
      <c r="C184" s="1398"/>
      <c r="D184" s="1398"/>
      <c r="E184" s="1398"/>
      <c r="F184" s="1398"/>
      <c r="G184" s="1398"/>
      <c r="H184" s="1398"/>
      <c r="I184" s="1201" t="s">
        <v>1070</v>
      </c>
      <c r="J184" s="1201"/>
    </row>
    <row r="187" spans="1:14" x14ac:dyDescent="0.25">
      <c r="A187" s="1" t="s">
        <v>957</v>
      </c>
    </row>
    <row r="188" spans="1:14" ht="15" customHeight="1" x14ac:dyDescent="0.25">
      <c r="A188" s="1390" t="s">
        <v>958</v>
      </c>
      <c r="B188" s="1390"/>
    </row>
    <row r="189" spans="1:14" ht="14.25" hidden="1" customHeight="1" x14ac:dyDescent="0.25">
      <c r="B189" s="3"/>
      <c r="C189" s="76"/>
      <c r="D189" s="76"/>
      <c r="E189" s="76"/>
      <c r="F189" s="76"/>
      <c r="G189" s="76"/>
      <c r="H189" s="76"/>
      <c r="I189" s="76"/>
      <c r="J189" s="76" t="s">
        <v>959</v>
      </c>
      <c r="K189" s="360">
        <f>П2ДОХОДЫ!E177</f>
        <v>877542628.18000007</v>
      </c>
      <c r="N189" s="360"/>
    </row>
    <row r="190" spans="1:14" hidden="1" x14ac:dyDescent="0.25">
      <c r="B190" s="1352" t="s">
        <v>934</v>
      </c>
      <c r="C190" s="1352"/>
      <c r="D190" s="1352"/>
      <c r="E190" s="1352"/>
      <c r="F190" s="1352"/>
      <c r="G190" s="1352"/>
      <c r="H190" s="1352"/>
      <c r="I190" s="1352"/>
      <c r="J190" s="433"/>
    </row>
    <row r="191" spans="1:14" hidden="1" x14ac:dyDescent="0.25">
      <c r="B191" s="1201" t="s">
        <v>960</v>
      </c>
      <c r="C191" s="1201"/>
      <c r="D191" s="1201"/>
      <c r="E191" s="1201"/>
      <c r="F191" s="1201"/>
      <c r="G191" s="1201"/>
      <c r="H191" s="1201"/>
      <c r="I191" s="1201"/>
      <c r="J191" s="5">
        <f>J192+J193+J194+J195</f>
        <v>0</v>
      </c>
      <c r="K191" s="5" t="e">
        <f>#REF!</f>
        <v>#REF!</v>
      </c>
      <c r="L191" s="5" t="e">
        <f>#REF!</f>
        <v>#REF!</v>
      </c>
    </row>
    <row r="192" spans="1:14" hidden="1" x14ac:dyDescent="0.25">
      <c r="B192" s="456"/>
      <c r="C192" s="456"/>
      <c r="D192" s="456"/>
      <c r="E192" s="456"/>
      <c r="F192" s="456"/>
      <c r="G192" s="456"/>
      <c r="H192" s="456"/>
      <c r="I192" s="434" t="s">
        <v>15</v>
      </c>
      <c r="J192" s="5"/>
      <c r="K192" s="5"/>
      <c r="L192" s="5"/>
    </row>
    <row r="193" spans="2:12" hidden="1" x14ac:dyDescent="0.25">
      <c r="B193" s="456"/>
      <c r="C193" s="456"/>
      <c r="D193" s="456"/>
      <c r="E193" s="456"/>
      <c r="F193" s="456"/>
      <c r="G193" s="456"/>
      <c r="H193" s="456"/>
      <c r="I193" s="434" t="s">
        <v>16</v>
      </c>
      <c r="J193" s="5"/>
      <c r="K193" s="5"/>
      <c r="L193" s="5"/>
    </row>
    <row r="194" spans="2:12" hidden="1" x14ac:dyDescent="0.25">
      <c r="B194" s="456"/>
      <c r="C194" s="456"/>
      <c r="D194" s="456"/>
      <c r="E194" s="456"/>
      <c r="F194" s="456"/>
      <c r="G194" s="456"/>
      <c r="H194" s="456"/>
      <c r="I194" s="434" t="s">
        <v>18</v>
      </c>
      <c r="J194" s="5"/>
      <c r="K194" s="5"/>
      <c r="L194" s="5"/>
    </row>
    <row r="195" spans="2:12" hidden="1" x14ac:dyDescent="0.25">
      <c r="B195" s="456"/>
      <c r="C195" s="456"/>
      <c r="D195" s="456"/>
      <c r="E195" s="456"/>
      <c r="F195" s="456"/>
      <c r="G195" s="456"/>
      <c r="H195" s="456"/>
      <c r="I195" s="434" t="s">
        <v>19</v>
      </c>
      <c r="J195" s="5"/>
      <c r="K195" s="5"/>
      <c r="L195" s="5"/>
    </row>
    <row r="196" spans="2:12" hidden="1" x14ac:dyDescent="0.25">
      <c r="B196" s="1201" t="s">
        <v>961</v>
      </c>
      <c r="C196" s="1201"/>
      <c r="D196" s="1201"/>
      <c r="E196" s="1201"/>
      <c r="F196" s="1201"/>
      <c r="G196" s="1201"/>
      <c r="H196" s="1201"/>
      <c r="I196" s="1201"/>
      <c r="J196" s="5">
        <f>J197+J198+J199+J200</f>
        <v>25192386</v>
      </c>
      <c r="K196" s="5" t="e">
        <f>K7+K8+#REF!+#REF!+#REF!+#REF!+#REF!+#REF!+#REF!+#REF!+#REF!+#REF!+#REF!+#REF!</f>
        <v>#REF!</v>
      </c>
      <c r="L196" s="5" t="e">
        <f>L7+L8+#REF!+#REF!+#REF!+#REF!+#REF!+#REF!+#REF!+#REF!+#REF!+#REF!+#REF!+#REF!</f>
        <v>#REF!</v>
      </c>
    </row>
    <row r="197" spans="2:12" hidden="1" x14ac:dyDescent="0.25">
      <c r="B197" s="456"/>
      <c r="C197" s="456"/>
      <c r="D197" s="456"/>
      <c r="E197" s="456"/>
      <c r="F197" s="456"/>
      <c r="G197" s="456"/>
      <c r="H197" s="456"/>
      <c r="I197" s="434" t="s">
        <v>15</v>
      </c>
      <c r="J197" s="5">
        <f>J7+J8</f>
        <v>25192386</v>
      </c>
      <c r="K197" s="5"/>
      <c r="L197" s="5"/>
    </row>
    <row r="198" spans="2:12" hidden="1" x14ac:dyDescent="0.25">
      <c r="B198" s="456"/>
      <c r="C198" s="456"/>
      <c r="D198" s="456"/>
      <c r="E198" s="456"/>
      <c r="F198" s="456"/>
      <c r="G198" s="456"/>
      <c r="H198" s="456"/>
      <c r="I198" s="434" t="s">
        <v>16</v>
      </c>
      <c r="J198" s="5">
        <f>J10</f>
        <v>0</v>
      </c>
      <c r="K198" s="5"/>
      <c r="L198" s="5"/>
    </row>
    <row r="199" spans="2:12" hidden="1" x14ac:dyDescent="0.25">
      <c r="B199" s="456"/>
      <c r="C199" s="456"/>
      <c r="D199" s="456"/>
      <c r="E199" s="456"/>
      <c r="F199" s="456"/>
      <c r="G199" s="456"/>
      <c r="H199" s="456"/>
      <c r="I199" s="434" t="s">
        <v>18</v>
      </c>
      <c r="J199" s="5">
        <v>0</v>
      </c>
      <c r="K199" s="5"/>
      <c r="L199" s="5"/>
    </row>
    <row r="200" spans="2:12" hidden="1" x14ac:dyDescent="0.25">
      <c r="B200" s="456"/>
      <c r="C200" s="456"/>
      <c r="D200" s="456"/>
      <c r="E200" s="456"/>
      <c r="F200" s="456"/>
      <c r="G200" s="456"/>
      <c r="H200" s="456"/>
      <c r="I200" s="434" t="s">
        <v>19</v>
      </c>
      <c r="J200" s="5">
        <v>0</v>
      </c>
      <c r="K200" s="5"/>
      <c r="L200" s="5"/>
    </row>
    <row r="201" spans="2:12" hidden="1" x14ac:dyDescent="0.25">
      <c r="B201" s="1201" t="s">
        <v>260</v>
      </c>
      <c r="C201" s="1201"/>
      <c r="D201" s="1201"/>
      <c r="E201" s="1201"/>
      <c r="F201" s="1201"/>
      <c r="G201" s="1201"/>
      <c r="H201" s="1201"/>
      <c r="I201" s="1201"/>
      <c r="J201" s="5">
        <f>SUM(J191:J196)</f>
        <v>25192386</v>
      </c>
      <c r="K201" s="5" t="e">
        <f>SUM(K191:K196)</f>
        <v>#REF!</v>
      </c>
      <c r="L201" s="5" t="e">
        <f>SUM(L191:L196)</f>
        <v>#REF!</v>
      </c>
    </row>
    <row r="202" spans="2:12" hidden="1" x14ac:dyDescent="0.25">
      <c r="B202" s="1352" t="s">
        <v>938</v>
      </c>
      <c r="C202" s="1352"/>
      <c r="D202" s="1352"/>
      <c r="E202" s="1352"/>
      <c r="F202" s="1352"/>
      <c r="G202" s="1352"/>
      <c r="H202" s="1352"/>
      <c r="I202" s="1352"/>
      <c r="J202" s="433"/>
    </row>
    <row r="203" spans="2:12" hidden="1" x14ac:dyDescent="0.25">
      <c r="B203" s="1201" t="s">
        <v>962</v>
      </c>
      <c r="C203" s="1201"/>
      <c r="D203" s="1201"/>
      <c r="E203" s="1201"/>
      <c r="F203" s="1201"/>
      <c r="G203" s="1201"/>
      <c r="H203" s="1201"/>
      <c r="I203" s="1201"/>
      <c r="J203" s="5">
        <v>0</v>
      </c>
      <c r="K203" s="5">
        <f>K67+K69</f>
        <v>0</v>
      </c>
      <c r="L203" s="5">
        <f>L67+L69</f>
        <v>0</v>
      </c>
    </row>
    <row r="204" spans="2:12" hidden="1" x14ac:dyDescent="0.25">
      <c r="B204" s="1201" t="s">
        <v>963</v>
      </c>
      <c r="C204" s="1201"/>
      <c r="D204" s="1201"/>
      <c r="E204" s="1201"/>
      <c r="F204" s="1201"/>
      <c r="G204" s="1201"/>
      <c r="H204" s="1201"/>
      <c r="I204" s="1201"/>
      <c r="J204" s="5">
        <f>J67</f>
        <v>0</v>
      </c>
      <c r="K204" s="5"/>
      <c r="L204" s="5"/>
    </row>
    <row r="205" spans="2:12" hidden="1" x14ac:dyDescent="0.25">
      <c r="B205" s="1201" t="s">
        <v>964</v>
      </c>
      <c r="C205" s="1201"/>
      <c r="D205" s="1201"/>
      <c r="E205" s="1201"/>
      <c r="F205" s="1201"/>
      <c r="G205" s="1201"/>
      <c r="H205" s="1201"/>
      <c r="I205" s="1201"/>
      <c r="J205" s="5">
        <f>J68</f>
        <v>0</v>
      </c>
      <c r="K205" s="5">
        <f>K68</f>
        <v>0</v>
      </c>
      <c r="L205" s="5">
        <f>L68</f>
        <v>0</v>
      </c>
    </row>
    <row r="206" spans="2:12" hidden="1" x14ac:dyDescent="0.25">
      <c r="B206" s="1201" t="s">
        <v>260</v>
      </c>
      <c r="C206" s="1201"/>
      <c r="D206" s="1201"/>
      <c r="E206" s="1201"/>
      <c r="F206" s="1201"/>
      <c r="G206" s="1201"/>
      <c r="H206" s="1201"/>
      <c r="I206" s="1201"/>
      <c r="J206" s="5">
        <f>SUM(J203:J205)</f>
        <v>0</v>
      </c>
      <c r="K206" s="5">
        <f>SUM(K203:K205)</f>
        <v>0</v>
      </c>
      <c r="L206" s="5">
        <f>SUM(L203:L205)</f>
        <v>0</v>
      </c>
    </row>
    <row r="207" spans="2:12" hidden="1" x14ac:dyDescent="0.25">
      <c r="B207" s="1352" t="s">
        <v>940</v>
      </c>
      <c r="C207" s="1352"/>
      <c r="D207" s="1352"/>
      <c r="E207" s="1352"/>
      <c r="F207" s="1352"/>
      <c r="G207" s="1352"/>
      <c r="H207" s="1352"/>
      <c r="I207" s="1352"/>
      <c r="J207" s="433"/>
    </row>
    <row r="208" spans="2:12" hidden="1" x14ac:dyDescent="0.25">
      <c r="B208" s="1201" t="s">
        <v>965</v>
      </c>
      <c r="C208" s="1201"/>
      <c r="D208" s="1201"/>
      <c r="E208" s="1201"/>
      <c r="F208" s="1201"/>
      <c r="G208" s="1201"/>
      <c r="H208" s="1201"/>
      <c r="I208" s="1201"/>
      <c r="J208" s="64" t="e">
        <f>#REF!+#REF!+#REF!+#REF!+#REF!+J79+#REF!+#REF!+J161+J162+J163+#REF!+J80+J81+J109+J110+J87+J152+J111+#REF!</f>
        <v>#REF!</v>
      </c>
      <c r="K208" s="64" t="e">
        <f>#REF!+#REF!+#REF!+K79+K89+#REF!+#REF!+#REF!+K109+K110</f>
        <v>#REF!</v>
      </c>
      <c r="L208" s="64" t="e">
        <f>#REF!+#REF!+#REF!+L79+L89+#REF!+#REF!+#REF!+L109+L110</f>
        <v>#REF!</v>
      </c>
    </row>
    <row r="209" spans="2:12" hidden="1" x14ac:dyDescent="0.25">
      <c r="B209" s="1201" t="s">
        <v>966</v>
      </c>
      <c r="C209" s="1201"/>
      <c r="D209" s="1201"/>
      <c r="E209" s="1201"/>
      <c r="F209" s="1201"/>
      <c r="G209" s="1201"/>
      <c r="H209" s="1201"/>
      <c r="I209" s="1201"/>
      <c r="J209" s="64">
        <f>J165</f>
        <v>0</v>
      </c>
      <c r="K209" s="64">
        <f>K179+K170</f>
        <v>0</v>
      </c>
      <c r="L209" s="64">
        <f>L179+L170</f>
        <v>0</v>
      </c>
    </row>
    <row r="210" spans="2:12" hidden="1" x14ac:dyDescent="0.25">
      <c r="B210" s="1201" t="s">
        <v>967</v>
      </c>
      <c r="C210" s="1201"/>
      <c r="D210" s="1201"/>
      <c r="E210" s="1201"/>
      <c r="F210" s="1201"/>
      <c r="G210" s="1201"/>
      <c r="H210" s="1201"/>
      <c r="I210" s="1201"/>
      <c r="J210" s="64">
        <f>J124+J125+J126</f>
        <v>50000</v>
      </c>
      <c r="K210" s="64" t="e">
        <f>#REF!+K126+K125+#REF!+#REF!+#REF!+#REF!+#REF!+#REF!+#REF!+#REF!+#REF!+#REF!+#REF!+#REF!+#REF!+#REF!+#REF!+#REF!+#REF!</f>
        <v>#REF!</v>
      </c>
      <c r="L210" s="64" t="e">
        <f>#REF!+L126+L125+#REF!+#REF!+#REF!+#REF!+#REF!+#REF!+#REF!+#REF!+#REF!+#REF!+#REF!+#REF!+#REF!+#REF!+#REF!+#REF!+#REF!</f>
        <v>#REF!</v>
      </c>
    </row>
    <row r="211" spans="2:12" hidden="1" x14ac:dyDescent="0.25">
      <c r="B211" s="1201" t="s">
        <v>968</v>
      </c>
      <c r="C211" s="1201"/>
      <c r="D211" s="1201"/>
      <c r="E211" s="1201"/>
      <c r="F211" s="1201"/>
      <c r="G211" s="1201"/>
      <c r="H211" s="1201"/>
      <c r="I211" s="1201"/>
      <c r="J211" s="64" t="e">
        <f>#REF!+#REF!</f>
        <v>#REF!</v>
      </c>
      <c r="K211" s="64" t="e">
        <f>#REF!+#REF!</f>
        <v>#REF!</v>
      </c>
      <c r="L211" s="64" t="e">
        <f>#REF!+#REF!</f>
        <v>#REF!</v>
      </c>
    </row>
    <row r="212" spans="2:12" hidden="1" x14ac:dyDescent="0.25">
      <c r="B212" s="1201" t="s">
        <v>260</v>
      </c>
      <c r="C212" s="1201"/>
      <c r="D212" s="1201"/>
      <c r="E212" s="1201"/>
      <c r="F212" s="1201"/>
      <c r="G212" s="1201"/>
      <c r="H212" s="1201"/>
      <c r="I212" s="1201"/>
      <c r="J212" s="64" t="e">
        <f>SUM(J208:J211)</f>
        <v>#REF!</v>
      </c>
      <c r="K212" s="64" t="e">
        <f>SUM(K208:K211)</f>
        <v>#REF!</v>
      </c>
      <c r="L212" s="64" t="e">
        <f>SUM(L208:L211)</f>
        <v>#REF!</v>
      </c>
    </row>
    <row r="213" spans="2:12" ht="19.5" hidden="1" customHeight="1" x14ac:dyDescent="0.25">
      <c r="B213" s="1352" t="s">
        <v>969</v>
      </c>
      <c r="C213" s="1352"/>
      <c r="D213" s="1352"/>
      <c r="E213" s="1352"/>
      <c r="F213" s="1352"/>
      <c r="G213" s="1352"/>
      <c r="H213" s="1352"/>
      <c r="I213" s="1352"/>
      <c r="J213" s="435" t="e">
        <f>J201-(J212-J206)</f>
        <v>#REF!</v>
      </c>
      <c r="K213" s="435" t="e">
        <f>K201-(K212-K206)</f>
        <v>#REF!</v>
      </c>
      <c r="L213" s="435" t="e">
        <f>L201-(L212-L206)</f>
        <v>#REF!</v>
      </c>
    </row>
    <row r="214" spans="2:12" ht="0.75" customHeight="1" x14ac:dyDescent="0.25">
      <c r="B214" s="524"/>
      <c r="C214" s="524"/>
      <c r="D214" s="524"/>
      <c r="E214" s="524"/>
      <c r="F214" s="524"/>
      <c r="G214" s="524"/>
      <c r="H214" s="524"/>
      <c r="I214" s="524"/>
      <c r="J214" s="64" t="s">
        <v>959</v>
      </c>
      <c r="K214" s="64">
        <f>П2ДОХОДЫ!E177</f>
        <v>877542628.18000007</v>
      </c>
      <c r="L214" s="435"/>
    </row>
    <row r="215" spans="2:12" hidden="1" x14ac:dyDescent="0.25">
      <c r="J215" s="28" t="s">
        <v>970</v>
      </c>
      <c r="K215" s="360">
        <f>П4ВСР!Z765</f>
        <v>1006891333.1199999</v>
      </c>
    </row>
    <row r="216" spans="2:12" hidden="1" x14ac:dyDescent="0.25">
      <c r="I216" s="456"/>
      <c r="J216" s="28" t="s">
        <v>971</v>
      </c>
      <c r="K216" s="360">
        <f>П2ДОХОДЫ!E13</f>
        <v>231131347.21999997</v>
      </c>
    </row>
    <row r="217" spans="2:12" hidden="1" x14ac:dyDescent="0.25">
      <c r="J217" s="28" t="s">
        <v>972</v>
      </c>
      <c r="K217" s="360">
        <f>K189-K215</f>
        <v>-129348704.93999982</v>
      </c>
      <c r="L217" s="360"/>
    </row>
    <row r="218" spans="2:12" hidden="1" x14ac:dyDescent="0.25">
      <c r="K218" s="360">
        <f>П1ИВФ!C18</f>
        <v>2360000</v>
      </c>
    </row>
    <row r="219" spans="2:12" hidden="1" x14ac:dyDescent="0.25">
      <c r="K219" s="3">
        <f>K218/K216*100</f>
        <v>1.0210644416629728</v>
      </c>
    </row>
    <row r="220" spans="2:12" hidden="1" x14ac:dyDescent="0.25"/>
    <row r="221" spans="2:12" x14ac:dyDescent="0.25">
      <c r="K221" s="360"/>
    </row>
    <row r="222" spans="2:12" x14ac:dyDescent="0.25">
      <c r="K222" s="360"/>
    </row>
    <row r="223" spans="2:12" x14ac:dyDescent="0.25">
      <c r="K223" s="360"/>
    </row>
    <row r="224" spans="2:12" x14ac:dyDescent="0.25">
      <c r="J224" s="64"/>
    </row>
    <row r="225" spans="10:12" x14ac:dyDescent="0.25">
      <c r="K225" s="360"/>
    </row>
    <row r="228" spans="10:12" x14ac:dyDescent="0.25">
      <c r="L228" s="360"/>
    </row>
    <row r="229" spans="10:12" x14ac:dyDescent="0.25">
      <c r="L229" s="360"/>
    </row>
    <row r="230" spans="10:12" x14ac:dyDescent="0.25">
      <c r="K230" s="28"/>
      <c r="L230" s="360"/>
    </row>
    <row r="231" spans="10:12" x14ac:dyDescent="0.25">
      <c r="K231" s="28"/>
      <c r="L231" s="360"/>
    </row>
    <row r="232" spans="10:12" x14ac:dyDescent="0.25">
      <c r="J232" s="76"/>
      <c r="K232" s="28"/>
      <c r="L232" s="360"/>
    </row>
    <row r="233" spans="10:12" x14ac:dyDescent="0.25">
      <c r="J233" s="433"/>
    </row>
  </sheetData>
  <mergeCells count="139">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3:I123"/>
    <mergeCell ref="F124:G124"/>
    <mergeCell ref="F125:G125"/>
    <mergeCell ref="F126:G126"/>
    <mergeCell ref="F114:G114"/>
    <mergeCell ref="F115:G115"/>
    <mergeCell ref="F116:G116"/>
    <mergeCell ref="F117:G117"/>
    <mergeCell ref="F118:G118"/>
    <mergeCell ref="F119:G119"/>
    <mergeCell ref="F120:G120"/>
    <mergeCell ref="F122:G122"/>
    <mergeCell ref="F127:G127"/>
    <mergeCell ref="F128:G128"/>
    <mergeCell ref="B129:I129"/>
    <mergeCell ref="F130:G130"/>
    <mergeCell ref="F137:G137"/>
    <mergeCell ref="F138:G138"/>
    <mergeCell ref="B139:I139"/>
    <mergeCell ref="F140:G140"/>
    <mergeCell ref="F145:G145"/>
    <mergeCell ref="B146:I146"/>
    <mergeCell ref="F131:G131"/>
    <mergeCell ref="F132:G132"/>
    <mergeCell ref="F133:G133"/>
    <mergeCell ref="F134:G134"/>
    <mergeCell ref="F135:G135"/>
    <mergeCell ref="F136:G136"/>
    <mergeCell ref="F153:G153"/>
    <mergeCell ref="F154:G15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s>
  <pageMargins left="0.70866141732283472" right="0.70866141732283472" top="0.74803149606299213" bottom="0" header="0.31496062992125984" footer="0.31496062992125984"/>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1"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335" t="s">
        <v>987</v>
      </c>
      <c r="B1" s="1335"/>
      <c r="C1" s="1335"/>
      <c r="D1" s="1335"/>
      <c r="E1" s="1335"/>
      <c r="F1" s="1335"/>
      <c r="G1" s="1335"/>
      <c r="H1" s="1335"/>
      <c r="I1" s="1335"/>
      <c r="J1" s="1335"/>
      <c r="K1" s="1335"/>
      <c r="L1" s="1335"/>
    </row>
    <row r="2" spans="1:12" x14ac:dyDescent="0.25">
      <c r="A2" s="1131" t="s">
        <v>973</v>
      </c>
      <c r="B2" s="1131"/>
      <c r="C2" s="1131"/>
      <c r="D2" s="1131"/>
      <c r="E2" s="1131"/>
      <c r="F2" s="1131"/>
      <c r="G2" s="1131"/>
      <c r="H2" s="1131"/>
      <c r="I2" s="1131"/>
      <c r="J2" s="1131"/>
      <c r="K2" s="1131"/>
      <c r="L2" s="1131"/>
    </row>
    <row r="4" spans="1:12" x14ac:dyDescent="0.25">
      <c r="A4" s="1308" t="s">
        <v>934</v>
      </c>
      <c r="B4" s="1308"/>
      <c r="C4" s="1308"/>
      <c r="D4" s="1308"/>
      <c r="E4" s="1308"/>
      <c r="F4" s="1308"/>
      <c r="G4" s="1308"/>
      <c r="H4" s="1308"/>
      <c r="I4" s="1308"/>
      <c r="J4" s="1308"/>
      <c r="K4" s="1308"/>
      <c r="L4" s="1308"/>
    </row>
    <row r="5" spans="1:12" x14ac:dyDescent="0.25">
      <c r="A5" s="1336" t="s">
        <v>935</v>
      </c>
      <c r="B5" s="1321" t="s">
        <v>121</v>
      </c>
      <c r="C5" s="1322"/>
      <c r="D5" s="1322"/>
      <c r="E5" s="1322"/>
      <c r="F5" s="1322"/>
      <c r="G5" s="1322"/>
      <c r="H5" s="1323"/>
      <c r="I5" s="1132" t="s">
        <v>1</v>
      </c>
      <c r="J5" s="1136" t="s">
        <v>936</v>
      </c>
      <c r="K5" s="1137"/>
      <c r="L5" s="1138"/>
    </row>
    <row r="6" spans="1:12" x14ac:dyDescent="0.25">
      <c r="A6" s="1337"/>
      <c r="B6" s="1324"/>
      <c r="C6" s="1325"/>
      <c r="D6" s="1325"/>
      <c r="E6" s="1325"/>
      <c r="F6" s="1325"/>
      <c r="G6" s="1325"/>
      <c r="H6" s="1326"/>
      <c r="I6" s="1133"/>
      <c r="J6" s="475">
        <v>2018</v>
      </c>
      <c r="K6" s="78">
        <v>2019</v>
      </c>
      <c r="L6" s="78">
        <v>2020</v>
      </c>
    </row>
    <row r="7" spans="1:12" x14ac:dyDescent="0.25">
      <c r="A7" s="344"/>
      <c r="B7" s="345"/>
      <c r="C7" s="345"/>
      <c r="D7" s="345"/>
      <c r="E7" s="345"/>
      <c r="F7" s="345"/>
      <c r="G7" s="345"/>
      <c r="H7" s="345"/>
      <c r="I7" s="451"/>
      <c r="J7" s="317"/>
      <c r="K7" s="41">
        <v>0</v>
      </c>
      <c r="L7" s="41">
        <v>0</v>
      </c>
    </row>
    <row r="8" spans="1:12" ht="0.75" customHeight="1" x14ac:dyDescent="0.25">
      <c r="A8" s="344"/>
      <c r="B8" s="345"/>
      <c r="C8" s="345"/>
      <c r="D8" s="345"/>
      <c r="E8" s="345"/>
      <c r="F8" s="345"/>
      <c r="G8" s="345"/>
      <c r="H8" s="345"/>
      <c r="I8" s="451"/>
      <c r="J8" s="317"/>
      <c r="K8" s="41"/>
      <c r="L8" s="41"/>
    </row>
    <row r="9" spans="1:12" hidden="1" x14ac:dyDescent="0.25">
      <c r="A9" s="344"/>
      <c r="B9" s="348"/>
      <c r="C9" s="348"/>
      <c r="D9" s="348"/>
      <c r="E9" s="348"/>
      <c r="F9" s="348"/>
      <c r="G9" s="348"/>
      <c r="H9" s="348"/>
      <c r="I9" s="346"/>
      <c r="J9" s="349"/>
      <c r="K9" s="365"/>
      <c r="L9" s="365"/>
    </row>
    <row r="10" spans="1:12" hidden="1" x14ac:dyDescent="0.25">
      <c r="A10" s="344"/>
      <c r="B10" s="350"/>
      <c r="C10" s="350"/>
      <c r="D10" s="350"/>
      <c r="E10" s="350"/>
      <c r="F10" s="350"/>
      <c r="G10" s="350"/>
      <c r="H10" s="350"/>
      <c r="I10" s="453"/>
      <c r="J10" s="351"/>
      <c r="K10" s="365"/>
      <c r="L10" s="365"/>
    </row>
    <row r="11" spans="1:12" hidden="1" x14ac:dyDescent="0.25">
      <c r="A11" s="344"/>
      <c r="B11" s="350"/>
      <c r="C11" s="350"/>
      <c r="D11" s="350"/>
      <c r="E11" s="350"/>
      <c r="F11" s="350"/>
      <c r="G11" s="350"/>
      <c r="H11" s="350"/>
      <c r="I11" s="436"/>
      <c r="J11" s="351"/>
      <c r="K11" s="365"/>
      <c r="L11" s="365"/>
    </row>
    <row r="12" spans="1:12" hidden="1" x14ac:dyDescent="0.25">
      <c r="A12" s="344"/>
      <c r="B12" s="350"/>
      <c r="C12" s="350"/>
      <c r="D12" s="350"/>
      <c r="E12" s="350"/>
      <c r="F12" s="350"/>
      <c r="G12" s="350"/>
      <c r="H12" s="350"/>
      <c r="I12" s="436"/>
      <c r="J12" s="351"/>
      <c r="K12" s="365"/>
      <c r="L12" s="365"/>
    </row>
    <row r="13" spans="1:12" hidden="1" x14ac:dyDescent="0.25">
      <c r="A13" s="344"/>
      <c r="B13" s="350"/>
      <c r="C13" s="350"/>
      <c r="D13" s="350"/>
      <c r="E13" s="350"/>
      <c r="F13" s="350"/>
      <c r="G13" s="350"/>
      <c r="H13" s="350"/>
      <c r="I13" s="473"/>
      <c r="J13" s="351"/>
      <c r="K13" s="110"/>
      <c r="L13" s="110"/>
    </row>
    <row r="14" spans="1:12" ht="0.75" hidden="1" customHeight="1" x14ac:dyDescent="0.25">
      <c r="A14" s="344"/>
      <c r="B14" s="350"/>
      <c r="C14" s="350"/>
      <c r="D14" s="350"/>
      <c r="E14" s="350"/>
      <c r="F14" s="350"/>
      <c r="G14" s="350"/>
      <c r="H14" s="350"/>
      <c r="I14" s="346"/>
      <c r="J14" s="351"/>
      <c r="K14" s="110">
        <v>0</v>
      </c>
      <c r="L14" s="110">
        <v>0</v>
      </c>
    </row>
    <row r="15" spans="1:12" hidden="1" x14ac:dyDescent="0.25">
      <c r="A15" s="344"/>
      <c r="B15" s="350"/>
      <c r="C15" s="350"/>
      <c r="D15" s="350"/>
      <c r="E15" s="350"/>
      <c r="F15" s="350"/>
      <c r="G15" s="350"/>
      <c r="H15" s="350"/>
      <c r="I15" s="346"/>
      <c r="J15" s="351"/>
      <c r="K15" s="110">
        <v>0</v>
      </c>
      <c r="L15" s="110">
        <v>0</v>
      </c>
    </row>
    <row r="16" spans="1:12" hidden="1" x14ac:dyDescent="0.25">
      <c r="A16" s="344"/>
      <c r="B16" s="350"/>
      <c r="C16" s="350"/>
      <c r="D16" s="350"/>
      <c r="E16" s="350"/>
      <c r="F16" s="350"/>
      <c r="G16" s="350"/>
      <c r="H16" s="350"/>
      <c r="I16" s="346"/>
      <c r="J16" s="351"/>
      <c r="K16" s="110">
        <v>0</v>
      </c>
      <c r="L16" s="110">
        <v>0</v>
      </c>
    </row>
    <row r="17" spans="1:12" hidden="1" x14ac:dyDescent="0.25">
      <c r="A17" s="344"/>
      <c r="B17" s="350"/>
      <c r="C17" s="350"/>
      <c r="D17" s="350"/>
      <c r="E17" s="350"/>
      <c r="F17" s="350"/>
      <c r="G17" s="350"/>
      <c r="H17" s="350"/>
      <c r="I17" s="353"/>
      <c r="J17" s="351"/>
      <c r="K17" s="110">
        <v>0</v>
      </c>
      <c r="L17" s="110">
        <v>0</v>
      </c>
    </row>
    <row r="18" spans="1:12" hidden="1" x14ac:dyDescent="0.25">
      <c r="A18" s="344"/>
      <c r="B18" s="350"/>
      <c r="C18" s="350"/>
      <c r="D18" s="350"/>
      <c r="E18" s="350"/>
      <c r="F18" s="350"/>
      <c r="G18" s="350"/>
      <c r="H18" s="350"/>
      <c r="I18" s="352"/>
      <c r="J18" s="351"/>
      <c r="K18" s="110">
        <v>0</v>
      </c>
      <c r="L18" s="110">
        <v>0</v>
      </c>
    </row>
    <row r="19" spans="1:12" hidden="1" x14ac:dyDescent="0.25">
      <c r="A19" s="344"/>
      <c r="B19" s="350"/>
      <c r="C19" s="350"/>
      <c r="D19" s="350"/>
      <c r="E19" s="350"/>
      <c r="F19" s="350"/>
      <c r="G19" s="350"/>
      <c r="H19" s="350"/>
      <c r="I19" s="352"/>
      <c r="J19" s="351"/>
      <c r="K19" s="110">
        <v>0</v>
      </c>
      <c r="L19" s="110">
        <v>0</v>
      </c>
    </row>
    <row r="20" spans="1:12" hidden="1" x14ac:dyDescent="0.25">
      <c r="A20" s="344"/>
      <c r="B20" s="350"/>
      <c r="C20" s="350"/>
      <c r="D20" s="350"/>
      <c r="E20" s="350"/>
      <c r="F20" s="350"/>
      <c r="G20" s="350"/>
      <c r="H20" s="350"/>
      <c r="I20" s="353"/>
      <c r="J20" s="351"/>
      <c r="K20" s="110">
        <v>0</v>
      </c>
      <c r="L20" s="110">
        <v>0</v>
      </c>
    </row>
    <row r="21" spans="1:12" hidden="1" x14ac:dyDescent="0.25">
      <c r="A21" s="344"/>
      <c r="B21" s="350"/>
      <c r="C21" s="350"/>
      <c r="D21" s="350"/>
      <c r="E21" s="350"/>
      <c r="F21" s="350"/>
      <c r="G21" s="350"/>
      <c r="H21" s="350"/>
      <c r="I21" s="353"/>
      <c r="J21" s="351"/>
      <c r="K21" s="110">
        <v>0</v>
      </c>
      <c r="L21" s="110">
        <v>0</v>
      </c>
    </row>
    <row r="22" spans="1:12" hidden="1" x14ac:dyDescent="0.25">
      <c r="A22" s="344"/>
      <c r="B22" s="350"/>
      <c r="C22" s="350"/>
      <c r="D22" s="350"/>
      <c r="E22" s="350"/>
      <c r="F22" s="350"/>
      <c r="G22" s="350"/>
      <c r="H22" s="350"/>
      <c r="I22" s="354"/>
      <c r="J22" s="351"/>
      <c r="K22" s="110">
        <v>0</v>
      </c>
      <c r="L22" s="110">
        <v>0</v>
      </c>
    </row>
    <row r="23" spans="1:12" hidden="1" x14ac:dyDescent="0.25">
      <c r="A23" s="344"/>
      <c r="B23" s="350"/>
      <c r="C23" s="350"/>
      <c r="D23" s="350"/>
      <c r="E23" s="350"/>
      <c r="F23" s="350"/>
      <c r="G23" s="350"/>
      <c r="H23" s="350"/>
      <c r="I23" s="352"/>
      <c r="J23" s="351"/>
      <c r="K23" s="110">
        <v>0</v>
      </c>
      <c r="L23" s="110">
        <v>0</v>
      </c>
    </row>
    <row r="24" spans="1:12" hidden="1" x14ac:dyDescent="0.25">
      <c r="A24" s="344"/>
      <c r="B24" s="350"/>
      <c r="C24" s="350"/>
      <c r="D24" s="350"/>
      <c r="E24" s="350"/>
      <c r="F24" s="350"/>
      <c r="G24" s="350"/>
      <c r="H24" s="350"/>
      <c r="I24" s="346"/>
      <c r="J24" s="351"/>
      <c r="K24" s="110">
        <v>0</v>
      </c>
      <c r="L24" s="110">
        <v>0</v>
      </c>
    </row>
    <row r="25" spans="1:12" hidden="1" x14ac:dyDescent="0.25">
      <c r="A25" s="344"/>
      <c r="B25" s="350"/>
      <c r="C25" s="350"/>
      <c r="D25" s="350"/>
      <c r="E25" s="350"/>
      <c r="F25" s="350"/>
      <c r="G25" s="350"/>
      <c r="H25" s="350"/>
      <c r="I25" s="346"/>
      <c r="J25" s="351"/>
      <c r="K25" s="110">
        <v>0</v>
      </c>
      <c r="L25" s="110">
        <v>0</v>
      </c>
    </row>
    <row r="26" spans="1:12" hidden="1" x14ac:dyDescent="0.25">
      <c r="A26" s="344"/>
      <c r="B26" s="350"/>
      <c r="C26" s="350"/>
      <c r="D26" s="350"/>
      <c r="E26" s="350"/>
      <c r="F26" s="350"/>
      <c r="G26" s="350"/>
      <c r="H26" s="350"/>
      <c r="I26" s="346"/>
      <c r="J26" s="351"/>
      <c r="K26" s="110">
        <v>0</v>
      </c>
      <c r="L26" s="110">
        <v>0</v>
      </c>
    </row>
    <row r="27" spans="1:12" hidden="1" x14ac:dyDescent="0.25">
      <c r="A27" s="344"/>
      <c r="B27" s="350"/>
      <c r="C27" s="350"/>
      <c r="D27" s="350"/>
      <c r="E27" s="350"/>
      <c r="F27" s="350"/>
      <c r="G27" s="350"/>
      <c r="H27" s="350"/>
      <c r="I27" s="346"/>
      <c r="J27" s="351"/>
      <c r="K27" s="110">
        <v>0</v>
      </c>
      <c r="L27" s="110">
        <v>0</v>
      </c>
    </row>
    <row r="28" spans="1:12" hidden="1" x14ac:dyDescent="0.25">
      <c r="A28" s="344"/>
      <c r="B28" s="350"/>
      <c r="C28" s="350"/>
      <c r="D28" s="350"/>
      <c r="E28" s="350"/>
      <c r="F28" s="350"/>
      <c r="G28" s="350"/>
      <c r="H28" s="350"/>
      <c r="I28" s="355"/>
      <c r="J28" s="351"/>
      <c r="K28" s="110">
        <v>0</v>
      </c>
      <c r="L28" s="110">
        <v>0</v>
      </c>
    </row>
    <row r="29" spans="1:12" hidden="1" x14ac:dyDescent="0.25">
      <c r="A29" s="344"/>
      <c r="B29" s="350"/>
      <c r="C29" s="350"/>
      <c r="D29" s="350"/>
      <c r="E29" s="350"/>
      <c r="F29" s="350"/>
      <c r="G29" s="350"/>
      <c r="H29" s="350"/>
      <c r="I29" s="346"/>
      <c r="J29" s="351"/>
      <c r="K29" s="110">
        <v>0</v>
      </c>
      <c r="L29" s="110">
        <v>0</v>
      </c>
    </row>
    <row r="30" spans="1:12" hidden="1" x14ac:dyDescent="0.25">
      <c r="A30" s="344"/>
      <c r="B30" s="350"/>
      <c r="C30" s="350"/>
      <c r="D30" s="350"/>
      <c r="E30" s="350"/>
      <c r="F30" s="350"/>
      <c r="G30" s="350"/>
      <c r="H30" s="350"/>
      <c r="I30" s="346"/>
      <c r="J30" s="351"/>
      <c r="K30" s="110">
        <v>0</v>
      </c>
      <c r="L30" s="110">
        <v>0</v>
      </c>
    </row>
    <row r="31" spans="1:12" hidden="1" x14ac:dyDescent="0.25">
      <c r="A31" s="344"/>
      <c r="B31" s="350"/>
      <c r="C31" s="350"/>
      <c r="D31" s="350"/>
      <c r="E31" s="350"/>
      <c r="F31" s="350"/>
      <c r="G31" s="350"/>
      <c r="H31" s="350"/>
      <c r="I31" s="346"/>
      <c r="J31" s="351"/>
      <c r="K31" s="110">
        <v>0</v>
      </c>
      <c r="L31" s="110">
        <v>0</v>
      </c>
    </row>
    <row r="32" spans="1:12" hidden="1" x14ac:dyDescent="0.25">
      <c r="A32" s="344"/>
      <c r="B32" s="350"/>
      <c r="C32" s="350"/>
      <c r="D32" s="350"/>
      <c r="E32" s="350"/>
      <c r="F32" s="350"/>
      <c r="G32" s="350"/>
      <c r="H32" s="350"/>
      <c r="I32" s="346"/>
      <c r="J32" s="351"/>
      <c r="K32" s="110">
        <v>0</v>
      </c>
      <c r="L32" s="110">
        <v>0</v>
      </c>
    </row>
    <row r="33" spans="1:12" hidden="1" x14ac:dyDescent="0.25">
      <c r="A33" s="344"/>
      <c r="B33" s="350"/>
      <c r="C33" s="350"/>
      <c r="D33" s="350"/>
      <c r="E33" s="350"/>
      <c r="F33" s="350"/>
      <c r="G33" s="350"/>
      <c r="H33" s="350"/>
      <c r="I33" s="356"/>
      <c r="J33" s="351"/>
      <c r="K33" s="110">
        <v>0</v>
      </c>
      <c r="L33" s="110">
        <v>0</v>
      </c>
    </row>
    <row r="34" spans="1:12" ht="9.75" hidden="1" customHeight="1" x14ac:dyDescent="0.25">
      <c r="A34" s="344"/>
      <c r="B34" s="350"/>
      <c r="C34" s="350"/>
      <c r="D34" s="350"/>
      <c r="E34" s="350"/>
      <c r="F34" s="350"/>
      <c r="G34" s="350"/>
      <c r="H34" s="350"/>
      <c r="I34" s="354"/>
      <c r="J34" s="351"/>
      <c r="K34" s="110">
        <v>0</v>
      </c>
      <c r="L34" s="110">
        <v>0</v>
      </c>
    </row>
    <row r="35" spans="1:12" hidden="1" x14ac:dyDescent="0.25">
      <c r="A35" s="344"/>
      <c r="B35" s="350"/>
      <c r="C35" s="350"/>
      <c r="D35" s="350"/>
      <c r="E35" s="350"/>
      <c r="F35" s="350"/>
      <c r="G35" s="350"/>
      <c r="H35" s="350"/>
      <c r="I35" s="451"/>
      <c r="J35" s="351"/>
      <c r="K35" s="365"/>
      <c r="L35" s="110"/>
    </row>
    <row r="36" spans="1:12" hidden="1" x14ac:dyDescent="0.25">
      <c r="A36" s="344"/>
      <c r="B36" s="350"/>
      <c r="C36" s="350"/>
      <c r="D36" s="350"/>
      <c r="E36" s="350"/>
      <c r="F36" s="350"/>
      <c r="G36" s="350"/>
      <c r="H36" s="350"/>
      <c r="I36" s="451"/>
      <c r="J36" s="351"/>
      <c r="K36" s="365"/>
      <c r="L36" s="365"/>
    </row>
    <row r="37" spans="1:12" hidden="1" x14ac:dyDescent="0.25">
      <c r="A37" s="344"/>
      <c r="B37" s="350"/>
      <c r="C37" s="350"/>
      <c r="D37" s="350"/>
      <c r="E37" s="350"/>
      <c r="F37" s="350"/>
      <c r="G37" s="350"/>
      <c r="H37" s="350"/>
      <c r="I37" s="453"/>
      <c r="J37" s="351"/>
      <c r="K37" s="110">
        <v>0</v>
      </c>
      <c r="L37" s="110">
        <v>0</v>
      </c>
    </row>
    <row r="38" spans="1:12" hidden="1" x14ac:dyDescent="0.25">
      <c r="A38" s="344"/>
      <c r="B38" s="350"/>
      <c r="C38" s="350"/>
      <c r="D38" s="350"/>
      <c r="E38" s="350"/>
      <c r="F38" s="350"/>
      <c r="G38" s="350"/>
      <c r="H38" s="350"/>
      <c r="I38" s="352"/>
      <c r="J38" s="351"/>
      <c r="K38" s="110">
        <v>0</v>
      </c>
      <c r="L38" s="110">
        <v>0</v>
      </c>
    </row>
    <row r="39" spans="1:12" hidden="1" x14ac:dyDescent="0.25">
      <c r="A39" s="344"/>
      <c r="B39" s="350"/>
      <c r="C39" s="350"/>
      <c r="D39" s="350"/>
      <c r="E39" s="350"/>
      <c r="F39" s="350"/>
      <c r="G39" s="350"/>
      <c r="H39" s="350"/>
      <c r="I39" s="346"/>
      <c r="J39" s="351"/>
      <c r="K39" s="110">
        <v>0</v>
      </c>
      <c r="L39" s="110">
        <v>0</v>
      </c>
    </row>
    <row r="40" spans="1:12" hidden="1" x14ac:dyDescent="0.25">
      <c r="A40" s="344"/>
      <c r="B40" s="350"/>
      <c r="C40" s="350"/>
      <c r="D40" s="350"/>
      <c r="E40" s="350"/>
      <c r="F40" s="350"/>
      <c r="G40" s="350"/>
      <c r="H40" s="350"/>
      <c r="I40" s="346"/>
      <c r="J40" s="351"/>
      <c r="K40" s="110">
        <v>0</v>
      </c>
      <c r="L40" s="110">
        <v>0</v>
      </c>
    </row>
    <row r="41" spans="1:12" hidden="1" x14ac:dyDescent="0.25">
      <c r="A41" s="344"/>
      <c r="B41" s="350"/>
      <c r="C41" s="350"/>
      <c r="D41" s="350"/>
      <c r="E41" s="350"/>
      <c r="F41" s="350"/>
      <c r="G41" s="350"/>
      <c r="H41" s="350"/>
      <c r="I41" s="355"/>
      <c r="J41" s="351"/>
      <c r="K41" s="110">
        <v>0</v>
      </c>
      <c r="L41" s="110">
        <v>0</v>
      </c>
    </row>
    <row r="42" spans="1:12" hidden="1" x14ac:dyDescent="0.25">
      <c r="A42" s="344"/>
      <c r="B42" s="350"/>
      <c r="C42" s="350"/>
      <c r="D42" s="350"/>
      <c r="E42" s="350"/>
      <c r="F42" s="350"/>
      <c r="G42" s="350"/>
      <c r="H42" s="350"/>
      <c r="I42" s="352"/>
      <c r="J42" s="351"/>
      <c r="K42" s="110">
        <v>0</v>
      </c>
      <c r="L42" s="110">
        <v>0</v>
      </c>
    </row>
    <row r="43" spans="1:12" hidden="1" x14ac:dyDescent="0.25">
      <c r="A43" s="344"/>
      <c r="B43" s="350"/>
      <c r="C43" s="350"/>
      <c r="D43" s="350"/>
      <c r="E43" s="350"/>
      <c r="F43" s="350"/>
      <c r="G43" s="350"/>
      <c r="H43" s="350"/>
      <c r="I43" s="357"/>
      <c r="J43" s="351"/>
      <c r="K43" s="110">
        <v>0</v>
      </c>
      <c r="L43" s="110">
        <v>0</v>
      </c>
    </row>
    <row r="44" spans="1:12" hidden="1" x14ac:dyDescent="0.25">
      <c r="A44" s="344"/>
      <c r="B44" s="350"/>
      <c r="C44" s="350"/>
      <c r="D44" s="350"/>
      <c r="E44" s="350"/>
      <c r="F44" s="350"/>
      <c r="G44" s="350"/>
      <c r="H44" s="350"/>
      <c r="I44" s="357"/>
      <c r="J44" s="351"/>
      <c r="K44" s="110">
        <v>0</v>
      </c>
      <c r="L44" s="110">
        <v>0</v>
      </c>
    </row>
    <row r="45" spans="1:12" hidden="1" x14ac:dyDescent="0.25">
      <c r="A45" s="344"/>
      <c r="B45" s="350"/>
      <c r="C45" s="350"/>
      <c r="D45" s="350"/>
      <c r="E45" s="350"/>
      <c r="F45" s="350"/>
      <c r="G45" s="350"/>
      <c r="H45" s="350"/>
      <c r="I45" s="352"/>
      <c r="J45" s="351"/>
      <c r="K45" s="110">
        <v>0</v>
      </c>
      <c r="L45" s="110">
        <v>0</v>
      </c>
    </row>
    <row r="46" spans="1:12" hidden="1" x14ac:dyDescent="0.25">
      <c r="A46" s="344"/>
      <c r="B46" s="350"/>
      <c r="C46" s="350"/>
      <c r="D46" s="350"/>
      <c r="E46" s="350"/>
      <c r="F46" s="350"/>
      <c r="G46" s="350"/>
      <c r="H46" s="350"/>
      <c r="I46" s="352"/>
      <c r="J46" s="351"/>
      <c r="K46" s="110">
        <v>0</v>
      </c>
      <c r="L46" s="110">
        <v>0</v>
      </c>
    </row>
    <row r="47" spans="1:12" hidden="1" x14ac:dyDescent="0.25">
      <c r="A47" s="344"/>
      <c r="B47" s="350"/>
      <c r="C47" s="350"/>
      <c r="D47" s="350"/>
      <c r="E47" s="350"/>
      <c r="F47" s="350"/>
      <c r="G47" s="350"/>
      <c r="H47" s="350"/>
      <c r="I47" s="346"/>
      <c r="J47" s="351"/>
      <c r="K47" s="110">
        <v>0</v>
      </c>
      <c r="L47" s="110">
        <v>0</v>
      </c>
    </row>
    <row r="48" spans="1:12" hidden="1" x14ac:dyDescent="0.25">
      <c r="A48" s="344"/>
      <c r="B48" s="350"/>
      <c r="C48" s="350"/>
      <c r="D48" s="350"/>
      <c r="E48" s="350"/>
      <c r="F48" s="350"/>
      <c r="G48" s="350"/>
      <c r="H48" s="350"/>
      <c r="I48" s="355"/>
      <c r="J48" s="351"/>
      <c r="K48" s="110">
        <v>0</v>
      </c>
      <c r="L48" s="110">
        <v>0</v>
      </c>
    </row>
    <row r="49" spans="1:14" hidden="1" x14ac:dyDescent="0.25">
      <c r="A49" s="344"/>
      <c r="B49" s="350"/>
      <c r="C49" s="350"/>
      <c r="D49" s="350"/>
      <c r="E49" s="350"/>
      <c r="F49" s="350"/>
      <c r="G49" s="350"/>
      <c r="H49" s="350"/>
      <c r="I49" s="353"/>
      <c r="J49" s="351"/>
      <c r="K49" s="110">
        <v>0</v>
      </c>
      <c r="L49" s="110">
        <v>0</v>
      </c>
    </row>
    <row r="50" spans="1:14" hidden="1" x14ac:dyDescent="0.25">
      <c r="A50" s="344"/>
      <c r="B50" s="350"/>
      <c r="C50" s="350"/>
      <c r="D50" s="350"/>
      <c r="E50" s="350"/>
      <c r="F50" s="350"/>
      <c r="G50" s="350"/>
      <c r="H50" s="350"/>
      <c r="I50" s="358"/>
      <c r="J50" s="351"/>
      <c r="K50" s="110">
        <v>0</v>
      </c>
      <c r="L50" s="110">
        <v>0</v>
      </c>
    </row>
    <row r="51" spans="1:14" hidden="1" x14ac:dyDescent="0.25">
      <c r="A51" s="344"/>
      <c r="B51" s="350"/>
      <c r="C51" s="350"/>
      <c r="D51" s="350"/>
      <c r="E51" s="350"/>
      <c r="F51" s="350"/>
      <c r="G51" s="350"/>
      <c r="H51" s="350"/>
      <c r="I51" s="356"/>
      <c r="J51" s="351"/>
      <c r="K51" s="110">
        <v>0</v>
      </c>
      <c r="L51" s="110">
        <v>0</v>
      </c>
    </row>
    <row r="52" spans="1:14" hidden="1" x14ac:dyDescent="0.25">
      <c r="A52" s="344"/>
      <c r="B52" s="350"/>
      <c r="C52" s="350"/>
      <c r="D52" s="350"/>
      <c r="E52" s="350"/>
      <c r="F52" s="350"/>
      <c r="G52" s="350"/>
      <c r="H52" s="350"/>
      <c r="I52" s="356"/>
      <c r="J52" s="351"/>
      <c r="K52" s="110">
        <v>0</v>
      </c>
      <c r="L52" s="110">
        <v>0</v>
      </c>
    </row>
    <row r="53" spans="1:14" hidden="1" x14ac:dyDescent="0.25">
      <c r="A53" s="344"/>
      <c r="B53" s="350"/>
      <c r="C53" s="350"/>
      <c r="D53" s="350"/>
      <c r="E53" s="350"/>
      <c r="F53" s="350"/>
      <c r="G53" s="350"/>
      <c r="H53" s="350"/>
      <c r="I53" s="356"/>
      <c r="J53" s="351"/>
      <c r="K53" s="110">
        <v>0</v>
      </c>
      <c r="L53" s="110">
        <v>0</v>
      </c>
    </row>
    <row r="54" spans="1:14" hidden="1" x14ac:dyDescent="0.25">
      <c r="A54" s="344"/>
      <c r="B54" s="350"/>
      <c r="C54" s="350"/>
      <c r="D54" s="350"/>
      <c r="E54" s="350"/>
      <c r="F54" s="350"/>
      <c r="G54" s="350"/>
      <c r="H54" s="350"/>
      <c r="I54" s="355"/>
      <c r="J54" s="351"/>
      <c r="K54" s="110">
        <v>0</v>
      </c>
      <c r="L54" s="110">
        <v>0</v>
      </c>
    </row>
    <row r="55" spans="1:14" hidden="1" x14ac:dyDescent="0.25">
      <c r="A55" s="344"/>
      <c r="B55" s="350"/>
      <c r="C55" s="350"/>
      <c r="D55" s="350"/>
      <c r="E55" s="350"/>
      <c r="F55" s="350"/>
      <c r="G55" s="350"/>
      <c r="H55" s="350"/>
      <c r="I55" s="358"/>
      <c r="J55" s="351"/>
      <c r="K55" s="110">
        <v>0</v>
      </c>
      <c r="L55" s="110">
        <v>0</v>
      </c>
    </row>
    <row r="56" spans="1:14" hidden="1" x14ac:dyDescent="0.25">
      <c r="A56" s="344"/>
      <c r="B56" s="350"/>
      <c r="C56" s="350"/>
      <c r="D56" s="350"/>
      <c r="E56" s="350"/>
      <c r="F56" s="350"/>
      <c r="G56" s="350"/>
      <c r="H56" s="350"/>
      <c r="I56" s="358"/>
      <c r="J56" s="351"/>
      <c r="K56" s="110">
        <v>0</v>
      </c>
      <c r="L56" s="110">
        <v>0</v>
      </c>
    </row>
    <row r="57" spans="1:14" hidden="1" x14ac:dyDescent="0.25">
      <c r="A57" s="344"/>
      <c r="B57" s="350"/>
      <c r="C57" s="350"/>
      <c r="D57" s="350"/>
      <c r="E57" s="350"/>
      <c r="F57" s="350"/>
      <c r="G57" s="350"/>
      <c r="H57" s="350"/>
      <c r="I57" s="358"/>
      <c r="J57" s="351"/>
      <c r="K57" s="110">
        <v>0</v>
      </c>
      <c r="L57" s="110">
        <v>0</v>
      </c>
    </row>
    <row r="58" spans="1:14" hidden="1" x14ac:dyDescent="0.25">
      <c r="A58" s="344"/>
      <c r="B58" s="350"/>
      <c r="C58" s="350"/>
      <c r="D58" s="350"/>
      <c r="E58" s="350"/>
      <c r="F58" s="350"/>
      <c r="G58" s="350"/>
      <c r="H58" s="350"/>
      <c r="I58" s="355"/>
      <c r="J58" s="351"/>
      <c r="K58" s="110">
        <v>0</v>
      </c>
      <c r="L58" s="110">
        <v>0</v>
      </c>
    </row>
    <row r="59" spans="1:14" hidden="1" x14ac:dyDescent="0.25">
      <c r="A59" s="344"/>
      <c r="B59" s="350"/>
      <c r="C59" s="350"/>
      <c r="D59" s="350"/>
      <c r="E59" s="350"/>
      <c r="F59" s="350"/>
      <c r="G59" s="350"/>
      <c r="H59" s="350"/>
      <c r="I59" s="228"/>
      <c r="J59" s="351"/>
      <c r="K59" s="110">
        <v>0</v>
      </c>
      <c r="L59" s="110">
        <v>0</v>
      </c>
    </row>
    <row r="60" spans="1:14" hidden="1" x14ac:dyDescent="0.25">
      <c r="A60" s="344"/>
      <c r="B60" s="350"/>
      <c r="C60" s="350"/>
      <c r="D60" s="350"/>
      <c r="E60" s="350"/>
      <c r="F60" s="350"/>
      <c r="G60" s="350"/>
      <c r="H60" s="350"/>
      <c r="I60" s="346"/>
      <c r="J60" s="351"/>
      <c r="K60" s="110">
        <v>0</v>
      </c>
      <c r="L60" s="110">
        <v>0</v>
      </c>
    </row>
    <row r="61" spans="1:14" hidden="1" x14ac:dyDescent="0.25">
      <c r="A61" s="344"/>
      <c r="B61" s="350"/>
      <c r="C61" s="350"/>
      <c r="D61" s="350"/>
      <c r="E61" s="350"/>
      <c r="F61" s="350"/>
      <c r="G61" s="350"/>
      <c r="H61" s="350"/>
      <c r="I61" s="359"/>
      <c r="J61" s="351"/>
      <c r="K61" s="110">
        <v>0</v>
      </c>
      <c r="L61" s="110">
        <v>0</v>
      </c>
      <c r="N61" s="360"/>
    </row>
    <row r="62" spans="1:14" x14ac:dyDescent="0.25">
      <c r="A62" s="82"/>
      <c r="B62" s="1342" t="s">
        <v>937</v>
      </c>
      <c r="C62" s="1342"/>
      <c r="D62" s="1342"/>
      <c r="E62" s="1342"/>
      <c r="F62" s="1342"/>
      <c r="G62" s="1342"/>
      <c r="H62" s="1342"/>
      <c r="I62" s="1342"/>
      <c r="J62" s="46">
        <f>SUM(J7:J52)+J53+J54+J57+J58+J59+J55+J56+J61+J60</f>
        <v>0</v>
      </c>
      <c r="K62" s="46">
        <f t="shared" ref="K62:L62" si="0">SUM(K7:K52)</f>
        <v>0</v>
      </c>
      <c r="L62" s="46">
        <f t="shared" si="0"/>
        <v>0</v>
      </c>
    </row>
    <row r="63" spans="1:14" x14ac:dyDescent="0.25">
      <c r="B63" s="361"/>
      <c r="C63" s="361"/>
      <c r="D63" s="361"/>
      <c r="E63" s="361"/>
      <c r="F63" s="361"/>
      <c r="G63" s="361"/>
    </row>
    <row r="64" spans="1:14" x14ac:dyDescent="0.25">
      <c r="B64" s="1308" t="s">
        <v>938</v>
      </c>
      <c r="C64" s="1308"/>
      <c r="D64" s="1308"/>
      <c r="E64" s="1308"/>
      <c r="F64" s="1308"/>
      <c r="G64" s="1308"/>
      <c r="H64" s="1308"/>
      <c r="I64" s="1308"/>
      <c r="J64" s="1308"/>
    </row>
    <row r="65" spans="1:14" x14ac:dyDescent="0.25">
      <c r="A65" s="1343" t="s">
        <v>935</v>
      </c>
      <c r="B65" s="1321" t="s">
        <v>121</v>
      </c>
      <c r="C65" s="1322"/>
      <c r="D65" s="1322"/>
      <c r="E65" s="1322"/>
      <c r="F65" s="1322"/>
      <c r="G65" s="1322"/>
      <c r="H65" s="1323"/>
      <c r="I65" s="1132" t="s">
        <v>1</v>
      </c>
      <c r="J65" s="1136" t="s">
        <v>936</v>
      </c>
      <c r="K65" s="1137"/>
      <c r="L65" s="1138"/>
    </row>
    <row r="66" spans="1:14" x14ac:dyDescent="0.25">
      <c r="A66" s="1344"/>
      <c r="B66" s="1324"/>
      <c r="C66" s="1325"/>
      <c r="D66" s="1325"/>
      <c r="E66" s="1325"/>
      <c r="F66" s="1325"/>
      <c r="G66" s="1325"/>
      <c r="H66" s="1326"/>
      <c r="I66" s="1133"/>
      <c r="J66" s="475">
        <v>2018</v>
      </c>
      <c r="K66" s="78">
        <v>2019</v>
      </c>
      <c r="L66" s="78">
        <v>2020</v>
      </c>
    </row>
    <row r="67" spans="1:14" x14ac:dyDescent="0.25">
      <c r="A67" s="362"/>
      <c r="B67" s="1338"/>
      <c r="C67" s="1338"/>
      <c r="D67" s="1338"/>
      <c r="E67" s="1338"/>
      <c r="F67" s="1338"/>
      <c r="G67" s="1338"/>
      <c r="H67" s="1338"/>
      <c r="I67" s="363"/>
      <c r="J67" s="41">
        <v>0</v>
      </c>
      <c r="K67" s="110">
        <v>0</v>
      </c>
      <c r="L67" s="84">
        <v>0</v>
      </c>
      <c r="N67" s="360"/>
    </row>
    <row r="68" spans="1:14" x14ac:dyDescent="0.25">
      <c r="A68" s="344"/>
      <c r="B68" s="1339"/>
      <c r="C68" s="1340"/>
      <c r="D68" s="1340"/>
      <c r="E68" s="1340"/>
      <c r="F68" s="1340"/>
      <c r="G68" s="1340"/>
      <c r="H68" s="1341"/>
      <c r="I68" s="363"/>
      <c r="J68" s="41">
        <v>0</v>
      </c>
      <c r="K68" s="110">
        <v>0</v>
      </c>
      <c r="L68" s="84">
        <v>0</v>
      </c>
    </row>
    <row r="69" spans="1:14" ht="3" hidden="1" customHeight="1" x14ac:dyDescent="0.25">
      <c r="A69" s="366"/>
      <c r="B69" s="1345"/>
      <c r="C69" s="1346"/>
      <c r="D69" s="1346"/>
      <c r="E69" s="1346"/>
      <c r="F69" s="1346"/>
      <c r="G69" s="1346"/>
      <c r="H69" s="1347"/>
      <c r="I69" s="367"/>
      <c r="J69" s="41"/>
      <c r="K69" s="84"/>
      <c r="L69" s="84"/>
    </row>
    <row r="70" spans="1:14" hidden="1" x14ac:dyDescent="0.25">
      <c r="A70" s="366"/>
      <c r="B70" s="1345"/>
      <c r="C70" s="1346"/>
      <c r="D70" s="1346"/>
      <c r="E70" s="1346"/>
      <c r="F70" s="1346"/>
      <c r="G70" s="1346"/>
      <c r="H70" s="1347"/>
      <c r="I70" s="367"/>
      <c r="J70" s="41"/>
      <c r="K70" s="82"/>
      <c r="L70" s="82"/>
    </row>
    <row r="71" spans="1:14" hidden="1" x14ac:dyDescent="0.25">
      <c r="A71" s="82"/>
      <c r="B71" s="1345"/>
      <c r="C71" s="1346"/>
      <c r="D71" s="1346"/>
      <c r="E71" s="1346"/>
      <c r="F71" s="1346"/>
      <c r="G71" s="1346"/>
      <c r="H71" s="1346"/>
      <c r="I71" s="21"/>
      <c r="J71" s="41"/>
      <c r="K71" s="82"/>
      <c r="L71" s="82"/>
    </row>
    <row r="72" spans="1:14" x14ac:dyDescent="0.25">
      <c r="A72" s="82"/>
      <c r="B72" s="1297" t="s">
        <v>939</v>
      </c>
      <c r="C72" s="1298"/>
      <c r="D72" s="1298"/>
      <c r="E72" s="1298"/>
      <c r="F72" s="1298"/>
      <c r="G72" s="1298"/>
      <c r="H72" s="1298"/>
      <c r="I72" s="1299"/>
      <c r="J72" s="46">
        <f>SUM(J67:J71)</f>
        <v>0</v>
      </c>
      <c r="K72" s="46">
        <f>SUM(K67:K71)</f>
        <v>0</v>
      </c>
      <c r="L72" s="46">
        <f>SUM(L67:L71)</f>
        <v>0</v>
      </c>
    </row>
    <row r="73" spans="1:14" x14ac:dyDescent="0.25">
      <c r="B73" s="361"/>
      <c r="C73" s="361"/>
      <c r="D73" s="361"/>
      <c r="E73" s="361"/>
      <c r="F73" s="361"/>
      <c r="G73" s="361"/>
    </row>
    <row r="74" spans="1:14" x14ac:dyDescent="0.25">
      <c r="B74" s="361"/>
      <c r="C74" s="361"/>
      <c r="D74" s="361"/>
      <c r="E74" s="361"/>
      <c r="F74" s="361"/>
      <c r="G74" s="361"/>
    </row>
    <row r="75" spans="1:14" x14ac:dyDescent="0.25">
      <c r="B75" s="1308" t="s">
        <v>940</v>
      </c>
      <c r="C75" s="1308"/>
      <c r="D75" s="1308"/>
      <c r="E75" s="1308"/>
      <c r="F75" s="1308"/>
      <c r="G75" s="1308"/>
      <c r="H75" s="1308"/>
      <c r="I75" s="1308"/>
      <c r="J75" s="1308"/>
    </row>
    <row r="76" spans="1:14" x14ac:dyDescent="0.25">
      <c r="A76" s="1336" t="s">
        <v>935</v>
      </c>
      <c r="B76" s="1320" t="s">
        <v>941</v>
      </c>
      <c r="C76" s="1320" t="s">
        <v>134</v>
      </c>
      <c r="D76" s="1320" t="s">
        <v>264</v>
      </c>
      <c r="E76" s="1321" t="s">
        <v>197</v>
      </c>
      <c r="F76" s="1322"/>
      <c r="G76" s="1323"/>
      <c r="H76" s="1320" t="s">
        <v>225</v>
      </c>
      <c r="I76" s="1348" t="s">
        <v>1</v>
      </c>
      <c r="J76" s="1136" t="s">
        <v>936</v>
      </c>
      <c r="K76" s="1137"/>
      <c r="L76" s="1138"/>
    </row>
    <row r="77" spans="1:14" x14ac:dyDescent="0.25">
      <c r="A77" s="1337"/>
      <c r="B77" s="1320"/>
      <c r="C77" s="1320"/>
      <c r="D77" s="1320"/>
      <c r="E77" s="1324"/>
      <c r="F77" s="1325"/>
      <c r="G77" s="1326"/>
      <c r="H77" s="1320"/>
      <c r="I77" s="1348"/>
      <c r="J77" s="475">
        <v>2018</v>
      </c>
      <c r="K77" s="78">
        <v>2019</v>
      </c>
      <c r="L77" s="78">
        <v>2020</v>
      </c>
    </row>
    <row r="78" spans="1:14" x14ac:dyDescent="0.25">
      <c r="A78" s="368"/>
      <c r="B78" s="1468" t="s">
        <v>942</v>
      </c>
      <c r="C78" s="1468"/>
      <c r="D78" s="1468"/>
      <c r="E78" s="1468"/>
      <c r="F78" s="1468"/>
      <c r="G78" s="1468"/>
      <c r="H78" s="1468"/>
      <c r="I78" s="1469"/>
      <c r="J78" s="369">
        <f>SUM(J79:J87)</f>
        <v>0</v>
      </c>
      <c r="K78" s="369">
        <f>SUM(K79:K80)</f>
        <v>0</v>
      </c>
      <c r="L78" s="369">
        <f>SUM(L79:L80)</f>
        <v>0</v>
      </c>
    </row>
    <row r="79" spans="1:14" ht="60.75" hidden="1" customHeight="1" x14ac:dyDescent="0.25">
      <c r="A79" s="1538"/>
      <c r="B79" s="345"/>
      <c r="C79" s="345"/>
      <c r="D79" s="345"/>
      <c r="E79" s="345"/>
      <c r="F79" s="1396"/>
      <c r="G79" s="1397"/>
      <c r="H79" s="345"/>
      <c r="I79" s="1481"/>
      <c r="J79" s="364"/>
      <c r="K79" s="110">
        <v>0</v>
      </c>
      <c r="L79" s="110">
        <v>0</v>
      </c>
    </row>
    <row r="80" spans="1:14" s="1" customFormat="1" ht="49.5" hidden="1" customHeight="1" x14ac:dyDescent="0.25">
      <c r="A80" s="1433"/>
      <c r="B80" s="345"/>
      <c r="C80" s="345"/>
      <c r="D80" s="345"/>
      <c r="E80" s="345"/>
      <c r="F80" s="1396"/>
      <c r="G80" s="1397"/>
      <c r="H80" s="345"/>
      <c r="I80" s="1537"/>
      <c r="J80" s="364"/>
      <c r="K80" s="110">
        <v>0</v>
      </c>
      <c r="L80" s="110">
        <v>0</v>
      </c>
    </row>
    <row r="81" spans="1:12" s="1" customFormat="1" hidden="1" x14ac:dyDescent="0.25">
      <c r="A81" s="237"/>
      <c r="B81" s="345"/>
      <c r="C81" s="345"/>
      <c r="D81" s="345"/>
      <c r="E81" s="345"/>
      <c r="F81" s="1396"/>
      <c r="G81" s="1397"/>
      <c r="H81" s="345"/>
      <c r="I81" s="452"/>
      <c r="J81" s="364"/>
      <c r="K81" s="110">
        <v>0</v>
      </c>
      <c r="L81" s="110">
        <v>0</v>
      </c>
    </row>
    <row r="82" spans="1:12" s="1" customFormat="1" ht="16.5" hidden="1" x14ac:dyDescent="0.3">
      <c r="A82" s="237"/>
      <c r="B82" s="372"/>
      <c r="C82" s="372"/>
      <c r="D82" s="372"/>
      <c r="E82" s="372"/>
      <c r="F82" s="1312"/>
      <c r="G82" s="1313"/>
      <c r="H82" s="372"/>
      <c r="I82" s="224"/>
      <c r="J82" s="364"/>
      <c r="K82" s="110">
        <v>0</v>
      </c>
      <c r="L82" s="110">
        <v>0</v>
      </c>
    </row>
    <row r="83" spans="1:12" s="1" customFormat="1" ht="0.75" customHeight="1" x14ac:dyDescent="0.3">
      <c r="A83" s="237"/>
      <c r="B83" s="372"/>
      <c r="C83" s="372"/>
      <c r="D83" s="372"/>
      <c r="E83" s="372"/>
      <c r="F83" s="1312"/>
      <c r="G83" s="1313"/>
      <c r="H83" s="372"/>
      <c r="I83" s="469"/>
      <c r="J83" s="364"/>
      <c r="K83" s="110">
        <v>0</v>
      </c>
      <c r="L83" s="110">
        <v>0</v>
      </c>
    </row>
    <row r="84" spans="1:12" s="1" customFormat="1" ht="16.5" hidden="1" x14ac:dyDescent="0.3">
      <c r="A84" s="237"/>
      <c r="B84" s="372"/>
      <c r="C84" s="372"/>
      <c r="D84" s="372"/>
      <c r="E84" s="372"/>
      <c r="F84" s="1312"/>
      <c r="G84" s="1313"/>
      <c r="H84" s="372"/>
      <c r="I84" s="455"/>
      <c r="J84" s="364"/>
      <c r="K84" s="110">
        <v>0</v>
      </c>
      <c r="L84" s="110">
        <v>0</v>
      </c>
    </row>
    <row r="85" spans="1:12" s="1" customFormat="1" ht="16.5" hidden="1" x14ac:dyDescent="0.3">
      <c r="A85" s="237"/>
      <c r="B85" s="372"/>
      <c r="C85" s="372"/>
      <c r="D85" s="372"/>
      <c r="E85" s="372"/>
      <c r="F85" s="1312"/>
      <c r="G85" s="1313"/>
      <c r="H85" s="372"/>
      <c r="I85" s="374"/>
      <c r="J85" s="364"/>
      <c r="K85" s="110">
        <v>0</v>
      </c>
      <c r="L85" s="110">
        <v>0</v>
      </c>
    </row>
    <row r="86" spans="1:12" s="1" customFormat="1" ht="16.5" hidden="1" x14ac:dyDescent="0.3">
      <c r="A86" s="237"/>
      <c r="B86" s="372"/>
      <c r="C86" s="372"/>
      <c r="D86" s="372"/>
      <c r="E86" s="372"/>
      <c r="F86" s="1312"/>
      <c r="G86" s="1313"/>
      <c r="H86" s="372"/>
      <c r="I86" s="374"/>
      <c r="J86" s="364"/>
      <c r="K86" s="110">
        <v>0</v>
      </c>
      <c r="L86" s="110">
        <v>0</v>
      </c>
    </row>
    <row r="87" spans="1:12" s="1" customFormat="1" hidden="1" x14ac:dyDescent="0.25">
      <c r="A87" s="237"/>
      <c r="B87" s="345"/>
      <c r="C87" s="345"/>
      <c r="D87" s="345"/>
      <c r="E87" s="345"/>
      <c r="F87" s="1396"/>
      <c r="G87" s="1397"/>
      <c r="H87" s="345"/>
      <c r="I87" s="375"/>
      <c r="J87" s="364"/>
      <c r="K87" s="110">
        <v>0</v>
      </c>
      <c r="L87" s="110">
        <v>0</v>
      </c>
    </row>
    <row r="88" spans="1:12" s="1" customFormat="1" x14ac:dyDescent="0.25">
      <c r="A88" s="237"/>
      <c r="B88" s="1391" t="s">
        <v>943</v>
      </c>
      <c r="C88" s="1392"/>
      <c r="D88" s="1392"/>
      <c r="E88" s="1392"/>
      <c r="F88" s="1392"/>
      <c r="G88" s="1392"/>
      <c r="H88" s="1392"/>
      <c r="I88" s="1393"/>
      <c r="J88" s="46">
        <f>J89+J90</f>
        <v>0</v>
      </c>
      <c r="K88" s="46">
        <f>K89+K90</f>
        <v>0</v>
      </c>
      <c r="L88" s="46">
        <f>L89+L90</f>
        <v>0</v>
      </c>
    </row>
    <row r="89" spans="1:12" s="1" customFormat="1" ht="16.5" hidden="1" x14ac:dyDescent="0.3">
      <c r="A89" s="376"/>
      <c r="B89" s="372"/>
      <c r="C89" s="372"/>
      <c r="D89" s="372"/>
      <c r="E89" s="372"/>
      <c r="F89" s="1312"/>
      <c r="G89" s="1313"/>
      <c r="H89" s="372"/>
      <c r="I89" s="224"/>
      <c r="J89" s="364"/>
      <c r="K89" s="110">
        <v>0</v>
      </c>
      <c r="L89" s="110">
        <v>0</v>
      </c>
    </row>
    <row r="90" spans="1:12" s="1" customFormat="1" ht="16.5" hidden="1" x14ac:dyDescent="0.3">
      <c r="A90" s="237"/>
      <c r="B90" s="372"/>
      <c r="C90" s="372"/>
      <c r="D90" s="372"/>
      <c r="E90" s="372"/>
      <c r="F90" s="1312"/>
      <c r="G90" s="1313"/>
      <c r="H90" s="372"/>
      <c r="I90" s="224"/>
      <c r="J90" s="364"/>
      <c r="K90" s="365">
        <v>0</v>
      </c>
      <c r="L90" s="365">
        <v>0</v>
      </c>
    </row>
    <row r="91" spans="1:12" s="1" customFormat="1" x14ac:dyDescent="0.25">
      <c r="A91" s="378"/>
      <c r="B91" s="1446" t="s">
        <v>944</v>
      </c>
      <c r="C91" s="1447"/>
      <c r="D91" s="1447"/>
      <c r="E91" s="1447"/>
      <c r="F91" s="1447"/>
      <c r="G91" s="1447"/>
      <c r="H91" s="1447"/>
      <c r="I91" s="1448"/>
      <c r="J91" s="369">
        <f>SUM(J92:J96)+J98+J97+J99+J100+J101+J102+J103++J104+J105+J106</f>
        <v>0</v>
      </c>
      <c r="K91" s="369">
        <f>SUM(K92:K96)+K98+K97+K99+K100+K101+K102+K103++K104+K105+K106</f>
        <v>0</v>
      </c>
      <c r="L91" s="369">
        <f>SUM(L92:L96)+L98+L97+L99+L100+L101+L102+L103++L104+L105+L106</f>
        <v>0</v>
      </c>
    </row>
    <row r="92" spans="1:12" s="1" customFormat="1" ht="16.5" x14ac:dyDescent="0.3">
      <c r="A92" s="376"/>
      <c r="B92" s="379"/>
      <c r="C92" s="379"/>
      <c r="D92" s="379"/>
      <c r="E92" s="379"/>
      <c r="F92" s="1463"/>
      <c r="G92" s="1464"/>
      <c r="H92" s="380"/>
      <c r="I92" s="224"/>
      <c r="J92" s="364"/>
      <c r="K92" s="110">
        <v>0</v>
      </c>
      <c r="L92" s="110">
        <v>0</v>
      </c>
    </row>
    <row r="93" spans="1:12" s="1" customFormat="1" ht="16.5" hidden="1" x14ac:dyDescent="0.3">
      <c r="A93" s="376"/>
      <c r="B93" s="379"/>
      <c r="C93" s="379"/>
      <c r="D93" s="379"/>
      <c r="E93" s="379"/>
      <c r="F93" s="1463"/>
      <c r="G93" s="1464"/>
      <c r="H93" s="380"/>
      <c r="I93" s="224"/>
      <c r="J93" s="364"/>
      <c r="K93" s="110">
        <v>0</v>
      </c>
      <c r="L93" s="110">
        <v>0</v>
      </c>
    </row>
    <row r="94" spans="1:12" s="1" customFormat="1" ht="0.75" customHeight="1" x14ac:dyDescent="0.3">
      <c r="A94" s="376"/>
      <c r="B94" s="372"/>
      <c r="C94" s="372"/>
      <c r="D94" s="372"/>
      <c r="E94" s="372"/>
      <c r="F94" s="1312"/>
      <c r="G94" s="1313"/>
      <c r="H94" s="372"/>
      <c r="I94" s="382"/>
      <c r="J94" s="364"/>
      <c r="K94" s="110">
        <v>0</v>
      </c>
      <c r="L94" s="110">
        <v>0</v>
      </c>
    </row>
    <row r="95" spans="1:12" s="1" customFormat="1" ht="16.5" hidden="1" x14ac:dyDescent="0.3">
      <c r="A95" s="376"/>
      <c r="B95" s="372"/>
      <c r="C95" s="372"/>
      <c r="D95" s="372"/>
      <c r="E95" s="372"/>
      <c r="F95" s="1312"/>
      <c r="G95" s="1313"/>
      <c r="H95" s="372"/>
      <c r="I95" s="381"/>
      <c r="J95" s="364"/>
      <c r="K95" s="110">
        <v>0</v>
      </c>
      <c r="L95" s="110">
        <v>0</v>
      </c>
    </row>
    <row r="96" spans="1:12" s="1" customFormat="1" ht="16.5" hidden="1" x14ac:dyDescent="0.3">
      <c r="A96" s="376"/>
      <c r="B96" s="379"/>
      <c r="C96" s="379"/>
      <c r="D96" s="379"/>
      <c r="E96" s="379"/>
      <c r="F96" s="1463"/>
      <c r="G96" s="1464"/>
      <c r="H96" s="379"/>
      <c r="I96" s="382"/>
      <c r="J96" s="364"/>
      <c r="K96" s="41">
        <v>0</v>
      </c>
      <c r="L96" s="41">
        <v>0</v>
      </c>
    </row>
    <row r="97" spans="1:12" s="1" customFormat="1" ht="16.5" hidden="1" x14ac:dyDescent="0.3">
      <c r="A97" s="376"/>
      <c r="B97" s="379"/>
      <c r="C97" s="379"/>
      <c r="D97" s="379"/>
      <c r="E97" s="379"/>
      <c r="F97" s="1463"/>
      <c r="G97" s="1464"/>
      <c r="H97" s="379"/>
      <c r="I97" s="224"/>
      <c r="J97" s="384"/>
      <c r="K97" s="400">
        <v>0</v>
      </c>
      <c r="L97" s="400">
        <v>0</v>
      </c>
    </row>
    <row r="98" spans="1:12" s="1" customFormat="1" ht="16.5" hidden="1" x14ac:dyDescent="0.3">
      <c r="A98" s="376"/>
      <c r="B98" s="448"/>
      <c r="C98" s="448"/>
      <c r="D98" s="448"/>
      <c r="E98" s="448"/>
      <c r="F98" s="1478"/>
      <c r="G98" s="1478"/>
      <c r="H98" s="448"/>
      <c r="I98" s="373"/>
      <c r="J98" s="384"/>
      <c r="K98" s="385">
        <v>0</v>
      </c>
      <c r="L98" s="385">
        <v>0</v>
      </c>
    </row>
    <row r="99" spans="1:12" s="1" customFormat="1" ht="16.5" hidden="1" x14ac:dyDescent="0.3">
      <c r="A99" s="477"/>
      <c r="B99" s="379"/>
      <c r="C99" s="379"/>
      <c r="D99" s="379"/>
      <c r="E99" s="379"/>
      <c r="F99" s="1463"/>
      <c r="G99" s="1464"/>
      <c r="H99" s="379"/>
      <c r="I99" s="371"/>
      <c r="J99" s="384"/>
      <c r="K99" s="385">
        <v>0</v>
      </c>
      <c r="L99" s="385">
        <v>0</v>
      </c>
    </row>
    <row r="100" spans="1:12" s="1" customFormat="1" ht="16.5" hidden="1" x14ac:dyDescent="0.3">
      <c r="A100" s="477"/>
      <c r="B100" s="379"/>
      <c r="C100" s="379"/>
      <c r="D100" s="379"/>
      <c r="E100" s="379"/>
      <c r="F100" s="1463"/>
      <c r="G100" s="1464"/>
      <c r="H100" s="379"/>
      <c r="I100" s="224"/>
      <c r="J100" s="384"/>
      <c r="K100" s="385">
        <v>0</v>
      </c>
      <c r="L100" s="385">
        <v>0</v>
      </c>
    </row>
    <row r="101" spans="1:12" s="1" customFormat="1" ht="16.5" hidden="1" x14ac:dyDescent="0.3">
      <c r="A101" s="477"/>
      <c r="B101" s="448"/>
      <c r="C101" s="448"/>
      <c r="D101" s="448"/>
      <c r="E101" s="448"/>
      <c r="F101" s="1449"/>
      <c r="G101" s="1450"/>
      <c r="H101" s="448"/>
      <c r="I101" s="449"/>
      <c r="J101" s="384"/>
      <c r="K101" s="385">
        <v>0</v>
      </c>
      <c r="L101" s="385">
        <v>0</v>
      </c>
    </row>
    <row r="102" spans="1:12" s="1" customFormat="1" ht="16.5" hidden="1" x14ac:dyDescent="0.3">
      <c r="A102" s="477"/>
      <c r="B102" s="379"/>
      <c r="C102" s="379"/>
      <c r="D102" s="379"/>
      <c r="E102" s="379"/>
      <c r="F102" s="1463"/>
      <c r="G102" s="1464"/>
      <c r="H102" s="379"/>
      <c r="I102" s="224"/>
      <c r="J102" s="384"/>
      <c r="K102" s="385">
        <v>0</v>
      </c>
      <c r="L102" s="385">
        <v>0</v>
      </c>
    </row>
    <row r="103" spans="1:12" s="1" customFormat="1" ht="16.5" hidden="1" x14ac:dyDescent="0.3">
      <c r="A103" s="477"/>
      <c r="B103" s="379"/>
      <c r="C103" s="379"/>
      <c r="D103" s="379"/>
      <c r="E103" s="379"/>
      <c r="F103" s="1463"/>
      <c r="G103" s="1464"/>
      <c r="H103" s="379"/>
      <c r="I103" s="224"/>
      <c r="J103" s="384"/>
      <c r="K103" s="385">
        <v>0</v>
      </c>
      <c r="L103" s="385">
        <v>0</v>
      </c>
    </row>
    <row r="104" spans="1:12" s="1" customFormat="1" ht="16.5" hidden="1" x14ac:dyDescent="0.3">
      <c r="A104" s="477"/>
      <c r="B104" s="448"/>
      <c r="C104" s="448"/>
      <c r="D104" s="448"/>
      <c r="E104" s="448"/>
      <c r="F104" s="1449"/>
      <c r="G104" s="1450"/>
      <c r="H104" s="448"/>
      <c r="I104" s="449"/>
      <c r="J104" s="384"/>
      <c r="K104" s="385">
        <v>0</v>
      </c>
      <c r="L104" s="385">
        <v>0</v>
      </c>
    </row>
    <row r="105" spans="1:12" s="1" customFormat="1" ht="16.5" hidden="1" x14ac:dyDescent="0.3">
      <c r="A105" s="477"/>
      <c r="B105" s="379"/>
      <c r="C105" s="379"/>
      <c r="D105" s="379"/>
      <c r="E105" s="379"/>
      <c r="F105" s="1463"/>
      <c r="G105" s="1464"/>
      <c r="H105" s="379"/>
      <c r="I105" s="382"/>
      <c r="J105" s="384"/>
      <c r="K105" s="385">
        <v>0</v>
      </c>
      <c r="L105" s="385">
        <v>0</v>
      </c>
    </row>
    <row r="106" spans="1:12" s="1" customFormat="1" ht="16.5" hidden="1" x14ac:dyDescent="0.3">
      <c r="A106" s="477"/>
      <c r="B106" s="379"/>
      <c r="C106" s="379"/>
      <c r="D106" s="379"/>
      <c r="E106" s="379"/>
      <c r="F106" s="1463"/>
      <c r="G106" s="1464"/>
      <c r="H106" s="379"/>
      <c r="I106" s="455"/>
      <c r="J106" s="384"/>
      <c r="K106" s="454"/>
      <c r="L106" s="454"/>
    </row>
    <row r="107" spans="1:12" s="1" customFormat="1" ht="16.5" hidden="1" x14ac:dyDescent="0.3">
      <c r="A107" s="477"/>
      <c r="B107" s="379"/>
      <c r="C107" s="379"/>
      <c r="D107" s="379"/>
      <c r="E107" s="379"/>
      <c r="F107" s="1463"/>
      <c r="G107" s="1464"/>
      <c r="H107" s="379"/>
      <c r="I107" s="450"/>
      <c r="J107" s="384"/>
      <c r="K107" s="385"/>
      <c r="L107" s="385"/>
    </row>
    <row r="108" spans="1:12" s="1" customFormat="1" x14ac:dyDescent="0.25">
      <c r="A108" s="378"/>
      <c r="B108" s="1451" t="s">
        <v>945</v>
      </c>
      <c r="C108" s="1452"/>
      <c r="D108" s="1452"/>
      <c r="E108" s="1452"/>
      <c r="F108" s="1452"/>
      <c r="G108" s="1452"/>
      <c r="H108" s="1452"/>
      <c r="I108" s="1453"/>
      <c r="J108" s="369">
        <f>SUM(J109:J118)+J119</f>
        <v>0</v>
      </c>
      <c r="K108" s="369">
        <f>SUM(K109:K118)</f>
        <v>0</v>
      </c>
      <c r="L108" s="369">
        <f>SUM(L109:L118)</f>
        <v>0</v>
      </c>
    </row>
    <row r="109" spans="1:12" s="390" customFormat="1" hidden="1" x14ac:dyDescent="0.25">
      <c r="A109" s="386"/>
      <c r="B109" s="387"/>
      <c r="C109" s="387"/>
      <c r="D109" s="387"/>
      <c r="E109" s="387"/>
      <c r="F109" s="1290"/>
      <c r="G109" s="1285"/>
      <c r="H109" s="388"/>
      <c r="I109" s="452"/>
      <c r="J109" s="41">
        <v>0</v>
      </c>
      <c r="K109" s="41">
        <v>0</v>
      </c>
      <c r="L109" s="41">
        <v>0</v>
      </c>
    </row>
    <row r="110" spans="1:12" s="390" customFormat="1" hidden="1" x14ac:dyDescent="0.25">
      <c r="A110" s="386"/>
      <c r="B110" s="387"/>
      <c r="C110" s="387"/>
      <c r="D110" s="387"/>
      <c r="E110" s="387"/>
      <c r="F110" s="1290"/>
      <c r="G110" s="1285"/>
      <c r="H110" s="388"/>
      <c r="I110" s="224"/>
      <c r="J110" s="364"/>
      <c r="K110" s="41">
        <v>0</v>
      </c>
      <c r="L110" s="389">
        <v>0</v>
      </c>
    </row>
    <row r="111" spans="1:12" s="390" customFormat="1" hidden="1" x14ac:dyDescent="0.25">
      <c r="A111" s="386"/>
      <c r="B111" s="387"/>
      <c r="C111" s="387"/>
      <c r="D111" s="387"/>
      <c r="E111" s="387"/>
      <c r="F111" s="1290"/>
      <c r="G111" s="1285"/>
      <c r="H111" s="388"/>
      <c r="I111" s="224"/>
      <c r="J111" s="364"/>
      <c r="K111" s="389">
        <v>0</v>
      </c>
      <c r="L111" s="389">
        <v>0</v>
      </c>
    </row>
    <row r="112" spans="1:12" s="390" customFormat="1" hidden="1" x14ac:dyDescent="0.25">
      <c r="A112" s="386"/>
      <c r="B112" s="387"/>
      <c r="C112" s="387"/>
      <c r="D112" s="387"/>
      <c r="E112" s="387"/>
      <c r="F112" s="1290"/>
      <c r="G112" s="1285"/>
      <c r="H112" s="388"/>
      <c r="I112" s="224"/>
      <c r="J112" s="364"/>
      <c r="K112" s="364"/>
      <c r="L112" s="364"/>
    </row>
    <row r="113" spans="1:12" hidden="1" x14ac:dyDescent="0.25">
      <c r="A113" s="344"/>
      <c r="B113" s="387"/>
      <c r="C113" s="387"/>
      <c r="D113" s="387"/>
      <c r="E113" s="387"/>
      <c r="F113" s="1290"/>
      <c r="G113" s="1285"/>
      <c r="H113" s="388"/>
      <c r="I113" s="377"/>
      <c r="J113" s="364"/>
      <c r="K113" s="84">
        <v>0</v>
      </c>
      <c r="L113" s="84">
        <v>0</v>
      </c>
    </row>
    <row r="114" spans="1:12" hidden="1" x14ac:dyDescent="0.25">
      <c r="A114" s="344"/>
      <c r="B114" s="387"/>
      <c r="C114" s="387"/>
      <c r="D114" s="387"/>
      <c r="E114" s="387"/>
      <c r="F114" s="1290"/>
      <c r="G114" s="1285"/>
      <c r="H114" s="388"/>
      <c r="I114" s="445"/>
      <c r="J114" s="364"/>
      <c r="K114" s="84">
        <v>0</v>
      </c>
      <c r="L114" s="84">
        <v>0</v>
      </c>
    </row>
    <row r="115" spans="1:12" hidden="1" x14ac:dyDescent="0.25">
      <c r="A115" s="344"/>
      <c r="B115" s="387"/>
      <c r="C115" s="387"/>
      <c r="D115" s="387"/>
      <c r="E115" s="387"/>
      <c r="F115" s="1290"/>
      <c r="G115" s="1285"/>
      <c r="H115" s="388"/>
      <c r="I115" s="224"/>
      <c r="J115" s="364"/>
      <c r="K115" s="84">
        <v>0</v>
      </c>
      <c r="L115" s="84">
        <v>0</v>
      </c>
    </row>
    <row r="116" spans="1:12" hidden="1" x14ac:dyDescent="0.25">
      <c r="A116" s="344"/>
      <c r="B116" s="345"/>
      <c r="C116" s="345"/>
      <c r="D116" s="345"/>
      <c r="E116" s="345"/>
      <c r="F116" s="1396"/>
      <c r="G116" s="1397"/>
      <c r="H116" s="391"/>
      <c r="I116" s="224"/>
      <c r="J116" s="364"/>
      <c r="K116" s="84">
        <v>0</v>
      </c>
      <c r="L116" s="84">
        <v>0</v>
      </c>
    </row>
    <row r="117" spans="1:12" hidden="1" x14ac:dyDescent="0.25">
      <c r="A117" s="344"/>
      <c r="B117" s="345"/>
      <c r="C117" s="345"/>
      <c r="D117" s="345"/>
      <c r="E117" s="345"/>
      <c r="F117" s="1396"/>
      <c r="G117" s="1397"/>
      <c r="H117" s="391"/>
      <c r="I117" s="375"/>
      <c r="J117" s="364"/>
      <c r="K117" s="84">
        <v>0</v>
      </c>
      <c r="L117" s="84">
        <v>0</v>
      </c>
    </row>
    <row r="118" spans="1:12" hidden="1" x14ac:dyDescent="0.25">
      <c r="A118" s="392"/>
      <c r="B118" s="393"/>
      <c r="C118" s="393"/>
      <c r="D118" s="393"/>
      <c r="E118" s="393"/>
      <c r="F118" s="1291"/>
      <c r="G118" s="1292"/>
      <c r="H118" s="394"/>
      <c r="I118" s="373"/>
      <c r="J118" s="364"/>
      <c r="K118" s="84">
        <v>0</v>
      </c>
      <c r="L118" s="84">
        <v>0</v>
      </c>
    </row>
    <row r="119" spans="1:12" hidden="1" x14ac:dyDescent="0.25">
      <c r="A119" s="344"/>
      <c r="B119" s="387"/>
      <c r="C119" s="387"/>
      <c r="D119" s="387"/>
      <c r="E119" s="387"/>
      <c r="F119" s="1290"/>
      <c r="G119" s="1285"/>
      <c r="H119" s="395"/>
      <c r="I119" s="371"/>
      <c r="J119" s="364"/>
      <c r="K119" s="84"/>
      <c r="L119" s="84"/>
    </row>
    <row r="120" spans="1:12" x14ac:dyDescent="0.25">
      <c r="A120" s="236"/>
      <c r="B120" s="1391" t="s">
        <v>946</v>
      </c>
      <c r="C120" s="1392"/>
      <c r="D120" s="1392"/>
      <c r="E120" s="1392"/>
      <c r="F120" s="1392"/>
      <c r="G120" s="1392"/>
      <c r="H120" s="1392"/>
      <c r="I120" s="1393"/>
      <c r="J120" s="46">
        <f>J121</f>
        <v>0</v>
      </c>
      <c r="K120" s="46">
        <f>K121</f>
        <v>0</v>
      </c>
      <c r="L120" s="46">
        <f>L121</f>
        <v>0</v>
      </c>
    </row>
    <row r="121" spans="1:12" hidden="1" x14ac:dyDescent="0.25">
      <c r="A121" s="344"/>
      <c r="B121" s="345"/>
      <c r="C121" s="345"/>
      <c r="D121" s="345"/>
      <c r="E121" s="345"/>
      <c r="F121" s="1396"/>
      <c r="G121" s="1397"/>
      <c r="H121" s="391"/>
      <c r="I121" s="396"/>
      <c r="J121" s="397"/>
      <c r="K121" s="389"/>
      <c r="L121" s="389"/>
    </row>
    <row r="122" spans="1:12" hidden="1" x14ac:dyDescent="0.25">
      <c r="A122" s="236"/>
      <c r="B122" s="398"/>
      <c r="C122" s="26"/>
      <c r="D122" s="26"/>
      <c r="E122" s="26"/>
      <c r="F122" s="26"/>
      <c r="G122" s="26"/>
      <c r="H122" s="103"/>
      <c r="I122" s="26"/>
      <c r="J122" s="41"/>
      <c r="K122" s="84"/>
      <c r="L122" s="84"/>
    </row>
    <row r="123" spans="1:12" ht="16.5" customHeight="1" x14ac:dyDescent="0.25">
      <c r="A123" s="479"/>
      <c r="B123" s="1434" t="s">
        <v>947</v>
      </c>
      <c r="C123" s="1434"/>
      <c r="D123" s="1434"/>
      <c r="E123" s="1434"/>
      <c r="F123" s="1434"/>
      <c r="G123" s="1434"/>
      <c r="H123" s="1434"/>
      <c r="I123" s="1434"/>
      <c r="J123" s="369">
        <f>SUM(J124:J159)</f>
        <v>0</v>
      </c>
      <c r="K123" s="369">
        <f>SUM(K124:K159)</f>
        <v>0</v>
      </c>
      <c r="L123" s="369">
        <f>SUM(L124:L159)</f>
        <v>0</v>
      </c>
    </row>
    <row r="124" spans="1:12" hidden="1" x14ac:dyDescent="0.25">
      <c r="A124" s="370"/>
      <c r="B124" s="345"/>
      <c r="C124" s="345"/>
      <c r="D124" s="345"/>
      <c r="E124" s="345"/>
      <c r="F124" s="1396"/>
      <c r="G124" s="1397"/>
      <c r="H124" s="345"/>
      <c r="I124" s="472"/>
      <c r="J124" s="364"/>
      <c r="K124" s="384"/>
      <c r="L124" s="384"/>
    </row>
    <row r="125" spans="1:12" ht="18" hidden="1" customHeight="1" x14ac:dyDescent="0.25">
      <c r="A125" s="370"/>
      <c r="B125" s="345"/>
      <c r="C125" s="345"/>
      <c r="D125" s="345"/>
      <c r="E125" s="345"/>
      <c r="F125" s="1396"/>
      <c r="G125" s="1397"/>
      <c r="H125" s="401"/>
      <c r="I125" s="224"/>
      <c r="J125" s="41">
        <v>0</v>
      </c>
      <c r="K125" s="110">
        <v>0</v>
      </c>
      <c r="L125" s="110">
        <v>0</v>
      </c>
    </row>
    <row r="126" spans="1:12" hidden="1" x14ac:dyDescent="0.25">
      <c r="A126" s="370"/>
      <c r="B126" s="345"/>
      <c r="C126" s="345"/>
      <c r="D126" s="345"/>
      <c r="E126" s="345"/>
      <c r="F126" s="1396"/>
      <c r="G126" s="1397"/>
      <c r="H126" s="402"/>
      <c r="I126" s="224"/>
      <c r="J126" s="406"/>
      <c r="K126" s="110">
        <v>0</v>
      </c>
      <c r="L126" s="110">
        <v>0</v>
      </c>
    </row>
    <row r="127" spans="1:12" hidden="1" x14ac:dyDescent="0.25">
      <c r="A127" s="370"/>
      <c r="B127" s="345"/>
      <c r="C127" s="345"/>
      <c r="D127" s="345"/>
      <c r="E127" s="345"/>
      <c r="F127" s="1396"/>
      <c r="G127" s="1397"/>
      <c r="H127" s="402"/>
      <c r="I127" s="224"/>
      <c r="J127" s="406"/>
      <c r="K127" s="41">
        <v>0</v>
      </c>
      <c r="L127" s="41">
        <v>0</v>
      </c>
    </row>
    <row r="128" spans="1:12" hidden="1" x14ac:dyDescent="0.25">
      <c r="A128" s="370"/>
      <c r="B128" s="345"/>
      <c r="C128" s="345"/>
      <c r="D128" s="345"/>
      <c r="E128" s="345"/>
      <c r="F128" s="1396"/>
      <c r="G128" s="1397"/>
      <c r="H128" s="402"/>
      <c r="I128" s="224"/>
      <c r="J128" s="406"/>
      <c r="K128" s="41">
        <v>0</v>
      </c>
      <c r="L128" s="41">
        <v>0</v>
      </c>
    </row>
    <row r="129" spans="1:12" hidden="1" x14ac:dyDescent="0.25">
      <c r="A129" s="370"/>
      <c r="B129" s="345"/>
      <c r="C129" s="345"/>
      <c r="D129" s="345"/>
      <c r="E129" s="345"/>
      <c r="F129" s="1396"/>
      <c r="G129" s="1397"/>
      <c r="H129" s="345"/>
      <c r="I129" s="371"/>
      <c r="J129" s="406"/>
      <c r="K129" s="41">
        <v>0</v>
      </c>
      <c r="L129" s="41">
        <v>0</v>
      </c>
    </row>
    <row r="130" spans="1:12" hidden="1" x14ac:dyDescent="0.25">
      <c r="A130" s="370"/>
      <c r="B130" s="345"/>
      <c r="C130" s="345"/>
      <c r="D130" s="345"/>
      <c r="E130" s="345"/>
      <c r="F130" s="1396"/>
      <c r="G130" s="1397"/>
      <c r="H130" s="345"/>
      <c r="I130" s="404"/>
      <c r="J130" s="406"/>
      <c r="K130" s="41">
        <v>0</v>
      </c>
      <c r="L130" s="41">
        <v>0</v>
      </c>
    </row>
    <row r="131" spans="1:12" hidden="1" x14ac:dyDescent="0.25">
      <c r="A131" s="370"/>
      <c r="B131" s="345"/>
      <c r="C131" s="345"/>
      <c r="D131" s="345"/>
      <c r="E131" s="345"/>
      <c r="F131" s="1396"/>
      <c r="G131" s="1397"/>
      <c r="H131" s="345"/>
      <c r="I131" s="371"/>
      <c r="J131" s="406"/>
      <c r="K131" s="110">
        <v>0</v>
      </c>
      <c r="L131" s="110">
        <v>0</v>
      </c>
    </row>
    <row r="132" spans="1:12" hidden="1" x14ac:dyDescent="0.25">
      <c r="A132" s="370"/>
      <c r="B132" s="345"/>
      <c r="C132" s="345"/>
      <c r="D132" s="345"/>
      <c r="E132" s="345"/>
      <c r="F132" s="1396"/>
      <c r="G132" s="1397"/>
      <c r="H132" s="345"/>
      <c r="I132" s="371"/>
      <c r="J132" s="406"/>
      <c r="K132" s="110">
        <v>0</v>
      </c>
      <c r="L132" s="110">
        <v>0</v>
      </c>
    </row>
    <row r="133" spans="1:12" hidden="1" x14ac:dyDescent="0.25">
      <c r="A133" s="370"/>
      <c r="B133" s="345"/>
      <c r="C133" s="345"/>
      <c r="D133" s="345"/>
      <c r="E133" s="345"/>
      <c r="F133" s="1396"/>
      <c r="G133" s="1397"/>
      <c r="H133" s="345"/>
      <c r="I133" s="371"/>
      <c r="J133" s="406"/>
      <c r="K133" s="110">
        <v>0</v>
      </c>
      <c r="L133" s="110">
        <v>0</v>
      </c>
    </row>
    <row r="134" spans="1:12" hidden="1" x14ac:dyDescent="0.25">
      <c r="A134" s="370"/>
      <c r="B134" s="345"/>
      <c r="C134" s="345"/>
      <c r="D134" s="345"/>
      <c r="E134" s="345"/>
      <c r="F134" s="345"/>
      <c r="G134" s="345"/>
      <c r="H134" s="345"/>
      <c r="I134" s="405"/>
      <c r="J134" s="406"/>
      <c r="K134" s="41"/>
      <c r="L134" s="41"/>
    </row>
    <row r="135" spans="1:12" hidden="1" x14ac:dyDescent="0.25">
      <c r="A135" s="370"/>
      <c r="B135" s="345"/>
      <c r="C135" s="345"/>
      <c r="D135" s="345"/>
      <c r="E135" s="345"/>
      <c r="F135" s="345"/>
      <c r="G135" s="345"/>
      <c r="H135" s="345"/>
      <c r="I135" s="405"/>
      <c r="J135" s="406"/>
      <c r="K135" s="110"/>
      <c r="L135" s="110"/>
    </row>
    <row r="136" spans="1:12" hidden="1" x14ac:dyDescent="0.25">
      <c r="A136" s="370"/>
      <c r="B136" s="345"/>
      <c r="C136" s="345"/>
      <c r="D136" s="345"/>
      <c r="E136" s="345"/>
      <c r="F136" s="345"/>
      <c r="G136" s="345"/>
      <c r="H136" s="345"/>
      <c r="I136" s="405"/>
      <c r="J136" s="406"/>
      <c r="K136" s="41"/>
      <c r="L136" s="41"/>
    </row>
    <row r="137" spans="1:12" hidden="1" x14ac:dyDescent="0.25">
      <c r="A137" s="370"/>
      <c r="B137" s="345"/>
      <c r="C137" s="345"/>
      <c r="D137" s="345"/>
      <c r="E137" s="345"/>
      <c r="F137" s="345"/>
      <c r="G137" s="345"/>
      <c r="H137" s="345"/>
      <c r="I137" s="405"/>
      <c r="J137" s="406"/>
      <c r="K137" s="41"/>
      <c r="L137" s="41"/>
    </row>
    <row r="138" spans="1:12" hidden="1" x14ac:dyDescent="0.25">
      <c r="A138" s="370"/>
      <c r="B138" s="345"/>
      <c r="C138" s="345"/>
      <c r="D138" s="345"/>
      <c r="E138" s="345"/>
      <c r="F138" s="345"/>
      <c r="G138" s="345"/>
      <c r="H138" s="391"/>
      <c r="I138" s="405"/>
      <c r="J138" s="406"/>
      <c r="K138" s="110"/>
      <c r="L138" s="110"/>
    </row>
    <row r="139" spans="1:12" hidden="1" x14ac:dyDescent="0.25">
      <c r="A139" s="370"/>
      <c r="B139" s="345"/>
      <c r="C139" s="345"/>
      <c r="D139" s="345"/>
      <c r="E139" s="345"/>
      <c r="F139" s="345"/>
      <c r="G139" s="345"/>
      <c r="H139" s="345"/>
      <c r="I139" s="405"/>
      <c r="J139" s="406"/>
      <c r="K139" s="110"/>
      <c r="L139" s="110"/>
    </row>
    <row r="140" spans="1:12" hidden="1" x14ac:dyDescent="0.25">
      <c r="A140" s="370"/>
      <c r="B140" s="345"/>
      <c r="C140" s="345"/>
      <c r="D140" s="345"/>
      <c r="E140" s="345"/>
      <c r="F140" s="345"/>
      <c r="G140" s="345"/>
      <c r="H140" s="391"/>
      <c r="I140" s="405"/>
      <c r="J140" s="406"/>
      <c r="K140" s="110"/>
      <c r="L140" s="110"/>
    </row>
    <row r="141" spans="1:12" hidden="1" x14ac:dyDescent="0.25">
      <c r="A141" s="370"/>
      <c r="B141" s="345"/>
      <c r="C141" s="345"/>
      <c r="D141" s="345"/>
      <c r="E141" s="345"/>
      <c r="F141" s="345"/>
      <c r="G141" s="345"/>
      <c r="H141" s="345"/>
      <c r="I141" s="405"/>
      <c r="J141" s="406"/>
      <c r="K141" s="110"/>
      <c r="L141" s="110"/>
    </row>
    <row r="142" spans="1:12" hidden="1" x14ac:dyDescent="0.25">
      <c r="A142" s="370"/>
      <c r="B142" s="345"/>
      <c r="C142" s="345"/>
      <c r="D142" s="345"/>
      <c r="E142" s="345"/>
      <c r="F142" s="345"/>
      <c r="G142" s="345"/>
      <c r="H142" s="345"/>
      <c r="I142" s="405"/>
      <c r="J142" s="406"/>
      <c r="K142" s="110"/>
      <c r="L142" s="110"/>
    </row>
    <row r="143" spans="1:12" hidden="1" x14ac:dyDescent="0.25">
      <c r="A143" s="370"/>
      <c r="B143" s="345"/>
      <c r="C143" s="345"/>
      <c r="D143" s="345"/>
      <c r="E143" s="345"/>
      <c r="F143" s="345"/>
      <c r="G143" s="345"/>
      <c r="H143" s="345"/>
      <c r="I143" s="405"/>
      <c r="J143" s="406"/>
      <c r="K143" s="110"/>
      <c r="L143" s="110"/>
    </row>
    <row r="144" spans="1:12" hidden="1" x14ac:dyDescent="0.25">
      <c r="A144" s="370"/>
      <c r="B144" s="345"/>
      <c r="C144" s="345"/>
      <c r="D144" s="345"/>
      <c r="E144" s="345"/>
      <c r="F144" s="345"/>
      <c r="G144" s="345"/>
      <c r="H144" s="345"/>
      <c r="I144" s="405"/>
      <c r="J144" s="406"/>
      <c r="K144" s="110"/>
      <c r="L144" s="110"/>
    </row>
    <row r="145" spans="1:12" hidden="1" x14ac:dyDescent="0.25">
      <c r="A145" s="370"/>
      <c r="B145" s="345"/>
      <c r="C145" s="345"/>
      <c r="D145" s="345"/>
      <c r="E145" s="345"/>
      <c r="F145" s="1396"/>
      <c r="G145" s="1397"/>
      <c r="H145" s="345"/>
      <c r="I145" s="224"/>
      <c r="J145" s="406"/>
      <c r="K145" s="110">
        <v>0</v>
      </c>
      <c r="L145" s="110">
        <v>0</v>
      </c>
    </row>
    <row r="146" spans="1:12" hidden="1" x14ac:dyDescent="0.25">
      <c r="A146" s="370"/>
      <c r="B146" s="345"/>
      <c r="C146" s="345"/>
      <c r="D146" s="345"/>
      <c r="E146" s="345"/>
      <c r="F146" s="1396"/>
      <c r="G146" s="1397"/>
      <c r="H146" s="345"/>
      <c r="I146" s="224"/>
      <c r="J146" s="406"/>
      <c r="K146" s="110">
        <v>0</v>
      </c>
      <c r="L146" s="110">
        <v>0</v>
      </c>
    </row>
    <row r="147" spans="1:12" hidden="1" x14ac:dyDescent="0.25">
      <c r="A147" s="370"/>
      <c r="B147" s="345"/>
      <c r="C147" s="345"/>
      <c r="D147" s="345"/>
      <c r="E147" s="345"/>
      <c r="F147" s="1396"/>
      <c r="G147" s="1397"/>
      <c r="H147" s="345"/>
      <c r="I147" s="224"/>
      <c r="J147" s="406"/>
      <c r="K147" s="110">
        <v>0</v>
      </c>
      <c r="L147" s="110">
        <v>0</v>
      </c>
    </row>
    <row r="148" spans="1:12" hidden="1" x14ac:dyDescent="0.25">
      <c r="A148" s="370"/>
      <c r="B148" s="482"/>
      <c r="C148" s="407"/>
      <c r="D148" s="407"/>
      <c r="E148" s="407"/>
      <c r="F148" s="1535"/>
      <c r="G148" s="1536"/>
      <c r="H148" s="408"/>
      <c r="I148" s="224"/>
      <c r="J148" s="406"/>
      <c r="K148" s="110">
        <v>0</v>
      </c>
      <c r="L148" s="110">
        <v>0</v>
      </c>
    </row>
    <row r="149" spans="1:12" hidden="1" x14ac:dyDescent="0.25">
      <c r="A149" s="370"/>
      <c r="B149" s="345"/>
      <c r="C149" s="345"/>
      <c r="D149" s="345"/>
      <c r="E149" s="345"/>
      <c r="F149" s="1396"/>
      <c r="G149" s="1397"/>
      <c r="H149" s="345"/>
      <c r="I149" s="405"/>
      <c r="J149" s="406"/>
      <c r="K149" s="110">
        <v>0</v>
      </c>
      <c r="L149" s="110">
        <v>0</v>
      </c>
    </row>
    <row r="150" spans="1:12" ht="1.5" hidden="1" customHeight="1" x14ac:dyDescent="0.25">
      <c r="A150" s="370"/>
      <c r="B150" s="345"/>
      <c r="C150" s="345"/>
      <c r="D150" s="345"/>
      <c r="E150" s="345"/>
      <c r="F150" s="1396"/>
      <c r="G150" s="1397"/>
      <c r="H150" s="345"/>
      <c r="I150" s="405"/>
      <c r="J150" s="406"/>
      <c r="K150" s="110">
        <v>0</v>
      </c>
      <c r="L150" s="110">
        <v>0</v>
      </c>
    </row>
    <row r="151" spans="1:12" hidden="1" x14ac:dyDescent="0.25">
      <c r="A151" s="370"/>
      <c r="B151" s="345"/>
      <c r="C151" s="345"/>
      <c r="D151" s="345"/>
      <c r="E151" s="345"/>
      <c r="F151" s="1396"/>
      <c r="G151" s="1397"/>
      <c r="H151" s="345"/>
      <c r="I151" s="405"/>
      <c r="J151" s="406"/>
      <c r="K151" s="110">
        <v>0</v>
      </c>
      <c r="L151" s="110">
        <v>0</v>
      </c>
    </row>
    <row r="152" spans="1:12" hidden="1" x14ac:dyDescent="0.25">
      <c r="A152" s="370"/>
      <c r="B152" s="345"/>
      <c r="C152" s="345"/>
      <c r="D152" s="345"/>
      <c r="E152" s="345"/>
      <c r="F152" s="1396"/>
      <c r="G152" s="1397"/>
      <c r="H152" s="345"/>
      <c r="I152" s="405"/>
      <c r="J152" s="406"/>
      <c r="K152" s="110">
        <v>0</v>
      </c>
      <c r="L152" s="110">
        <v>0</v>
      </c>
    </row>
    <row r="153" spans="1:12" hidden="1" x14ac:dyDescent="0.25">
      <c r="A153" s="370"/>
      <c r="B153" s="345"/>
      <c r="C153" s="345"/>
      <c r="D153" s="345"/>
      <c r="E153" s="345"/>
      <c r="F153" s="1396"/>
      <c r="G153" s="1397"/>
      <c r="H153" s="345"/>
      <c r="I153" s="405"/>
      <c r="J153" s="485"/>
      <c r="K153" s="219"/>
      <c r="L153" s="219"/>
    </row>
    <row r="154" spans="1:12" hidden="1" x14ac:dyDescent="0.25">
      <c r="A154" s="370"/>
      <c r="B154" s="345"/>
      <c r="C154" s="345"/>
      <c r="D154" s="345"/>
      <c r="E154" s="345"/>
      <c r="F154" s="1396"/>
      <c r="G154" s="1397"/>
      <c r="H154" s="401"/>
      <c r="I154" s="405"/>
      <c r="J154" s="485"/>
      <c r="K154" s="219"/>
      <c r="L154" s="219"/>
    </row>
    <row r="155" spans="1:12" hidden="1" x14ac:dyDescent="0.25">
      <c r="A155" s="370"/>
      <c r="B155" s="345"/>
      <c r="C155" s="345"/>
      <c r="D155" s="345"/>
      <c r="E155" s="345"/>
      <c r="F155" s="1396"/>
      <c r="G155" s="1397"/>
      <c r="H155" s="345"/>
      <c r="I155" s="405"/>
      <c r="J155" s="406"/>
      <c r="K155" s="110">
        <v>0</v>
      </c>
      <c r="L155" s="110">
        <v>0</v>
      </c>
    </row>
    <row r="156" spans="1:12" hidden="1" x14ac:dyDescent="0.25">
      <c r="A156" s="370"/>
      <c r="B156" s="345"/>
      <c r="C156" s="345"/>
      <c r="D156" s="345"/>
      <c r="E156" s="345"/>
      <c r="F156" s="1396"/>
      <c r="G156" s="1397"/>
      <c r="H156" s="345"/>
      <c r="I156" s="405"/>
      <c r="J156" s="406"/>
      <c r="K156" s="110">
        <v>0</v>
      </c>
      <c r="L156" s="110">
        <v>0</v>
      </c>
    </row>
    <row r="157" spans="1:12" hidden="1" x14ac:dyDescent="0.25">
      <c r="A157" s="370"/>
      <c r="B157" s="345"/>
      <c r="C157" s="345"/>
      <c r="D157" s="345"/>
      <c r="E157" s="345"/>
      <c r="F157" s="1396"/>
      <c r="G157" s="1397"/>
      <c r="H157" s="345"/>
      <c r="I157" s="405"/>
      <c r="J157" s="406"/>
      <c r="K157" s="110">
        <v>0</v>
      </c>
      <c r="L157" s="110">
        <v>0</v>
      </c>
    </row>
    <row r="158" spans="1:12" hidden="1" x14ac:dyDescent="0.25">
      <c r="A158" s="370"/>
      <c r="B158" s="345"/>
      <c r="C158" s="345"/>
      <c r="D158" s="345"/>
      <c r="E158" s="345"/>
      <c r="F158" s="1396"/>
      <c r="G158" s="1397"/>
      <c r="H158" s="345"/>
      <c r="I158" s="405"/>
      <c r="J158" s="406"/>
      <c r="K158" s="110">
        <v>0</v>
      </c>
      <c r="L158" s="110">
        <v>0</v>
      </c>
    </row>
    <row r="159" spans="1:12" hidden="1" x14ac:dyDescent="0.25">
      <c r="A159" s="370"/>
      <c r="B159" s="345"/>
      <c r="C159" s="345"/>
      <c r="D159" s="345"/>
      <c r="E159" s="345"/>
      <c r="F159" s="1396"/>
      <c r="G159" s="1397"/>
      <c r="H159" s="401"/>
      <c r="I159" s="405"/>
      <c r="J159" s="406"/>
      <c r="K159" s="110">
        <v>0</v>
      </c>
      <c r="L159" s="110">
        <v>0</v>
      </c>
    </row>
    <row r="160" spans="1:12" x14ac:dyDescent="0.25">
      <c r="A160" s="236"/>
      <c r="B160" s="1421" t="s">
        <v>948</v>
      </c>
      <c r="C160" s="1422"/>
      <c r="D160" s="1422"/>
      <c r="E160" s="1422"/>
      <c r="F160" s="1422"/>
      <c r="G160" s="1422"/>
      <c r="H160" s="1422"/>
      <c r="I160" s="1423"/>
      <c r="J160" s="46">
        <f>J161+J162+J163+J164</f>
        <v>0</v>
      </c>
      <c r="K160" s="46">
        <f>K161+K162+K163+K164+K165+K168+K166+K167</f>
        <v>0</v>
      </c>
      <c r="L160" s="46">
        <f>L161+L162+L163+L164+L165+L168+L166+L167</f>
        <v>0</v>
      </c>
    </row>
    <row r="161" spans="1:12" ht="15" hidden="1" customHeight="1" x14ac:dyDescent="0.25">
      <c r="A161" s="344"/>
      <c r="B161" s="345"/>
      <c r="C161" s="345"/>
      <c r="D161" s="345"/>
      <c r="E161" s="345"/>
      <c r="F161" s="1396"/>
      <c r="G161" s="1397"/>
      <c r="H161" s="413"/>
      <c r="I161" s="224"/>
      <c r="J161" s="41">
        <v>0</v>
      </c>
      <c r="K161" s="110">
        <v>0</v>
      </c>
      <c r="L161" s="110">
        <v>0</v>
      </c>
    </row>
    <row r="162" spans="1:12" hidden="1" x14ac:dyDescent="0.25">
      <c r="A162" s="344"/>
      <c r="B162" s="345"/>
      <c r="C162" s="345"/>
      <c r="D162" s="345"/>
      <c r="E162" s="345"/>
      <c r="F162" s="1396"/>
      <c r="G162" s="1397"/>
      <c r="H162" s="413"/>
      <c r="I162" s="224"/>
      <c r="J162" s="41">
        <v>0</v>
      </c>
      <c r="K162" s="110">
        <v>0</v>
      </c>
      <c r="L162" s="110">
        <v>0</v>
      </c>
    </row>
    <row r="163" spans="1:12" hidden="1" x14ac:dyDescent="0.25">
      <c r="A163" s="344"/>
      <c r="B163" s="345"/>
      <c r="C163" s="345"/>
      <c r="D163" s="345"/>
      <c r="E163" s="345"/>
      <c r="F163" s="1396"/>
      <c r="G163" s="1397"/>
      <c r="H163" s="413"/>
      <c r="I163" s="371"/>
      <c r="J163" s="364"/>
      <c r="K163" s="84">
        <v>0</v>
      </c>
      <c r="L163" s="84">
        <v>0</v>
      </c>
    </row>
    <row r="164" spans="1:12" hidden="1" x14ac:dyDescent="0.25">
      <c r="A164" s="344"/>
      <c r="B164" s="345"/>
      <c r="C164" s="345"/>
      <c r="D164" s="345"/>
      <c r="E164" s="345"/>
      <c r="F164" s="1396"/>
      <c r="G164" s="1397"/>
      <c r="H164" s="391"/>
      <c r="I164" s="224"/>
      <c r="J164" s="364"/>
      <c r="K164" s="84">
        <v>0</v>
      </c>
      <c r="L164" s="84">
        <v>0</v>
      </c>
    </row>
    <row r="165" spans="1:12" hidden="1" x14ac:dyDescent="0.25">
      <c r="A165" s="236"/>
      <c r="B165" s="345"/>
      <c r="C165" s="345"/>
      <c r="D165" s="345"/>
      <c r="E165" s="345"/>
      <c r="F165" s="1396"/>
      <c r="G165" s="1397"/>
      <c r="H165" s="408"/>
      <c r="I165" s="224"/>
      <c r="J165" s="364"/>
      <c r="K165" s="84">
        <v>0</v>
      </c>
      <c r="L165" s="84">
        <v>0</v>
      </c>
    </row>
    <row r="166" spans="1:12" hidden="1" x14ac:dyDescent="0.25">
      <c r="A166" s="236"/>
      <c r="B166" s="482"/>
      <c r="C166" s="407"/>
      <c r="D166" s="407"/>
      <c r="E166" s="407"/>
      <c r="F166" s="1535"/>
      <c r="G166" s="1536"/>
      <c r="H166" s="408"/>
      <c r="I166" s="371"/>
      <c r="J166" s="364"/>
      <c r="K166" s="84">
        <v>0</v>
      </c>
      <c r="L166" s="84">
        <v>0</v>
      </c>
    </row>
    <row r="167" spans="1:12" hidden="1" x14ac:dyDescent="0.25">
      <c r="A167" s="236"/>
      <c r="B167" s="482"/>
      <c r="C167" s="407"/>
      <c r="D167" s="407"/>
      <c r="E167" s="407"/>
      <c r="F167" s="1535"/>
      <c r="G167" s="1536"/>
      <c r="H167" s="408"/>
      <c r="I167" s="409"/>
      <c r="J167" s="364"/>
      <c r="K167" s="84">
        <v>0</v>
      </c>
      <c r="L167" s="84">
        <v>0</v>
      </c>
    </row>
    <row r="168" spans="1:12" hidden="1" x14ac:dyDescent="0.25">
      <c r="A168" s="236"/>
      <c r="B168" s="481"/>
      <c r="C168" s="410"/>
      <c r="D168" s="410"/>
      <c r="E168" s="410"/>
      <c r="F168" s="1530"/>
      <c r="G168" s="1531"/>
      <c r="H168" s="411"/>
      <c r="I168" s="371"/>
      <c r="J168" s="364"/>
      <c r="K168" s="84">
        <v>0</v>
      </c>
      <c r="L168" s="84">
        <v>0</v>
      </c>
    </row>
    <row r="169" spans="1:12" hidden="1" x14ac:dyDescent="0.25">
      <c r="A169" s="236"/>
      <c r="B169" s="481"/>
      <c r="C169" s="410"/>
      <c r="D169" s="410"/>
      <c r="E169" s="410"/>
      <c r="F169" s="1339"/>
      <c r="G169" s="1341"/>
      <c r="H169" s="411"/>
      <c r="I169" s="371"/>
      <c r="J169" s="364"/>
      <c r="K169" s="84">
        <v>0</v>
      </c>
      <c r="L169" s="84">
        <v>0</v>
      </c>
    </row>
    <row r="170" spans="1:12" hidden="1" x14ac:dyDescent="0.25">
      <c r="A170" s="236"/>
      <c r="B170" s="484"/>
      <c r="C170" s="484"/>
      <c r="D170" s="484"/>
      <c r="E170" s="484"/>
      <c r="F170" s="1339"/>
      <c r="G170" s="1341"/>
      <c r="H170" s="412"/>
      <c r="I170" s="371"/>
      <c r="J170" s="364"/>
      <c r="K170" s="84">
        <v>0</v>
      </c>
      <c r="L170" s="84">
        <v>0</v>
      </c>
    </row>
    <row r="171" spans="1:12" x14ac:dyDescent="0.25">
      <c r="A171" s="236"/>
      <c r="B171" s="1411" t="s">
        <v>949</v>
      </c>
      <c r="C171" s="1412"/>
      <c r="D171" s="1412"/>
      <c r="E171" s="1412"/>
      <c r="F171" s="1412"/>
      <c r="G171" s="1412"/>
      <c r="H171" s="1412"/>
      <c r="I171" s="1413"/>
      <c r="J171" s="46">
        <f>J177</f>
        <v>0</v>
      </c>
      <c r="K171" s="46">
        <f>K172+K173+K174</f>
        <v>0</v>
      </c>
      <c r="L171" s="46">
        <f>L172+L173+L174</f>
        <v>0</v>
      </c>
    </row>
    <row r="172" spans="1:12" hidden="1" x14ac:dyDescent="0.25">
      <c r="A172" s="236"/>
      <c r="B172" s="345"/>
      <c r="C172" s="345"/>
      <c r="D172" s="345"/>
      <c r="E172" s="345"/>
      <c r="F172" s="1396"/>
      <c r="G172" s="1397"/>
      <c r="H172" s="413"/>
      <c r="I172" s="396"/>
      <c r="J172" s="41"/>
      <c r="K172" s="84"/>
      <c r="L172" s="84"/>
    </row>
    <row r="173" spans="1:12" hidden="1" x14ac:dyDescent="0.25">
      <c r="A173" s="480"/>
      <c r="B173" s="345"/>
      <c r="C173" s="345"/>
      <c r="D173" s="345"/>
      <c r="E173" s="345"/>
      <c r="F173" s="345"/>
      <c r="G173" s="401"/>
      <c r="H173" s="391"/>
      <c r="I173" s="396"/>
      <c r="J173" s="41"/>
      <c r="K173" s="84"/>
      <c r="L173" s="84"/>
    </row>
    <row r="174" spans="1:12" hidden="1" x14ac:dyDescent="0.25">
      <c r="A174" s="236"/>
      <c r="B174" s="345"/>
      <c r="C174" s="345"/>
      <c r="D174" s="345"/>
      <c r="E174" s="345"/>
      <c r="F174" s="345"/>
      <c r="G174" s="401"/>
      <c r="H174" s="391"/>
      <c r="I174" s="396"/>
      <c r="J174" s="41"/>
      <c r="K174" s="84"/>
      <c r="L174" s="84"/>
    </row>
    <row r="175" spans="1:12" hidden="1" x14ac:dyDescent="0.25">
      <c r="A175" s="236"/>
      <c r="B175" s="345"/>
      <c r="C175" s="345"/>
      <c r="D175" s="345"/>
      <c r="E175" s="345"/>
      <c r="F175" s="345"/>
      <c r="G175" s="345"/>
      <c r="H175" s="345"/>
      <c r="I175" s="396"/>
      <c r="J175" s="41"/>
      <c r="K175" s="84"/>
      <c r="L175" s="84"/>
    </row>
    <row r="176" spans="1:12" hidden="1" x14ac:dyDescent="0.25">
      <c r="A176" s="236"/>
      <c r="B176" s="415"/>
      <c r="C176" s="133"/>
      <c r="D176" s="133"/>
      <c r="E176" s="133"/>
      <c r="F176" s="133"/>
      <c r="G176" s="133"/>
      <c r="H176" s="133"/>
      <c r="I176" s="36"/>
      <c r="J176" s="41"/>
      <c r="K176" s="84"/>
      <c r="L176" s="84"/>
    </row>
    <row r="177" spans="1:12" hidden="1" x14ac:dyDescent="0.25">
      <c r="A177" s="236"/>
      <c r="B177" s="483"/>
      <c r="C177" s="412"/>
      <c r="D177" s="412"/>
      <c r="E177" s="412"/>
      <c r="F177" s="1290"/>
      <c r="G177" s="1285"/>
      <c r="H177" s="412"/>
      <c r="I177" s="416"/>
      <c r="J177" s="364"/>
      <c r="K177" s="84">
        <v>0</v>
      </c>
      <c r="L177" s="84">
        <v>0</v>
      </c>
    </row>
    <row r="178" spans="1:12" x14ac:dyDescent="0.25">
      <c r="A178" s="236"/>
      <c r="B178" s="1421" t="s">
        <v>950</v>
      </c>
      <c r="C178" s="1422"/>
      <c r="D178" s="1422"/>
      <c r="E178" s="1422"/>
      <c r="F178" s="1422"/>
      <c r="G178" s="1422"/>
      <c r="H178" s="1422"/>
      <c r="I178" s="1423"/>
      <c r="J178" s="46">
        <f>SUM(J184:J186)+J179+J180+J182+J183+J181+J187+J188+J189+J190</f>
        <v>0</v>
      </c>
      <c r="K178" s="46">
        <f>SUM(K184:K186)+K179+K180+K182+K183+K181+K187+K188+K189+K190</f>
        <v>0</v>
      </c>
      <c r="L178" s="46">
        <f>SUM(L184:L186)+L179+L180+L182+L183+L181+L187+L188+L189+L190</f>
        <v>0</v>
      </c>
    </row>
    <row r="179" spans="1:12" hidden="1" x14ac:dyDescent="0.25">
      <c r="A179" s="236"/>
      <c r="B179" s="410"/>
      <c r="C179" s="410"/>
      <c r="D179" s="410"/>
      <c r="E179" s="410"/>
      <c r="F179" s="1530"/>
      <c r="G179" s="1531"/>
      <c r="H179" s="439"/>
      <c r="I179" s="455"/>
      <c r="J179" s="41">
        <v>0</v>
      </c>
      <c r="K179" s="41">
        <v>0</v>
      </c>
      <c r="L179" s="41">
        <v>0</v>
      </c>
    </row>
    <row r="180" spans="1:12" hidden="1" x14ac:dyDescent="0.25">
      <c r="A180" s="236"/>
      <c r="B180" s="417"/>
      <c r="C180" s="417"/>
      <c r="D180" s="417"/>
      <c r="E180" s="417"/>
      <c r="F180" s="1530"/>
      <c r="G180" s="1531"/>
      <c r="H180" s="470"/>
      <c r="I180" s="371"/>
      <c r="J180" s="41">
        <v>0</v>
      </c>
      <c r="K180" s="41">
        <v>0</v>
      </c>
      <c r="L180" s="41">
        <v>0</v>
      </c>
    </row>
    <row r="181" spans="1:12" hidden="1" x14ac:dyDescent="0.25">
      <c r="A181" s="471"/>
      <c r="B181" s="417"/>
      <c r="C181" s="417"/>
      <c r="D181" s="417"/>
      <c r="E181" s="417"/>
      <c r="F181" s="1339"/>
      <c r="G181" s="1341"/>
      <c r="H181" s="417"/>
      <c r="I181" s="455"/>
      <c r="J181" s="364"/>
      <c r="K181" s="364"/>
      <c r="L181" s="364"/>
    </row>
    <row r="182" spans="1:12" hidden="1" x14ac:dyDescent="0.25">
      <c r="A182" s="471"/>
      <c r="B182" s="417"/>
      <c r="C182" s="417"/>
      <c r="D182" s="417"/>
      <c r="E182" s="417"/>
      <c r="F182" s="1339"/>
      <c r="G182" s="1341"/>
      <c r="H182" s="417"/>
      <c r="I182" s="452"/>
      <c r="J182" s="364"/>
      <c r="K182" s="364"/>
      <c r="L182" s="364"/>
    </row>
    <row r="183" spans="1:12" hidden="1" x14ac:dyDescent="0.25">
      <c r="A183" s="471"/>
      <c r="B183" s="417"/>
      <c r="C183" s="417"/>
      <c r="D183" s="417"/>
      <c r="E183" s="417"/>
      <c r="F183" s="1532"/>
      <c r="G183" s="1533"/>
      <c r="H183" s="417"/>
      <c r="I183" s="455"/>
      <c r="J183" s="364"/>
      <c r="K183" s="41"/>
      <c r="L183" s="41"/>
    </row>
    <row r="184" spans="1:12" s="1" customFormat="1" hidden="1" x14ac:dyDescent="0.25">
      <c r="A184" s="471"/>
      <c r="B184" s="418"/>
      <c r="C184" s="418"/>
      <c r="D184" s="418"/>
      <c r="E184" s="418"/>
      <c r="F184" s="1534"/>
      <c r="G184" s="1385"/>
      <c r="H184" s="418"/>
      <c r="I184" s="437"/>
      <c r="J184" s="364"/>
      <c r="K184" s="84">
        <v>0</v>
      </c>
      <c r="L184" s="84">
        <v>0</v>
      </c>
    </row>
    <row r="185" spans="1:12" s="1" customFormat="1" hidden="1" x14ac:dyDescent="0.25">
      <c r="A185" s="426"/>
      <c r="B185" s="345"/>
      <c r="C185" s="345"/>
      <c r="D185" s="345"/>
      <c r="E185" s="345"/>
      <c r="F185" s="1396"/>
      <c r="G185" s="1397"/>
      <c r="H185" s="345"/>
      <c r="I185" s="374"/>
      <c r="J185" s="364"/>
      <c r="K185" s="84">
        <v>0</v>
      </c>
      <c r="L185" s="84">
        <v>0</v>
      </c>
    </row>
    <row r="186" spans="1:12" hidden="1" x14ac:dyDescent="0.25">
      <c r="A186" s="426"/>
      <c r="B186" s="345"/>
      <c r="C186" s="345"/>
      <c r="D186" s="345"/>
      <c r="E186" s="345"/>
      <c r="F186" s="1396"/>
      <c r="G186" s="1397"/>
      <c r="H186" s="345"/>
      <c r="I186" s="374"/>
      <c r="J186" s="364"/>
      <c r="K186" s="84">
        <v>0</v>
      </c>
      <c r="L186" s="84">
        <v>0</v>
      </c>
    </row>
    <row r="187" spans="1:12" hidden="1" x14ac:dyDescent="0.25">
      <c r="A187" s="426"/>
      <c r="B187" s="345"/>
      <c r="C187" s="345"/>
      <c r="D187" s="345"/>
      <c r="E187" s="345"/>
      <c r="F187" s="1396"/>
      <c r="G187" s="1397"/>
      <c r="H187" s="345"/>
      <c r="I187" s="374"/>
      <c r="J187" s="364"/>
      <c r="K187" s="84">
        <v>0</v>
      </c>
      <c r="L187" s="84">
        <v>0</v>
      </c>
    </row>
    <row r="188" spans="1:12" hidden="1" x14ac:dyDescent="0.25">
      <c r="A188" s="426"/>
      <c r="B188" s="345"/>
      <c r="C188" s="345"/>
      <c r="D188" s="345"/>
      <c r="E188" s="345"/>
      <c r="F188" s="1396"/>
      <c r="G188" s="1397"/>
      <c r="H188" s="345"/>
      <c r="I188" s="374"/>
      <c r="J188" s="364"/>
      <c r="K188" s="84">
        <v>0</v>
      </c>
      <c r="L188" s="84">
        <v>0</v>
      </c>
    </row>
    <row r="189" spans="1:12" hidden="1" x14ac:dyDescent="0.25">
      <c r="A189" s="478"/>
      <c r="B189" s="419"/>
      <c r="C189" s="419"/>
      <c r="D189" s="419"/>
      <c r="E189" s="419"/>
      <c r="F189" s="1467"/>
      <c r="G189" s="1383"/>
      <c r="H189" s="419"/>
      <c r="I189" s="438"/>
      <c r="J189" s="364"/>
      <c r="K189" s="84">
        <v>0</v>
      </c>
      <c r="L189" s="84">
        <v>0</v>
      </c>
    </row>
    <row r="190" spans="1:12" hidden="1" x14ac:dyDescent="0.25">
      <c r="A190" s="383"/>
      <c r="B190" s="419"/>
      <c r="C190" s="419"/>
      <c r="D190" s="419"/>
      <c r="E190" s="419"/>
      <c r="F190" s="1467"/>
      <c r="G190" s="1383"/>
      <c r="H190" s="419"/>
      <c r="I190" s="373"/>
      <c r="J190" s="364"/>
      <c r="K190" s="84">
        <v>0</v>
      </c>
      <c r="L190" s="84">
        <v>0</v>
      </c>
    </row>
    <row r="191" spans="1:12" hidden="1" x14ac:dyDescent="0.25">
      <c r="A191" s="376"/>
      <c r="B191" s="345"/>
      <c r="C191" s="345"/>
      <c r="D191" s="345"/>
      <c r="E191" s="345"/>
      <c r="F191" s="1396"/>
      <c r="G191" s="1397"/>
      <c r="H191" s="345"/>
      <c r="I191" s="420"/>
      <c r="J191" s="364"/>
      <c r="K191" s="84"/>
      <c r="L191" s="84"/>
    </row>
    <row r="192" spans="1:12" x14ac:dyDescent="0.25">
      <c r="A192" s="236"/>
      <c r="B192" s="1391" t="s">
        <v>951</v>
      </c>
      <c r="C192" s="1392"/>
      <c r="D192" s="1392"/>
      <c r="E192" s="1392"/>
      <c r="F192" s="1392"/>
      <c r="G192" s="1392"/>
      <c r="H192" s="1392"/>
      <c r="I192" s="1393"/>
      <c r="J192" s="46">
        <f>J196+J195+J194+J193</f>
        <v>0</v>
      </c>
      <c r="K192" s="46">
        <f>K196+K195+K194+K193</f>
        <v>0</v>
      </c>
      <c r="L192" s="46">
        <f>L196+L195+L194+L193</f>
        <v>0</v>
      </c>
    </row>
    <row r="193" spans="1:12" ht="18.75" hidden="1" customHeight="1" x14ac:dyDescent="0.25">
      <c r="A193" s="344"/>
      <c r="B193" s="345"/>
      <c r="C193" s="345"/>
      <c r="D193" s="345"/>
      <c r="E193" s="345"/>
      <c r="F193" s="1396"/>
      <c r="G193" s="1397"/>
      <c r="H193" s="413"/>
      <c r="I193" s="224"/>
      <c r="J193" s="41">
        <v>0</v>
      </c>
      <c r="K193" s="84">
        <v>0</v>
      </c>
      <c r="L193" s="84">
        <v>0</v>
      </c>
    </row>
    <row r="194" spans="1:12" ht="0.75" hidden="1" customHeight="1" x14ac:dyDescent="0.25">
      <c r="A194" s="344"/>
      <c r="B194" s="345"/>
      <c r="C194" s="345"/>
      <c r="D194" s="345"/>
      <c r="E194" s="345"/>
      <c r="F194" s="1396"/>
      <c r="G194" s="1397"/>
      <c r="H194" s="345"/>
      <c r="I194" s="382"/>
      <c r="J194" s="364"/>
      <c r="K194" s="84">
        <v>0</v>
      </c>
      <c r="L194" s="84">
        <v>0</v>
      </c>
    </row>
    <row r="195" spans="1:12" hidden="1" x14ac:dyDescent="0.25">
      <c r="A195" s="82"/>
      <c r="B195" s="345"/>
      <c r="C195" s="345"/>
      <c r="D195" s="345"/>
      <c r="E195" s="345"/>
      <c r="F195" s="1396"/>
      <c r="G195" s="1397"/>
      <c r="H195" s="345"/>
      <c r="I195" s="371"/>
      <c r="J195" s="364"/>
      <c r="K195" s="84">
        <v>0</v>
      </c>
      <c r="L195" s="84">
        <v>0</v>
      </c>
    </row>
    <row r="196" spans="1:12" hidden="1" x14ac:dyDescent="0.25">
      <c r="A196" s="82"/>
      <c r="B196" s="476"/>
      <c r="C196" s="484"/>
      <c r="D196" s="484"/>
      <c r="E196" s="484"/>
      <c r="F196" s="1339"/>
      <c r="G196" s="1341"/>
      <c r="H196" s="412"/>
      <c r="I196" s="371"/>
      <c r="J196" s="364"/>
      <c r="K196" s="84">
        <v>0</v>
      </c>
      <c r="L196" s="84">
        <v>0</v>
      </c>
    </row>
    <row r="197" spans="1:12" x14ac:dyDescent="0.25">
      <c r="A197" s="82"/>
      <c r="B197" s="1391" t="s">
        <v>952</v>
      </c>
      <c r="C197" s="1392"/>
      <c r="D197" s="1392"/>
      <c r="E197" s="1392"/>
      <c r="F197" s="1392"/>
      <c r="G197" s="1392"/>
      <c r="H197" s="1392"/>
      <c r="I197" s="1393"/>
      <c r="J197" s="46">
        <f>J199+J200</f>
        <v>0</v>
      </c>
      <c r="K197" s="46">
        <f>K198</f>
        <v>0</v>
      </c>
      <c r="L197" s="46">
        <f>L198</f>
        <v>0</v>
      </c>
    </row>
    <row r="198" spans="1:12" hidden="1" x14ac:dyDescent="0.25">
      <c r="A198" s="366"/>
      <c r="B198" s="345"/>
      <c r="C198" s="345"/>
      <c r="D198" s="345"/>
      <c r="E198" s="345"/>
      <c r="F198" s="1396"/>
      <c r="G198" s="1397"/>
      <c r="H198" s="345"/>
      <c r="I198" s="396"/>
      <c r="J198" s="41"/>
      <c r="K198" s="84"/>
      <c r="L198" s="84"/>
    </row>
    <row r="199" spans="1:12" ht="1.5" hidden="1" customHeight="1" x14ac:dyDescent="0.25">
      <c r="A199" s="366"/>
      <c r="B199" s="421"/>
      <c r="C199" s="421"/>
      <c r="D199" s="421"/>
      <c r="E199" s="421"/>
      <c r="F199" s="1394"/>
      <c r="G199" s="1395"/>
      <c r="H199" s="421"/>
      <c r="I199" s="422"/>
      <c r="J199" s="423"/>
      <c r="K199" s="84">
        <v>0</v>
      </c>
      <c r="L199" s="84">
        <v>0</v>
      </c>
    </row>
    <row r="200" spans="1:12" hidden="1" x14ac:dyDescent="0.25">
      <c r="A200" s="366"/>
      <c r="B200" s="345"/>
      <c r="C200" s="345"/>
      <c r="D200" s="345"/>
      <c r="E200" s="345"/>
      <c r="F200" s="1396"/>
      <c r="G200" s="1397"/>
      <c r="H200" s="345"/>
      <c r="I200" s="396"/>
      <c r="J200" s="41"/>
      <c r="K200" s="84"/>
      <c r="L200" s="84"/>
    </row>
    <row r="201" spans="1:12" s="1" customFormat="1" x14ac:dyDescent="0.25">
      <c r="A201" s="26"/>
      <c r="B201" s="1408" t="s">
        <v>953</v>
      </c>
      <c r="C201" s="1409"/>
      <c r="D201" s="1409"/>
      <c r="E201" s="1409"/>
      <c r="F201" s="1409"/>
      <c r="G201" s="1409"/>
      <c r="H201" s="1409"/>
      <c r="I201" s="1410"/>
      <c r="J201" s="46">
        <f>SUM(J202:J210)</f>
        <v>0</v>
      </c>
      <c r="K201" s="46">
        <f>SUM(K202:K210)</f>
        <v>0</v>
      </c>
      <c r="L201" s="46">
        <f>SUM(L202:L210)</f>
        <v>0</v>
      </c>
    </row>
    <row r="202" spans="1:12" s="1" customFormat="1" hidden="1" x14ac:dyDescent="0.25">
      <c r="A202" s="424"/>
      <c r="B202" s="345"/>
      <c r="C202" s="345"/>
      <c r="D202" s="345"/>
      <c r="E202" s="345"/>
      <c r="F202" s="1396"/>
      <c r="G202" s="1397"/>
      <c r="H202" s="345"/>
      <c r="I202" s="396"/>
      <c r="J202" s="397">
        <v>0</v>
      </c>
      <c r="K202" s="110">
        <v>0</v>
      </c>
      <c r="L202" s="110">
        <v>0</v>
      </c>
    </row>
    <row r="203" spans="1:12" s="1" customFormat="1" hidden="1" x14ac:dyDescent="0.25">
      <c r="A203" s="424"/>
      <c r="B203" s="345"/>
      <c r="C203" s="345"/>
      <c r="D203" s="345"/>
      <c r="E203" s="345"/>
      <c r="F203" s="1396"/>
      <c r="G203" s="1397"/>
      <c r="H203" s="345"/>
      <c r="I203" s="396"/>
      <c r="J203" s="110">
        <v>0</v>
      </c>
      <c r="K203" s="425">
        <v>0</v>
      </c>
      <c r="L203" s="110">
        <v>0</v>
      </c>
    </row>
    <row r="204" spans="1:12" s="1" customFormat="1" ht="0.75" hidden="1" customHeight="1" x14ac:dyDescent="0.25">
      <c r="A204" s="426"/>
      <c r="B204" s="345"/>
      <c r="C204" s="345"/>
      <c r="D204" s="345"/>
      <c r="E204" s="345"/>
      <c r="F204" s="345"/>
      <c r="G204" s="345"/>
      <c r="H204" s="345"/>
      <c r="I204" s="36"/>
      <c r="J204" s="41"/>
      <c r="K204" s="110"/>
      <c r="L204" s="110"/>
    </row>
    <row r="205" spans="1:12" hidden="1" x14ac:dyDescent="0.25">
      <c r="A205" s="426"/>
      <c r="B205" s="345"/>
      <c r="C205" s="345"/>
      <c r="D205" s="345"/>
      <c r="E205" s="345"/>
      <c r="F205" s="345"/>
      <c r="G205" s="345"/>
      <c r="H205" s="345"/>
      <c r="I205" s="396"/>
      <c r="J205" s="41"/>
      <c r="K205" s="84"/>
      <c r="L205" s="84"/>
    </row>
    <row r="206" spans="1:12" hidden="1" x14ac:dyDescent="0.25">
      <c r="A206" s="78"/>
      <c r="B206" s="345"/>
      <c r="C206" s="345"/>
      <c r="D206" s="345"/>
      <c r="E206" s="345"/>
      <c r="F206" s="345"/>
      <c r="G206" s="345"/>
      <c r="H206" s="345"/>
      <c r="I206" s="427"/>
      <c r="J206" s="41"/>
      <c r="K206" s="84"/>
      <c r="L206" s="84"/>
    </row>
    <row r="207" spans="1:12" hidden="1" x14ac:dyDescent="0.25">
      <c r="A207" s="78"/>
      <c r="B207" s="345"/>
      <c r="C207" s="345"/>
      <c r="D207" s="345"/>
      <c r="E207" s="345"/>
      <c r="F207" s="345"/>
      <c r="G207" s="345"/>
      <c r="H207" s="345"/>
      <c r="I207" s="396"/>
      <c r="J207" s="41"/>
      <c r="K207" s="84"/>
      <c r="L207" s="84"/>
    </row>
    <row r="208" spans="1:12" hidden="1" x14ac:dyDescent="0.25">
      <c r="A208" s="78"/>
      <c r="B208" s="345"/>
      <c r="C208" s="345"/>
      <c r="D208" s="345"/>
      <c r="E208" s="345"/>
      <c r="F208" s="345"/>
      <c r="G208" s="345"/>
      <c r="H208" s="345"/>
      <c r="I208" s="396"/>
      <c r="J208" s="41"/>
      <c r="K208" s="84"/>
      <c r="L208" s="84"/>
    </row>
    <row r="209" spans="1:14" hidden="1" x14ac:dyDescent="0.25">
      <c r="A209" s="78"/>
      <c r="B209" s="345"/>
      <c r="C209" s="345"/>
      <c r="D209" s="345"/>
      <c r="E209" s="345"/>
      <c r="F209" s="1396"/>
      <c r="G209" s="1397"/>
      <c r="H209" s="345"/>
      <c r="I209" s="396"/>
      <c r="J209" s="41"/>
      <c r="K209" s="84"/>
      <c r="L209" s="84"/>
    </row>
    <row r="210" spans="1:14" hidden="1" x14ac:dyDescent="0.25">
      <c r="A210" s="428"/>
      <c r="B210" s="429"/>
      <c r="C210" s="429"/>
      <c r="D210" s="429"/>
      <c r="E210" s="429"/>
      <c r="F210" s="1401"/>
      <c r="G210" s="1402"/>
      <c r="H210" s="429"/>
      <c r="I210" s="430"/>
      <c r="J210" s="431"/>
      <c r="K210" s="432"/>
      <c r="L210" s="432"/>
    </row>
    <row r="211" spans="1:14" hidden="1" x14ac:dyDescent="0.25">
      <c r="A211" s="78"/>
      <c r="B211" s="345"/>
      <c r="C211" s="345"/>
      <c r="D211" s="345"/>
      <c r="E211" s="345"/>
      <c r="F211" s="345"/>
      <c r="G211" s="345"/>
      <c r="H211" s="345"/>
      <c r="I211" s="396"/>
      <c r="J211" s="41"/>
      <c r="K211" s="84"/>
      <c r="L211" s="84"/>
    </row>
    <row r="212" spans="1:14" x14ac:dyDescent="0.25">
      <c r="A212" s="82"/>
      <c r="B212" s="1297" t="s">
        <v>954</v>
      </c>
      <c r="C212" s="1298"/>
      <c r="D212" s="1298"/>
      <c r="E212" s="1298"/>
      <c r="F212" s="1298"/>
      <c r="G212" s="1298"/>
      <c r="H212" s="1298"/>
      <c r="I212" s="1299"/>
      <c r="J212" s="46">
        <f>J201+J178+J171+J160+J123+J108+J88+J78+J120+J192+J197+J91+J211</f>
        <v>0</v>
      </c>
      <c r="K212" s="46">
        <f>K201+K178+K171+K160+K123+K108+K88+K78+K120+K192+K197+K91+K211</f>
        <v>0</v>
      </c>
      <c r="L212" s="46">
        <f>L201+L178+L171+L160+L123+L108+L88+L78+L120+L192+L197+L91+L211</f>
        <v>0</v>
      </c>
    </row>
    <row r="213" spans="1:14" x14ac:dyDescent="0.25">
      <c r="I213" s="25"/>
      <c r="J213" s="64"/>
    </row>
    <row r="214" spans="1:14" x14ac:dyDescent="0.25">
      <c r="I214" s="25"/>
      <c r="J214" s="64"/>
    </row>
    <row r="215" spans="1:14" x14ac:dyDescent="0.25">
      <c r="I215" s="25"/>
      <c r="J215" s="64"/>
    </row>
    <row r="216" spans="1:14" s="1" customFormat="1" x14ac:dyDescent="0.25">
      <c r="A216" s="1398" t="s">
        <v>955</v>
      </c>
      <c r="B216" s="1398"/>
      <c r="C216" s="1398"/>
      <c r="D216" s="1398"/>
      <c r="E216" s="1398"/>
      <c r="F216" s="1398"/>
      <c r="G216" s="1398"/>
      <c r="H216" s="1398"/>
      <c r="I216" s="1201" t="s">
        <v>956</v>
      </c>
      <c r="J216" s="1201"/>
    </row>
    <row r="218" spans="1:14" ht="15" customHeight="1" x14ac:dyDescent="0.25">
      <c r="J218" s="28" t="s">
        <v>959</v>
      </c>
      <c r="K218" s="360">
        <f>П2ДОХОДЫ!E177</f>
        <v>877542628.18000007</v>
      </c>
    </row>
    <row r="219" spans="1:14" hidden="1" x14ac:dyDescent="0.25">
      <c r="A219" s="1" t="s">
        <v>957</v>
      </c>
    </row>
    <row r="220" spans="1:14" ht="15" hidden="1" customHeight="1" x14ac:dyDescent="0.25">
      <c r="A220" s="1390" t="s">
        <v>958</v>
      </c>
      <c r="B220" s="1390"/>
    </row>
    <row r="221" spans="1:14" ht="1.5" hidden="1" customHeight="1" x14ac:dyDescent="0.25">
      <c r="B221" s="3"/>
      <c r="C221" s="76"/>
      <c r="D221" s="76"/>
      <c r="E221" s="76"/>
      <c r="F221" s="76"/>
      <c r="G221" s="76"/>
      <c r="H221" s="76"/>
      <c r="I221" s="76"/>
      <c r="J221" s="76" t="s">
        <v>959</v>
      </c>
      <c r="K221" s="360">
        <f>П2ДОХОДЫ!E177</f>
        <v>877542628.18000007</v>
      </c>
      <c r="N221" s="360"/>
    </row>
    <row r="222" spans="1:14" ht="0.75" hidden="1" customHeight="1" x14ac:dyDescent="0.25">
      <c r="B222" s="1352" t="s">
        <v>934</v>
      </c>
      <c r="C222" s="1352"/>
      <c r="D222" s="1352"/>
      <c r="E222" s="1352"/>
      <c r="F222" s="1352"/>
      <c r="G222" s="1352"/>
      <c r="H222" s="1352"/>
      <c r="I222" s="1352"/>
      <c r="J222" s="433"/>
    </row>
    <row r="223" spans="1:14" ht="1.5" hidden="1" customHeight="1" x14ac:dyDescent="0.25">
      <c r="B223" s="1201" t="s">
        <v>960</v>
      </c>
      <c r="C223" s="1201"/>
      <c r="D223" s="1201"/>
      <c r="E223" s="1201"/>
      <c r="F223" s="1201"/>
      <c r="G223" s="1201"/>
      <c r="H223" s="1201"/>
      <c r="I223" s="1201"/>
      <c r="J223" s="5">
        <f>J224+J225+J226+J227</f>
        <v>0</v>
      </c>
      <c r="K223" s="5" t="e">
        <f>#REF!</f>
        <v>#REF!</v>
      </c>
      <c r="L223" s="5" t="e">
        <f>#REF!</f>
        <v>#REF!</v>
      </c>
    </row>
    <row r="224" spans="1:14" hidden="1" x14ac:dyDescent="0.25">
      <c r="B224" s="474"/>
      <c r="C224" s="474"/>
      <c r="D224" s="474"/>
      <c r="E224" s="474"/>
      <c r="F224" s="474"/>
      <c r="G224" s="474"/>
      <c r="H224" s="474"/>
      <c r="I224" s="434" t="s">
        <v>15</v>
      </c>
      <c r="J224" s="5"/>
      <c r="K224" s="5"/>
      <c r="L224" s="5"/>
    </row>
    <row r="225" spans="2:12" hidden="1" x14ac:dyDescent="0.25">
      <c r="B225" s="474"/>
      <c r="C225" s="474"/>
      <c r="D225" s="474"/>
      <c r="E225" s="474"/>
      <c r="F225" s="474"/>
      <c r="G225" s="474"/>
      <c r="H225" s="474"/>
      <c r="I225" s="434" t="s">
        <v>16</v>
      </c>
      <c r="J225" s="5"/>
      <c r="K225" s="5"/>
      <c r="L225" s="5"/>
    </row>
    <row r="226" spans="2:12" hidden="1" x14ac:dyDescent="0.25">
      <c r="B226" s="474"/>
      <c r="C226" s="474"/>
      <c r="D226" s="474"/>
      <c r="E226" s="474"/>
      <c r="F226" s="474"/>
      <c r="G226" s="474"/>
      <c r="H226" s="474"/>
      <c r="I226" s="434" t="s">
        <v>18</v>
      </c>
      <c r="J226" s="5"/>
      <c r="K226" s="5"/>
      <c r="L226" s="5"/>
    </row>
    <row r="227" spans="2:12" hidden="1" x14ac:dyDescent="0.25">
      <c r="B227" s="474"/>
      <c r="C227" s="474"/>
      <c r="D227" s="474"/>
      <c r="E227" s="474"/>
      <c r="F227" s="474"/>
      <c r="G227" s="474"/>
      <c r="H227" s="474"/>
      <c r="I227" s="434" t="s">
        <v>19</v>
      </c>
      <c r="J227" s="5"/>
      <c r="K227" s="5"/>
      <c r="L227" s="5"/>
    </row>
    <row r="228" spans="2:12" hidden="1" x14ac:dyDescent="0.25">
      <c r="B228" s="1201" t="s">
        <v>961</v>
      </c>
      <c r="C228" s="1201"/>
      <c r="D228" s="1201"/>
      <c r="E228" s="1201"/>
      <c r="F228" s="1201"/>
      <c r="G228" s="1201"/>
      <c r="H228" s="1201"/>
      <c r="I228" s="1201"/>
      <c r="J228" s="5">
        <f>J229+J230+J231+J232</f>
        <v>0</v>
      </c>
      <c r="K228" s="5" t="e">
        <f>K7+K8+#REF!+#REF!+#REF!+#REF!+#REF!+#REF!+#REF!+#REF!+#REF!+#REF!+#REF!+#REF!</f>
        <v>#REF!</v>
      </c>
      <c r="L228" s="5" t="e">
        <f>L7+L8+#REF!+#REF!+#REF!+#REF!+#REF!+#REF!+#REF!+#REF!+#REF!+#REF!+#REF!+#REF!</f>
        <v>#REF!</v>
      </c>
    </row>
    <row r="229" spans="2:12" hidden="1" x14ac:dyDescent="0.25">
      <c r="B229" s="474"/>
      <c r="C229" s="474"/>
      <c r="D229" s="474"/>
      <c r="E229" s="474"/>
      <c r="F229" s="474"/>
      <c r="G229" s="474"/>
      <c r="H229" s="474"/>
      <c r="I229" s="434" t="s">
        <v>15</v>
      </c>
      <c r="J229" s="5">
        <f>J7+J8</f>
        <v>0</v>
      </c>
      <c r="K229" s="5"/>
      <c r="L229" s="5"/>
    </row>
    <row r="230" spans="2:12" hidden="1" x14ac:dyDescent="0.25">
      <c r="B230" s="474"/>
      <c r="C230" s="474"/>
      <c r="D230" s="474"/>
      <c r="E230" s="474"/>
      <c r="F230" s="474"/>
      <c r="G230" s="474"/>
      <c r="H230" s="474"/>
      <c r="I230" s="434" t="s">
        <v>16</v>
      </c>
      <c r="J230" s="5">
        <f>J10</f>
        <v>0</v>
      </c>
      <c r="K230" s="5"/>
      <c r="L230" s="5"/>
    </row>
    <row r="231" spans="2:12" hidden="1" x14ac:dyDescent="0.25">
      <c r="B231" s="474"/>
      <c r="C231" s="474"/>
      <c r="D231" s="474"/>
      <c r="E231" s="474"/>
      <c r="F231" s="474"/>
      <c r="G231" s="474"/>
      <c r="H231" s="474"/>
      <c r="I231" s="434" t="s">
        <v>18</v>
      </c>
      <c r="J231" s="5">
        <v>0</v>
      </c>
      <c r="K231" s="5"/>
      <c r="L231" s="5"/>
    </row>
    <row r="232" spans="2:12" hidden="1" x14ac:dyDescent="0.25">
      <c r="B232" s="474"/>
      <c r="C232" s="474"/>
      <c r="D232" s="474"/>
      <c r="E232" s="474"/>
      <c r="F232" s="474"/>
      <c r="G232" s="474"/>
      <c r="H232" s="474"/>
      <c r="I232" s="434" t="s">
        <v>19</v>
      </c>
      <c r="J232" s="5">
        <v>0</v>
      </c>
      <c r="K232" s="5"/>
      <c r="L232" s="5"/>
    </row>
    <row r="233" spans="2:12" hidden="1" x14ac:dyDescent="0.25">
      <c r="B233" s="1201" t="s">
        <v>260</v>
      </c>
      <c r="C233" s="1201"/>
      <c r="D233" s="1201"/>
      <c r="E233" s="1201"/>
      <c r="F233" s="1201"/>
      <c r="G233" s="1201"/>
      <c r="H233" s="1201"/>
      <c r="I233" s="1201"/>
      <c r="J233" s="5">
        <f>SUM(J223:J228)</f>
        <v>0</v>
      </c>
      <c r="K233" s="5" t="e">
        <f>SUM(K223:K228)</f>
        <v>#REF!</v>
      </c>
      <c r="L233" s="5" t="e">
        <f>SUM(L223:L228)</f>
        <v>#REF!</v>
      </c>
    </row>
    <row r="234" spans="2:12" hidden="1" x14ac:dyDescent="0.25">
      <c r="B234" s="1352" t="s">
        <v>938</v>
      </c>
      <c r="C234" s="1352"/>
      <c r="D234" s="1352"/>
      <c r="E234" s="1352"/>
      <c r="F234" s="1352"/>
      <c r="G234" s="1352"/>
      <c r="H234" s="1352"/>
      <c r="I234" s="1352"/>
      <c r="J234" s="433"/>
    </row>
    <row r="235" spans="2:12" hidden="1" x14ac:dyDescent="0.25">
      <c r="B235" s="1201" t="s">
        <v>962</v>
      </c>
      <c r="C235" s="1201"/>
      <c r="D235" s="1201"/>
      <c r="E235" s="1201"/>
      <c r="F235" s="1201"/>
      <c r="G235" s="1201"/>
      <c r="H235" s="1201"/>
      <c r="I235" s="1201"/>
      <c r="J235" s="5">
        <v>0</v>
      </c>
      <c r="K235" s="5">
        <f>K67+K69</f>
        <v>0</v>
      </c>
      <c r="L235" s="5">
        <f>L67+L69</f>
        <v>0</v>
      </c>
    </row>
    <row r="236" spans="2:12" hidden="1" x14ac:dyDescent="0.25">
      <c r="B236" s="1201" t="s">
        <v>963</v>
      </c>
      <c r="C236" s="1201"/>
      <c r="D236" s="1201"/>
      <c r="E236" s="1201"/>
      <c r="F236" s="1201"/>
      <c r="G236" s="1201"/>
      <c r="H236" s="1201"/>
      <c r="I236" s="1201"/>
      <c r="J236" s="5">
        <f>J67</f>
        <v>0</v>
      </c>
      <c r="K236" s="5"/>
      <c r="L236" s="5"/>
    </row>
    <row r="237" spans="2:12" hidden="1" x14ac:dyDescent="0.25">
      <c r="B237" s="1201" t="s">
        <v>964</v>
      </c>
      <c r="C237" s="1201"/>
      <c r="D237" s="1201"/>
      <c r="E237" s="1201"/>
      <c r="F237" s="1201"/>
      <c r="G237" s="1201"/>
      <c r="H237" s="1201"/>
      <c r="I237" s="1201"/>
      <c r="J237" s="5">
        <f>J68</f>
        <v>0</v>
      </c>
      <c r="K237" s="5">
        <f>K68</f>
        <v>0</v>
      </c>
      <c r="L237" s="5">
        <f>L68</f>
        <v>0</v>
      </c>
    </row>
    <row r="238" spans="2:12" hidden="1" x14ac:dyDescent="0.25">
      <c r="B238" s="1201" t="s">
        <v>260</v>
      </c>
      <c r="C238" s="1201"/>
      <c r="D238" s="1201"/>
      <c r="E238" s="1201"/>
      <c r="F238" s="1201"/>
      <c r="G238" s="1201"/>
      <c r="H238" s="1201"/>
      <c r="I238" s="1201"/>
      <c r="J238" s="5">
        <f>SUM(J235:J237)</f>
        <v>0</v>
      </c>
      <c r="K238" s="5">
        <f>SUM(K235:K237)</f>
        <v>0</v>
      </c>
      <c r="L238" s="5">
        <f>SUM(L235:L237)</f>
        <v>0</v>
      </c>
    </row>
    <row r="239" spans="2:12" hidden="1" x14ac:dyDescent="0.25">
      <c r="B239" s="1352" t="s">
        <v>940</v>
      </c>
      <c r="C239" s="1352"/>
      <c r="D239" s="1352"/>
      <c r="E239" s="1352"/>
      <c r="F239" s="1352"/>
      <c r="G239" s="1352"/>
      <c r="H239" s="1352"/>
      <c r="I239" s="1352"/>
      <c r="J239" s="433"/>
    </row>
    <row r="240" spans="2:12" hidden="1" x14ac:dyDescent="0.25">
      <c r="B240" s="1201" t="s">
        <v>965</v>
      </c>
      <c r="C240" s="1201"/>
      <c r="D240" s="1201"/>
      <c r="E240" s="1201"/>
      <c r="F240" s="1201"/>
      <c r="G240" s="1201"/>
      <c r="H240" s="1201"/>
      <c r="I240" s="1201"/>
      <c r="J240" s="64" t="e">
        <f>#REF!+#REF!+#REF!+#REF!+#REF!+J79+#REF!+#REF!+J193+J194+J195+#REF!+J80+J81+J109+J110+J87+J184+J111+#REF!</f>
        <v>#REF!</v>
      </c>
      <c r="K240" s="64" t="e">
        <f>#REF!+#REF!+#REF!+K79+K89+#REF!+#REF!+#REF!+K109+K110</f>
        <v>#REF!</v>
      </c>
      <c r="L240" s="64" t="e">
        <f>#REF!+#REF!+#REF!+L79+L89+#REF!+#REF!+#REF!+L109+L110</f>
        <v>#REF!</v>
      </c>
    </row>
    <row r="241" spans="2:12" hidden="1" x14ac:dyDescent="0.25">
      <c r="B241" s="1201" t="s">
        <v>966</v>
      </c>
      <c r="C241" s="1201"/>
      <c r="D241" s="1201"/>
      <c r="E241" s="1201"/>
      <c r="F241" s="1201"/>
      <c r="G241" s="1201"/>
      <c r="H241" s="1201"/>
      <c r="I241" s="1201"/>
      <c r="J241" s="64">
        <f>J197</f>
        <v>0</v>
      </c>
      <c r="K241" s="64">
        <f>K211+K202</f>
        <v>0</v>
      </c>
      <c r="L241" s="64">
        <f>L211+L202</f>
        <v>0</v>
      </c>
    </row>
    <row r="242" spans="2:12" hidden="1" x14ac:dyDescent="0.25">
      <c r="B242" s="1201" t="s">
        <v>967</v>
      </c>
      <c r="C242" s="1201"/>
      <c r="D242" s="1201"/>
      <c r="E242" s="1201"/>
      <c r="F242" s="1201"/>
      <c r="G242" s="1201"/>
      <c r="H242" s="1201"/>
      <c r="I242" s="1201"/>
      <c r="J242" s="64">
        <f>J124+J125+J126</f>
        <v>0</v>
      </c>
      <c r="K242" s="64">
        <f>K127+K126+K125+K130+K131+K132+K133+K134+K135+K136+K137+K138+K140+K141+K142+K143+K144+K145+K146+K147</f>
        <v>0</v>
      </c>
      <c r="L242" s="64">
        <f>L127+L126+L125+L130+L131+L132+L133+L134+L135+L136+L137+L138+L140+L141+L142+L143+L144+L145+L146+L147</f>
        <v>0</v>
      </c>
    </row>
    <row r="243" spans="2:12" hidden="1" x14ac:dyDescent="0.25">
      <c r="B243" s="1201" t="s">
        <v>968</v>
      </c>
      <c r="C243" s="1201"/>
      <c r="D243" s="1201"/>
      <c r="E243" s="1201"/>
      <c r="F243" s="1201"/>
      <c r="G243" s="1201"/>
      <c r="H243" s="1201"/>
      <c r="I243" s="1201"/>
      <c r="J243" s="64" t="e">
        <f>#REF!+#REF!</f>
        <v>#REF!</v>
      </c>
      <c r="K243" s="64" t="e">
        <f>K128+#REF!</f>
        <v>#REF!</v>
      </c>
      <c r="L243" s="64" t="e">
        <f>L128+#REF!</f>
        <v>#REF!</v>
      </c>
    </row>
    <row r="244" spans="2:12" hidden="1" x14ac:dyDescent="0.25">
      <c r="B244" s="1201" t="s">
        <v>260</v>
      </c>
      <c r="C244" s="1201"/>
      <c r="D244" s="1201"/>
      <c r="E244" s="1201"/>
      <c r="F244" s="1201"/>
      <c r="G244" s="1201"/>
      <c r="H244" s="1201"/>
      <c r="I244" s="1201"/>
      <c r="J244" s="64" t="e">
        <f>SUM(J240:J243)</f>
        <v>#REF!</v>
      </c>
      <c r="K244" s="64" t="e">
        <f>SUM(K240:K243)</f>
        <v>#REF!</v>
      </c>
      <c r="L244" s="64" t="e">
        <f>SUM(L240:L243)</f>
        <v>#REF!</v>
      </c>
    </row>
    <row r="245" spans="2:12" hidden="1" x14ac:dyDescent="0.25">
      <c r="B245" s="1352" t="s">
        <v>969</v>
      </c>
      <c r="C245" s="1352"/>
      <c r="D245" s="1352"/>
      <c r="E245" s="1352"/>
      <c r="F245" s="1352"/>
      <c r="G245" s="1352"/>
      <c r="H245" s="1352"/>
      <c r="I245" s="1352"/>
      <c r="J245" s="435" t="e">
        <f>J233-(J244-J238)</f>
        <v>#REF!</v>
      </c>
      <c r="K245" s="435" t="e">
        <f>K233-(K244-K238)</f>
        <v>#REF!</v>
      </c>
      <c r="L245" s="435" t="e">
        <f>L233-(L244-L238)</f>
        <v>#REF!</v>
      </c>
    </row>
    <row r="246" spans="2:12" x14ac:dyDescent="0.25">
      <c r="J246" s="28" t="s">
        <v>970</v>
      </c>
      <c r="K246" s="360">
        <f>П4ВСР!Z765</f>
        <v>1006891333.1199999</v>
      </c>
    </row>
    <row r="247" spans="2:12" x14ac:dyDescent="0.25">
      <c r="I247" s="474"/>
      <c r="J247" s="28" t="s">
        <v>971</v>
      </c>
      <c r="K247" s="360">
        <f>П2ДОХОДЫ!E13</f>
        <v>231131347.21999997</v>
      </c>
    </row>
    <row r="248" spans="2:12" x14ac:dyDescent="0.25">
      <c r="J248" s="28" t="s">
        <v>972</v>
      </c>
      <c r="K248" s="360">
        <f>K221-K246</f>
        <v>-129348704.93999982</v>
      </c>
    </row>
    <row r="249" spans="2:12" x14ac:dyDescent="0.25">
      <c r="K249" s="360">
        <f>П1ИВФ!C18</f>
        <v>2360000</v>
      </c>
    </row>
    <row r="250" spans="2:12" x14ac:dyDescent="0.25">
      <c r="K250" s="3">
        <f>K249/K247*100</f>
        <v>1.0210644416629728</v>
      </c>
    </row>
    <row r="252" spans="2:12" x14ac:dyDescent="0.25">
      <c r="K252" s="360"/>
    </row>
    <row r="253" spans="2:12" x14ac:dyDescent="0.25">
      <c r="K253" s="360"/>
    </row>
    <row r="254" spans="2:12" x14ac:dyDescent="0.25">
      <c r="K254" s="360"/>
    </row>
    <row r="256" spans="2:12" x14ac:dyDescent="0.25">
      <c r="K256" s="360"/>
    </row>
    <row r="259" spans="10:12" x14ac:dyDescent="0.25">
      <c r="L259" s="360"/>
    </row>
    <row r="260" spans="10:12" x14ac:dyDescent="0.25">
      <c r="L260" s="360"/>
    </row>
    <row r="261" spans="10:12" x14ac:dyDescent="0.25">
      <c r="K261" s="28"/>
      <c r="L261" s="360"/>
    </row>
    <row r="262" spans="10:12" x14ac:dyDescent="0.25">
      <c r="K262" s="28"/>
      <c r="L262" s="360"/>
    </row>
    <row r="263" spans="10:12" x14ac:dyDescent="0.25">
      <c r="J263" s="76"/>
      <c r="K263" s="28"/>
      <c r="L263" s="360"/>
    </row>
    <row r="264" spans="10:12" x14ac:dyDescent="0.25">
      <c r="J264" s="433"/>
    </row>
  </sheetData>
  <mergeCells count="162">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F184:G184"/>
    <mergeCell ref="F185:G185"/>
    <mergeCell ref="F186:G186"/>
    <mergeCell ref="F187:G187"/>
    <mergeCell ref="F188:G188"/>
    <mergeCell ref="F189:G189"/>
    <mergeCell ref="B178:I178"/>
    <mergeCell ref="F179:G179"/>
    <mergeCell ref="F180:G180"/>
    <mergeCell ref="F181:G181"/>
    <mergeCell ref="F182:G182"/>
    <mergeCell ref="F183:G183"/>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33:G133"/>
    <mergeCell ref="F145:G145"/>
    <mergeCell ref="F146:G146"/>
    <mergeCell ref="F147:G147"/>
    <mergeCell ref="F148:G148"/>
    <mergeCell ref="F149:G149"/>
    <mergeCell ref="F127:G127"/>
    <mergeCell ref="F128:G128"/>
    <mergeCell ref="F129:G129"/>
    <mergeCell ref="F130:G130"/>
    <mergeCell ref="F131:G131"/>
    <mergeCell ref="F132:G132"/>
    <mergeCell ref="B120:I120"/>
    <mergeCell ref="F121:G121"/>
    <mergeCell ref="B123:I123"/>
    <mergeCell ref="F124:G124"/>
    <mergeCell ref="F125:G125"/>
    <mergeCell ref="F126:G126"/>
    <mergeCell ref="F114:G114"/>
    <mergeCell ref="F115:G115"/>
    <mergeCell ref="F116:G116"/>
    <mergeCell ref="F117:G117"/>
    <mergeCell ref="F118:G118"/>
    <mergeCell ref="F119:G119"/>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I79:I80"/>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3"/>
      <c r="B1" s="184"/>
      <c r="C1" s="184"/>
      <c r="D1" s="181"/>
      <c r="E1" s="181"/>
      <c r="F1" s="76"/>
      <c r="G1" s="181" t="s">
        <v>790</v>
      </c>
      <c r="H1" s="76"/>
      <c r="I1" s="76"/>
      <c r="J1" s="76"/>
    </row>
    <row r="2" spans="1:11" ht="12.75" customHeight="1" x14ac:dyDescent="0.25">
      <c r="A2" s="185"/>
      <c r="B2" s="186"/>
      <c r="C2" s="186"/>
      <c r="D2" s="181"/>
      <c r="E2" s="181"/>
      <c r="F2" s="76"/>
      <c r="G2" s="181" t="s">
        <v>30</v>
      </c>
      <c r="H2" s="76"/>
      <c r="I2" s="76"/>
      <c r="J2" s="76"/>
    </row>
    <row r="3" spans="1:11" ht="15.75" x14ac:dyDescent="0.25">
      <c r="A3" s="185"/>
      <c r="B3" s="186"/>
      <c r="C3" s="186"/>
      <c r="D3" s="181"/>
      <c r="E3" s="181"/>
      <c r="F3" s="76"/>
      <c r="G3" s="181" t="s">
        <v>32</v>
      </c>
      <c r="H3" s="76"/>
      <c r="I3" s="76"/>
      <c r="J3" s="76"/>
    </row>
    <row r="4" spans="1:11" ht="16.5" customHeight="1" x14ac:dyDescent="0.25">
      <c r="A4" s="185"/>
      <c r="B4" s="186"/>
      <c r="C4" s="186"/>
      <c r="D4" s="181"/>
      <c r="E4" s="181"/>
      <c r="F4" s="76"/>
      <c r="G4" s="2" t="s">
        <v>795</v>
      </c>
      <c r="H4" s="76"/>
      <c r="I4" s="76"/>
      <c r="J4" s="76"/>
    </row>
    <row r="5" spans="1:11" x14ac:dyDescent="0.25">
      <c r="A5" s="187"/>
      <c r="B5" s="187"/>
      <c r="C5" s="187"/>
      <c r="D5" s="187"/>
      <c r="E5" s="188"/>
      <c r="F5" s="188"/>
      <c r="G5" s="187"/>
      <c r="H5" s="187"/>
    </row>
    <row r="6" spans="1:11" ht="0.75" customHeight="1" x14ac:dyDescent="0.25">
      <c r="A6" s="187"/>
      <c r="B6" s="187"/>
      <c r="C6" s="187"/>
      <c r="D6" s="187"/>
      <c r="E6" s="187"/>
      <c r="F6" s="187"/>
      <c r="G6" s="187"/>
      <c r="H6" s="187"/>
    </row>
    <row r="7" spans="1:11" ht="15.75" x14ac:dyDescent="0.25">
      <c r="A7" s="1150" t="s">
        <v>648</v>
      </c>
      <c r="B7" s="1150"/>
      <c r="C7" s="1150"/>
      <c r="D7" s="1150"/>
      <c r="E7" s="1150"/>
      <c r="F7" s="187"/>
      <c r="G7" s="187"/>
      <c r="H7" s="187"/>
    </row>
    <row r="8" spans="1:11" ht="13.15" customHeight="1" x14ac:dyDescent="0.25">
      <c r="A8" s="187"/>
      <c r="B8" s="187"/>
      <c r="C8" s="187"/>
      <c r="D8" s="187"/>
      <c r="E8" s="187"/>
      <c r="F8" s="187"/>
      <c r="G8" s="187"/>
      <c r="H8" s="187"/>
    </row>
    <row r="9" spans="1:11" ht="0.75" customHeight="1" x14ac:dyDescent="0.25">
      <c r="A9" s="189"/>
      <c r="B9" s="190"/>
      <c r="C9" s="190"/>
      <c r="D9" s="190"/>
      <c r="E9" s="190"/>
      <c r="F9" s="187"/>
      <c r="G9" s="187"/>
      <c r="H9" s="187"/>
    </row>
    <row r="10" spans="1:11" ht="15" hidden="1" customHeight="1" x14ac:dyDescent="0.25">
      <c r="A10" s="187"/>
      <c r="B10" s="187"/>
      <c r="C10" s="187"/>
      <c r="D10" s="187"/>
      <c r="E10" s="187"/>
      <c r="F10" s="187"/>
      <c r="G10" s="187"/>
      <c r="H10" s="187"/>
    </row>
    <row r="11" spans="1:11" ht="16.5" customHeight="1" x14ac:dyDescent="0.25">
      <c r="A11" s="187" t="s">
        <v>649</v>
      </c>
      <c r="B11" s="187"/>
      <c r="C11" s="187"/>
      <c r="D11" s="187"/>
      <c r="E11" s="187"/>
      <c r="F11" s="187"/>
      <c r="G11" s="187"/>
      <c r="H11" s="187"/>
    </row>
    <row r="12" spans="1:11" ht="61.9" customHeight="1" x14ac:dyDescent="0.25">
      <c r="A12" s="191" t="s">
        <v>53</v>
      </c>
      <c r="B12" s="1151" t="s">
        <v>650</v>
      </c>
      <c r="C12" s="1152"/>
      <c r="D12" s="191" t="s">
        <v>651</v>
      </c>
      <c r="E12" s="192" t="s">
        <v>521</v>
      </c>
      <c r="F12" s="192" t="s">
        <v>522</v>
      </c>
      <c r="G12" s="191" t="s">
        <v>523</v>
      </c>
    </row>
    <row r="13" spans="1:11" ht="58.5" customHeight="1" x14ac:dyDescent="0.25">
      <c r="A13" s="193" t="s">
        <v>15</v>
      </c>
      <c r="B13" s="1144" t="s">
        <v>792</v>
      </c>
      <c r="C13" s="1145"/>
      <c r="D13" s="194" t="s">
        <v>793</v>
      </c>
      <c r="E13" s="195">
        <v>807344</v>
      </c>
      <c r="F13" s="196">
        <v>0</v>
      </c>
      <c r="G13" s="196">
        <v>0</v>
      </c>
    </row>
    <row r="14" spans="1:11" ht="76.5" customHeight="1" x14ac:dyDescent="0.25">
      <c r="A14" s="193" t="s">
        <v>15</v>
      </c>
      <c r="B14" s="1144" t="s">
        <v>764</v>
      </c>
      <c r="C14" s="1145"/>
      <c r="D14" s="197" t="s">
        <v>699</v>
      </c>
      <c r="E14" s="195">
        <f>1721300-20+1721280</f>
        <v>3442560</v>
      </c>
      <c r="F14" s="196">
        <v>1721300</v>
      </c>
      <c r="G14" s="196">
        <v>1721300</v>
      </c>
    </row>
    <row r="15" spans="1:11" ht="42.75" customHeight="1" x14ac:dyDescent="0.25">
      <c r="A15" s="249" t="s">
        <v>15</v>
      </c>
      <c r="B15" s="1144" t="s">
        <v>744</v>
      </c>
      <c r="C15" s="1145"/>
      <c r="D15" s="197" t="s">
        <v>185</v>
      </c>
      <c r="E15" s="195">
        <f>584400+21900+87107200+573400+573400+29.82-2.95-24.78-18.95-2.9</f>
        <v>88860280.23999998</v>
      </c>
      <c r="F15" s="196">
        <f>584400+21900+87107200+573400+573400</f>
        <v>88860300</v>
      </c>
      <c r="G15" s="196">
        <f>584400+21900+87107200+573400+573400</f>
        <v>88860300</v>
      </c>
      <c r="I15" s="127"/>
      <c r="J15" s="127"/>
      <c r="K15" s="127"/>
    </row>
    <row r="16" spans="1:11" ht="72" customHeight="1" x14ac:dyDescent="0.25">
      <c r="A16" s="249" t="s">
        <v>15</v>
      </c>
      <c r="B16" s="1144" t="s">
        <v>749</v>
      </c>
      <c r="C16" s="1145"/>
      <c r="D16" s="197" t="s">
        <v>750</v>
      </c>
      <c r="E16" s="195">
        <f>-348534822.95+344062759</f>
        <v>-4472063.9499999881</v>
      </c>
      <c r="F16" s="196">
        <v>0</v>
      </c>
      <c r="G16" s="196">
        <v>0</v>
      </c>
      <c r="I16" s="127"/>
      <c r="J16" s="127"/>
      <c r="K16" s="127"/>
    </row>
    <row r="17" spans="1:11" ht="53.25" customHeight="1" x14ac:dyDescent="0.25">
      <c r="A17" s="193" t="s">
        <v>16</v>
      </c>
      <c r="B17" s="1144" t="s">
        <v>652</v>
      </c>
      <c r="C17" s="1145"/>
      <c r="D17" s="197" t="s">
        <v>80</v>
      </c>
      <c r="E17" s="195">
        <v>136300</v>
      </c>
      <c r="F17" s="196">
        <v>50000</v>
      </c>
      <c r="G17" s="196">
        <v>0</v>
      </c>
      <c r="I17" s="127"/>
      <c r="J17" s="127"/>
      <c r="K17" s="127"/>
    </row>
    <row r="18" spans="1:11" ht="83.25" customHeight="1" x14ac:dyDescent="0.25">
      <c r="A18" s="193" t="s">
        <v>16</v>
      </c>
      <c r="B18" s="1144" t="s">
        <v>737</v>
      </c>
      <c r="C18" s="1145"/>
      <c r="D18" s="250" t="s">
        <v>711</v>
      </c>
      <c r="E18" s="195">
        <f>550000+2340000+50000</f>
        <v>2940000</v>
      </c>
      <c r="F18" s="196">
        <v>550000</v>
      </c>
      <c r="G18" s="196">
        <v>550000</v>
      </c>
      <c r="I18" s="127"/>
      <c r="J18" s="127"/>
      <c r="K18" s="127"/>
    </row>
    <row r="19" spans="1:11" ht="40.5" customHeight="1" x14ac:dyDescent="0.25">
      <c r="A19" s="226" t="s">
        <v>16</v>
      </c>
      <c r="B19" s="1148" t="s">
        <v>765</v>
      </c>
      <c r="C19" s="1149"/>
      <c r="D19" s="228" t="s">
        <v>261</v>
      </c>
      <c r="E19" s="227">
        <f>153674400-809172-4034178</f>
        <v>148831050</v>
      </c>
      <c r="F19" s="196">
        <v>150973700</v>
      </c>
      <c r="G19" s="196">
        <v>142883600</v>
      </c>
    </row>
    <row r="20" spans="1:11" ht="45.75" customHeight="1" x14ac:dyDescent="0.25">
      <c r="A20" s="226" t="s">
        <v>16</v>
      </c>
      <c r="B20" s="1148" t="s">
        <v>766</v>
      </c>
      <c r="C20" s="1149"/>
      <c r="D20" s="228" t="s">
        <v>653</v>
      </c>
      <c r="E20" s="227">
        <f>1920500+16433+1096016</f>
        <v>3032949</v>
      </c>
      <c r="F20" s="196">
        <v>2365900</v>
      </c>
      <c r="G20" s="196">
        <v>2846200</v>
      </c>
    </row>
    <row r="21" spans="1:11" ht="114.75" customHeight="1" x14ac:dyDescent="0.25">
      <c r="A21" s="193" t="s">
        <v>18</v>
      </c>
      <c r="B21" s="1140" t="s">
        <v>747</v>
      </c>
      <c r="C21" s="1141"/>
      <c r="D21" s="197" t="s">
        <v>700</v>
      </c>
      <c r="E21" s="195">
        <f>10826900+38.46</f>
        <v>10826938.460000001</v>
      </c>
      <c r="F21" s="196">
        <v>10826900</v>
      </c>
      <c r="G21" s="196">
        <v>10826900</v>
      </c>
    </row>
    <row r="22" spans="1:11" ht="79.5" customHeight="1" x14ac:dyDescent="0.25">
      <c r="A22" s="193" t="s">
        <v>18</v>
      </c>
      <c r="B22" s="1140" t="s">
        <v>744</v>
      </c>
      <c r="C22" s="1141"/>
      <c r="D22" s="197" t="s">
        <v>701</v>
      </c>
      <c r="E22" s="195">
        <f>1241900-44</f>
        <v>1241856</v>
      </c>
      <c r="F22" s="196">
        <v>1241900</v>
      </c>
      <c r="G22" s="196">
        <v>1241900</v>
      </c>
    </row>
    <row r="23" spans="1:11" ht="38.25" customHeight="1" x14ac:dyDescent="0.25">
      <c r="A23" s="193" t="s">
        <v>18</v>
      </c>
      <c r="B23" s="1140" t="s">
        <v>744</v>
      </c>
      <c r="C23" s="1141"/>
      <c r="D23" s="197" t="s">
        <v>185</v>
      </c>
      <c r="E23" s="195">
        <f>1750200+55100-8.85-2.48</f>
        <v>1805288.67</v>
      </c>
      <c r="F23" s="196">
        <f>1750200+55100</f>
        <v>1805300</v>
      </c>
      <c r="G23" s="196">
        <f>1750200+55100</f>
        <v>1805300</v>
      </c>
    </row>
    <row r="24" spans="1:11" ht="69.75" customHeight="1" x14ac:dyDescent="0.3">
      <c r="A24" s="193" t="s">
        <v>18</v>
      </c>
      <c r="B24" s="1142" t="s">
        <v>748</v>
      </c>
      <c r="C24" s="1143"/>
      <c r="D24" s="250" t="s">
        <v>186</v>
      </c>
      <c r="E24" s="195">
        <f>14076600+2461156.82</f>
        <v>16537756.82</v>
      </c>
      <c r="F24" s="196">
        <v>14076600</v>
      </c>
      <c r="G24" s="196">
        <v>14076600</v>
      </c>
    </row>
    <row r="25" spans="1:11" ht="69.75" customHeight="1" x14ac:dyDescent="0.3">
      <c r="A25" s="193" t="s">
        <v>18</v>
      </c>
      <c r="B25" s="1142" t="s">
        <v>744</v>
      </c>
      <c r="C25" s="1143"/>
      <c r="D25" s="250" t="s">
        <v>702</v>
      </c>
      <c r="E25" s="195">
        <f>195822100-13459.9</f>
        <v>195808640.09999999</v>
      </c>
      <c r="F25" s="196">
        <v>195822100</v>
      </c>
      <c r="G25" s="196">
        <v>195822100</v>
      </c>
    </row>
    <row r="26" spans="1:11" ht="38.25" customHeight="1" x14ac:dyDescent="0.25">
      <c r="A26" s="193" t="s">
        <v>18</v>
      </c>
      <c r="B26" s="1140" t="s">
        <v>746</v>
      </c>
      <c r="C26" s="1141"/>
      <c r="D26" s="197" t="s">
        <v>703</v>
      </c>
      <c r="E26" s="195">
        <f>889800+547200</f>
        <v>1437000</v>
      </c>
      <c r="F26" s="196">
        <v>1035200</v>
      </c>
      <c r="G26" s="196">
        <v>1278800</v>
      </c>
    </row>
    <row r="27" spans="1:11" ht="140.25" customHeight="1" x14ac:dyDescent="0.25">
      <c r="A27" s="193" t="s">
        <v>19</v>
      </c>
      <c r="B27" s="1144" t="s">
        <v>20</v>
      </c>
      <c r="C27" s="1145"/>
      <c r="D27" s="194" t="s">
        <v>654</v>
      </c>
      <c r="E27" s="195">
        <v>729000</v>
      </c>
      <c r="F27" s="196">
        <v>729000</v>
      </c>
      <c r="G27" s="196">
        <v>729000</v>
      </c>
    </row>
    <row r="28" spans="1:11" ht="123.95" customHeight="1" x14ac:dyDescent="0.25">
      <c r="A28" s="193" t="s">
        <v>19</v>
      </c>
      <c r="B28" s="1144" t="s">
        <v>21</v>
      </c>
      <c r="C28" s="1145"/>
      <c r="D28" s="194" t="s">
        <v>655</v>
      </c>
      <c r="E28" s="195">
        <v>1166400</v>
      </c>
      <c r="F28" s="196">
        <v>1166400</v>
      </c>
      <c r="G28" s="196">
        <v>1166400</v>
      </c>
    </row>
    <row r="29" spans="1:11" ht="116.25" customHeight="1" x14ac:dyDescent="0.25">
      <c r="A29" s="193" t="s">
        <v>19</v>
      </c>
      <c r="B29" s="1144" t="s">
        <v>656</v>
      </c>
      <c r="C29" s="1145"/>
      <c r="D29" s="194" t="s">
        <v>657</v>
      </c>
      <c r="E29" s="195">
        <v>12684600</v>
      </c>
      <c r="F29" s="196">
        <v>12684600</v>
      </c>
      <c r="G29" s="196">
        <v>12684600</v>
      </c>
    </row>
    <row r="30" spans="1:11" ht="74.45" customHeight="1" x14ac:dyDescent="0.25">
      <c r="A30" s="193" t="s">
        <v>19</v>
      </c>
      <c r="B30" s="1144" t="s">
        <v>658</v>
      </c>
      <c r="C30" s="1145"/>
      <c r="D30" s="194" t="s">
        <v>22</v>
      </c>
      <c r="E30" s="195">
        <v>204000</v>
      </c>
      <c r="F30" s="196">
        <v>210000</v>
      </c>
      <c r="G30" s="196">
        <v>210000</v>
      </c>
    </row>
    <row r="31" spans="1:11" ht="111.6" customHeight="1" x14ac:dyDescent="0.25">
      <c r="A31" s="193" t="s">
        <v>19</v>
      </c>
      <c r="B31" s="1144" t="s">
        <v>23</v>
      </c>
      <c r="C31" s="1145"/>
      <c r="D31" s="197" t="s">
        <v>24</v>
      </c>
      <c r="E31" s="195">
        <v>5800000</v>
      </c>
      <c r="F31" s="196">
        <v>5800000</v>
      </c>
      <c r="G31" s="196">
        <v>5800000</v>
      </c>
    </row>
    <row r="32" spans="1:11" ht="49.5" customHeight="1" x14ac:dyDescent="0.25">
      <c r="A32" s="193" t="s">
        <v>19</v>
      </c>
      <c r="B32" s="1144" t="s">
        <v>25</v>
      </c>
      <c r="C32" s="1145"/>
      <c r="D32" s="197" t="s">
        <v>659</v>
      </c>
      <c r="E32" s="195">
        <v>100000</v>
      </c>
      <c r="F32" s="196">
        <v>100000</v>
      </c>
      <c r="G32" s="196">
        <v>100000</v>
      </c>
    </row>
    <row r="33" spans="1:7" ht="83.25" customHeight="1" x14ac:dyDescent="0.25">
      <c r="A33" s="193" t="s">
        <v>19</v>
      </c>
      <c r="B33" s="1144" t="s">
        <v>26</v>
      </c>
      <c r="C33" s="1145"/>
      <c r="D33" s="197" t="s">
        <v>660</v>
      </c>
      <c r="E33" s="195">
        <v>30000</v>
      </c>
      <c r="F33" s="196">
        <v>30000</v>
      </c>
      <c r="G33" s="196">
        <v>30000</v>
      </c>
    </row>
    <row r="34" spans="1:7" ht="74.45" customHeight="1" x14ac:dyDescent="0.25">
      <c r="A34" s="193" t="s">
        <v>19</v>
      </c>
      <c r="B34" s="1144" t="s">
        <v>27</v>
      </c>
      <c r="C34" s="1145"/>
      <c r="D34" s="197" t="s">
        <v>661</v>
      </c>
      <c r="E34" s="195">
        <v>70000</v>
      </c>
      <c r="F34" s="196">
        <v>70000</v>
      </c>
      <c r="G34" s="196">
        <v>70000</v>
      </c>
    </row>
    <row r="35" spans="1:7" ht="63.75" customHeight="1" x14ac:dyDescent="0.25">
      <c r="A35" s="193" t="s">
        <v>19</v>
      </c>
      <c r="B35" s="1144" t="s">
        <v>662</v>
      </c>
      <c r="C35" s="1145"/>
      <c r="D35" s="197" t="s">
        <v>663</v>
      </c>
      <c r="E35" s="195">
        <v>200000</v>
      </c>
      <c r="F35" s="196">
        <v>200000</v>
      </c>
      <c r="G35" s="196">
        <v>200000</v>
      </c>
    </row>
    <row r="36" spans="1:7" ht="65.25" customHeight="1" x14ac:dyDescent="0.25">
      <c r="A36" s="193" t="s">
        <v>14</v>
      </c>
      <c r="B36" s="1144" t="s">
        <v>7</v>
      </c>
      <c r="C36" s="1145"/>
      <c r="D36" s="194" t="s">
        <v>664</v>
      </c>
      <c r="E36" s="195">
        <v>16880</v>
      </c>
      <c r="F36" s="196">
        <v>17690</v>
      </c>
      <c r="G36" s="196">
        <v>18451</v>
      </c>
    </row>
    <row r="37" spans="1:7" ht="50.25" customHeight="1" x14ac:dyDescent="0.25">
      <c r="A37" s="193" t="s">
        <v>5</v>
      </c>
      <c r="B37" s="1144" t="s">
        <v>665</v>
      </c>
      <c r="C37" s="1145"/>
      <c r="D37" s="197" t="s">
        <v>666</v>
      </c>
      <c r="E37" s="195">
        <v>777600</v>
      </c>
      <c r="F37" s="196">
        <v>839808</v>
      </c>
      <c r="G37" s="196">
        <v>906993</v>
      </c>
    </row>
    <row r="38" spans="1:7" ht="46.5" hidden="1" customHeight="1" x14ac:dyDescent="0.25">
      <c r="A38" s="193" t="s">
        <v>5</v>
      </c>
      <c r="B38" s="1144" t="s">
        <v>667</v>
      </c>
      <c r="C38" s="1145"/>
      <c r="D38" s="197" t="s">
        <v>668</v>
      </c>
      <c r="E38" s="195">
        <v>0</v>
      </c>
      <c r="F38" s="196">
        <v>0</v>
      </c>
      <c r="G38" s="196">
        <v>0</v>
      </c>
    </row>
    <row r="39" spans="1:7" ht="36" customHeight="1" x14ac:dyDescent="0.25">
      <c r="A39" s="193" t="s">
        <v>5</v>
      </c>
      <c r="B39" s="1144" t="s">
        <v>669</v>
      </c>
      <c r="C39" s="1145"/>
      <c r="D39" s="197" t="s">
        <v>670</v>
      </c>
      <c r="E39" s="195">
        <v>270000</v>
      </c>
      <c r="F39" s="196">
        <v>291600</v>
      </c>
      <c r="G39" s="196">
        <v>314928</v>
      </c>
    </row>
    <row r="40" spans="1:7" ht="39.75" customHeight="1" x14ac:dyDescent="0.25">
      <c r="A40" s="193" t="s">
        <v>5</v>
      </c>
      <c r="B40" s="1144" t="s">
        <v>671</v>
      </c>
      <c r="C40" s="1145"/>
      <c r="D40" s="197" t="s">
        <v>672</v>
      </c>
      <c r="E40" s="195">
        <v>1512000</v>
      </c>
      <c r="F40" s="196">
        <v>1632960</v>
      </c>
      <c r="G40" s="196">
        <v>1763597</v>
      </c>
    </row>
    <row r="41" spans="1:7" ht="61.9" customHeight="1" x14ac:dyDescent="0.25">
      <c r="A41" s="193" t="s">
        <v>673</v>
      </c>
      <c r="B41" s="1144" t="s">
        <v>7</v>
      </c>
      <c r="C41" s="1145"/>
      <c r="D41" s="194" t="s">
        <v>8</v>
      </c>
      <c r="E41" s="195">
        <v>88620</v>
      </c>
      <c r="F41" s="196">
        <v>92873</v>
      </c>
      <c r="G41" s="196">
        <v>96867</v>
      </c>
    </row>
    <row r="42" spans="1:7" ht="99.2" customHeight="1" x14ac:dyDescent="0.25">
      <c r="A42" s="226" t="s">
        <v>38</v>
      </c>
      <c r="B42" s="1148" t="s">
        <v>10</v>
      </c>
      <c r="C42" s="1149"/>
      <c r="D42" s="266" t="s">
        <v>60</v>
      </c>
      <c r="E42" s="227">
        <f>11373614.96+0.01</f>
        <v>11373614.970000001</v>
      </c>
      <c r="F42" s="267">
        <f>11373614.96+0.01</f>
        <v>11373614.970000001</v>
      </c>
      <c r="G42" s="267">
        <f>11373614.96</f>
        <v>11373614.960000001</v>
      </c>
    </row>
    <row r="43" spans="1:7" ht="128.25" customHeight="1" x14ac:dyDescent="0.25">
      <c r="A43" s="193" t="s">
        <v>38</v>
      </c>
      <c r="B43" s="1144" t="s">
        <v>11</v>
      </c>
      <c r="C43" s="1145"/>
      <c r="D43" s="198" t="s">
        <v>674</v>
      </c>
      <c r="E43" s="195">
        <v>259627.6</v>
      </c>
      <c r="F43" s="196">
        <v>259627.6</v>
      </c>
      <c r="G43" s="196">
        <v>259627.61</v>
      </c>
    </row>
    <row r="44" spans="1:7" ht="105.75" customHeight="1" x14ac:dyDescent="0.25">
      <c r="A44" s="226" t="s">
        <v>38</v>
      </c>
      <c r="B44" s="1148" t="s">
        <v>12</v>
      </c>
      <c r="C44" s="1149"/>
      <c r="D44" s="225" t="s">
        <v>675</v>
      </c>
      <c r="E44" s="227">
        <f>14229518.72</f>
        <v>14229518.720000001</v>
      </c>
      <c r="F44" s="267">
        <f>14229518.72</f>
        <v>14229518.720000001</v>
      </c>
      <c r="G44" s="267">
        <f>14229518.72</f>
        <v>14229518.720000001</v>
      </c>
    </row>
    <row r="45" spans="1:7" ht="98.25" customHeight="1" x14ac:dyDescent="0.25">
      <c r="A45" s="193" t="s">
        <v>38</v>
      </c>
      <c r="B45" s="1144" t="s">
        <v>13</v>
      </c>
      <c r="C45" s="1145"/>
      <c r="D45" s="198" t="s">
        <v>676</v>
      </c>
      <c r="E45" s="195">
        <v>100000</v>
      </c>
      <c r="F45" s="196">
        <v>100000</v>
      </c>
      <c r="G45" s="196">
        <v>100000</v>
      </c>
    </row>
    <row r="46" spans="1:7" ht="99" customHeight="1" x14ac:dyDescent="0.25">
      <c r="A46" s="193" t="s">
        <v>677</v>
      </c>
      <c r="B46" s="1144" t="s">
        <v>678</v>
      </c>
      <c r="C46" s="1145"/>
      <c r="D46" s="194" t="s">
        <v>679</v>
      </c>
      <c r="E46" s="195">
        <v>66465</v>
      </c>
      <c r="F46" s="196">
        <v>69655</v>
      </c>
      <c r="G46" s="196">
        <v>72650</v>
      </c>
    </row>
    <row r="47" spans="1:7" ht="117" customHeight="1" x14ac:dyDescent="0.25">
      <c r="A47" s="193" t="s">
        <v>34</v>
      </c>
      <c r="B47" s="1144" t="s">
        <v>680</v>
      </c>
      <c r="C47" s="1145"/>
      <c r="D47" s="194" t="s">
        <v>36</v>
      </c>
      <c r="E47" s="195">
        <v>102202974.97</v>
      </c>
      <c r="F47" s="196">
        <v>103440732.12</v>
      </c>
      <c r="G47" s="196">
        <v>104573428.73999999</v>
      </c>
    </row>
    <row r="48" spans="1:7" ht="159.75" customHeight="1" x14ac:dyDescent="0.25">
      <c r="A48" s="193" t="s">
        <v>34</v>
      </c>
      <c r="B48" s="1144" t="s">
        <v>681</v>
      </c>
      <c r="C48" s="1145"/>
      <c r="D48" s="194" t="s">
        <v>682</v>
      </c>
      <c r="E48" s="195">
        <v>350151.22</v>
      </c>
      <c r="F48" s="196">
        <v>313456.76</v>
      </c>
      <c r="G48" s="196">
        <v>316889</v>
      </c>
    </row>
    <row r="49" spans="1:7" ht="71.25" customHeight="1" x14ac:dyDescent="0.25">
      <c r="A49" s="193" t="s">
        <v>34</v>
      </c>
      <c r="B49" s="1144" t="s">
        <v>683</v>
      </c>
      <c r="C49" s="1145"/>
      <c r="D49" s="197" t="s">
        <v>684</v>
      </c>
      <c r="E49" s="195">
        <v>432539.81</v>
      </c>
      <c r="F49" s="196">
        <v>731399.12</v>
      </c>
      <c r="G49" s="196">
        <v>739408.26</v>
      </c>
    </row>
    <row r="50" spans="1:7" ht="42.75" customHeight="1" x14ac:dyDescent="0.25">
      <c r="A50" s="193" t="s">
        <v>34</v>
      </c>
      <c r="B50" s="1144" t="s">
        <v>685</v>
      </c>
      <c r="C50" s="1145"/>
      <c r="D50" s="197" t="s">
        <v>2</v>
      </c>
      <c r="E50" s="195">
        <v>20838000</v>
      </c>
      <c r="F50" s="196">
        <v>21358490</v>
      </c>
      <c r="G50" s="196">
        <v>21742418.100000001</v>
      </c>
    </row>
    <row r="51" spans="1:7" ht="33.75" customHeight="1" x14ac:dyDescent="0.25">
      <c r="A51" s="193" t="s">
        <v>34</v>
      </c>
      <c r="B51" s="1144" t="s">
        <v>686</v>
      </c>
      <c r="C51" s="1145"/>
      <c r="D51" s="197" t="s">
        <v>687</v>
      </c>
      <c r="E51" s="195">
        <v>20000</v>
      </c>
      <c r="F51" s="196">
        <v>20960</v>
      </c>
      <c r="G51" s="196">
        <v>21862</v>
      </c>
    </row>
    <row r="52" spans="1:7" ht="50.25" customHeight="1" x14ac:dyDescent="0.25">
      <c r="A52" s="193" t="s">
        <v>34</v>
      </c>
      <c r="B52" s="1144" t="s">
        <v>688</v>
      </c>
      <c r="C52" s="1145"/>
      <c r="D52" s="197" t="s">
        <v>689</v>
      </c>
      <c r="E52" s="195">
        <v>662012</v>
      </c>
      <c r="F52" s="199">
        <v>698422</v>
      </c>
      <c r="G52" s="196">
        <v>710994</v>
      </c>
    </row>
    <row r="53" spans="1:7" ht="63" x14ac:dyDescent="0.25">
      <c r="A53" s="193" t="s">
        <v>34</v>
      </c>
      <c r="B53" s="1144" t="s">
        <v>690</v>
      </c>
      <c r="C53" s="1145"/>
      <c r="D53" s="197" t="s">
        <v>691</v>
      </c>
      <c r="E53" s="195">
        <v>14000</v>
      </c>
      <c r="F53" s="199">
        <v>14000</v>
      </c>
      <c r="G53" s="196">
        <v>14000</v>
      </c>
    </row>
    <row r="54" spans="1:7" ht="120" customHeight="1" x14ac:dyDescent="0.25">
      <c r="A54" s="193" t="s">
        <v>34</v>
      </c>
      <c r="B54" s="1144" t="s">
        <v>692</v>
      </c>
      <c r="C54" s="1145"/>
      <c r="D54" s="197" t="s">
        <v>693</v>
      </c>
      <c r="E54" s="195">
        <v>3000000</v>
      </c>
      <c r="F54" s="196">
        <v>3075000</v>
      </c>
      <c r="G54" s="196">
        <v>3130000</v>
      </c>
    </row>
    <row r="55" spans="1:7" ht="110.25" x14ac:dyDescent="0.25">
      <c r="A55" s="193" t="s">
        <v>34</v>
      </c>
      <c r="B55" s="1144" t="s">
        <v>694</v>
      </c>
      <c r="C55" s="1145"/>
      <c r="D55" s="197" t="s">
        <v>4</v>
      </c>
      <c r="E55" s="195">
        <v>22155</v>
      </c>
      <c r="F55" s="196">
        <v>23218</v>
      </c>
      <c r="G55" s="196">
        <v>24217</v>
      </c>
    </row>
    <row r="56" spans="1:7" ht="78.75" x14ac:dyDescent="0.25">
      <c r="A56" s="193" t="s">
        <v>47</v>
      </c>
      <c r="B56" s="1144" t="s">
        <v>695</v>
      </c>
      <c r="C56" s="1145"/>
      <c r="D56" s="194" t="s">
        <v>696</v>
      </c>
      <c r="E56" s="195">
        <v>108665</v>
      </c>
      <c r="F56" s="196">
        <v>113881</v>
      </c>
      <c r="G56" s="196">
        <v>118777</v>
      </c>
    </row>
    <row r="57" spans="1:7" ht="63" x14ac:dyDescent="0.25">
      <c r="A57" s="193" t="s">
        <v>47</v>
      </c>
      <c r="B57" s="1144" t="s">
        <v>697</v>
      </c>
      <c r="C57" s="1145"/>
      <c r="D57" s="194" t="s">
        <v>8</v>
      </c>
      <c r="E57" s="195">
        <v>564636</v>
      </c>
      <c r="F57" s="196">
        <v>578751</v>
      </c>
      <c r="G57" s="196">
        <v>581235.81000000006</v>
      </c>
    </row>
    <row r="58" spans="1:7" ht="94.5" x14ac:dyDescent="0.25">
      <c r="A58" s="193" t="s">
        <v>47</v>
      </c>
      <c r="B58" s="1144" t="s">
        <v>698</v>
      </c>
      <c r="C58" s="1145"/>
      <c r="D58" s="194" t="s">
        <v>679</v>
      </c>
      <c r="E58" s="195">
        <v>302674</v>
      </c>
      <c r="F58" s="196">
        <v>310240</v>
      </c>
      <c r="G58" s="196">
        <v>315824</v>
      </c>
    </row>
    <row r="59" spans="1:7" ht="0.75" customHeight="1" x14ac:dyDescent="0.25">
      <c r="A59" s="193" t="s">
        <v>48</v>
      </c>
      <c r="B59" s="1144" t="s">
        <v>698</v>
      </c>
      <c r="C59" s="1145"/>
      <c r="D59" s="194" t="s">
        <v>679</v>
      </c>
      <c r="E59" s="195">
        <v>0</v>
      </c>
      <c r="F59" s="196"/>
      <c r="G59" s="196"/>
    </row>
    <row r="60" spans="1:7" ht="52.5" customHeight="1" x14ac:dyDescent="0.25">
      <c r="A60" s="193" t="s">
        <v>46</v>
      </c>
      <c r="B60" s="1144" t="s">
        <v>9</v>
      </c>
      <c r="C60" s="1145"/>
      <c r="D60" s="197" t="s">
        <v>45</v>
      </c>
      <c r="E60" s="195">
        <v>177479</v>
      </c>
      <c r="F60" s="196">
        <v>174955</v>
      </c>
      <c r="G60" s="196">
        <v>178104.19</v>
      </c>
    </row>
    <row r="61" spans="1:7" ht="20.25" customHeight="1" x14ac:dyDescent="0.25">
      <c r="A61" s="200" t="s">
        <v>103</v>
      </c>
      <c r="B61" s="1146"/>
      <c r="C61" s="1147"/>
      <c r="D61" s="201"/>
      <c r="E61" s="202">
        <f>E13+E14+E17+E27+E28+E29+E31+E32+E33+E34+E35+E36+E37+E38+E39+E40+E41+E42+E43+E44+E45+E46+E47+E48+E49+E50+E52+E54+E55+E56+E57+E58+E59+E60+E30+E51+E53+E20+E15+E19+E21+E22+E23+E24+E25+E26+E18+E16</f>
        <v>649609512.62999988</v>
      </c>
      <c r="F61" s="202">
        <f>F13+F14+F17+F27+F28+F29+F31+F32+F33+F34+F35+F36+F37+F38+F39+F40+F41+F42+F43+F44+F45+F46+F47+F48+F49+F50+F52+F54+F55+F56+F57+F58+F59+F60+F30+F51+F53+F20+F15+F19+F21+F22+F23+F24+F25+F26+F18</f>
        <v>650080052.28999996</v>
      </c>
      <c r="G61" s="206">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3"/>
      <c r="B64" s="127"/>
      <c r="C64" s="205" t="s">
        <v>15</v>
      </c>
      <c r="D64" s="127"/>
      <c r="E64" s="127">
        <f>E14+E15+E16+E13</f>
        <v>88638120.289999992</v>
      </c>
      <c r="F64" s="127">
        <f>F14+F15</f>
        <v>90581600</v>
      </c>
      <c r="G64" s="127">
        <f>G14+G15</f>
        <v>90581600</v>
      </c>
    </row>
    <row r="65" spans="1:7" x14ac:dyDescent="0.25">
      <c r="A65" s="203"/>
      <c r="C65" s="205" t="s">
        <v>16</v>
      </c>
      <c r="D65" s="127"/>
      <c r="E65" s="127">
        <f>E17+E18+E19+E20</f>
        <v>154940299</v>
      </c>
      <c r="F65" s="127">
        <f>F17+F18+F19+F20</f>
        <v>153939600</v>
      </c>
      <c r="G65" s="127">
        <f>G17+G18+G19+G20</f>
        <v>146279800</v>
      </c>
    </row>
    <row r="66" spans="1:7" x14ac:dyDescent="0.25">
      <c r="A66" s="203"/>
      <c r="C66" s="205" t="s">
        <v>18</v>
      </c>
      <c r="D66" s="127"/>
      <c r="E66" s="127">
        <f>E21+E22+E23+E24+E25+E26</f>
        <v>227657480.05000001</v>
      </c>
      <c r="F66" s="127">
        <f>F21+F22+F23+F24+F25+F26</f>
        <v>224808000</v>
      </c>
      <c r="G66" s="127">
        <f>G21+G22+G23+G24+G25+G26</f>
        <v>225051600</v>
      </c>
    </row>
    <row r="67" spans="1:7" x14ac:dyDescent="0.25">
      <c r="A67" s="203"/>
      <c r="C67" s="205" t="s">
        <v>19</v>
      </c>
      <c r="D67" s="127"/>
      <c r="E67" s="127">
        <f>E27+E28+E29+E30+E31+E32+E33+E34+E35</f>
        <v>20984000</v>
      </c>
      <c r="F67" s="127">
        <f>F27+F28+F29+F30+F31+F32+F33+F34+F35</f>
        <v>20990000</v>
      </c>
      <c r="G67" s="127">
        <f>G27+G28+G29+G30+G31+G32+G33+G34+G35</f>
        <v>20990000</v>
      </c>
    </row>
    <row r="68" spans="1:7" x14ac:dyDescent="0.25">
      <c r="A68" s="203"/>
      <c r="C68" s="205" t="s">
        <v>712</v>
      </c>
      <c r="D68" s="127"/>
      <c r="E68" s="127">
        <f>E36+E37+E39+E40+E41+E42+E43+E44+E45+E46+E47+E48+E49+E50+E51+E52+E53+E54+E55+E56+E57+E58+E60</f>
        <v>157389613.28999999</v>
      </c>
      <c r="F68" s="127">
        <f>F36+F37+F39+F40+F41+F42+F43+F44+F45+F46+F47+F48+F49+F50+F51+F52+F53+F54+F55+F56+F57+F58+F60</f>
        <v>159760852.29000002</v>
      </c>
      <c r="G68" s="127">
        <f>G36+G37+G39+G40+G41+G42+G43+G44+G45+G46+G47+G48+G49+G50+G51+G52+G53+G54+G55+G56+G57+G58+G60</f>
        <v>161603405.38999999</v>
      </c>
    </row>
    <row r="69" spans="1:7" x14ac:dyDescent="0.25">
      <c r="A69" s="203"/>
      <c r="D69" s="127"/>
      <c r="E69" s="127">
        <f>E64+E65+E66+E67+E68</f>
        <v>649609512.63</v>
      </c>
      <c r="F69" s="127">
        <f>F64+F65+F66+F67+F68</f>
        <v>650080052.28999996</v>
      </c>
      <c r="G69" s="127">
        <f>G64+G65+G66+G67+G68</f>
        <v>644506405.38999999</v>
      </c>
    </row>
    <row r="70" spans="1:7" x14ac:dyDescent="0.25">
      <c r="C70" s="205" t="s">
        <v>714</v>
      </c>
      <c r="D70" s="127"/>
      <c r="E70" s="127">
        <f>E14+E15+E18+E19+E20+E21+E22+E23+E24+E25+E26+E13</f>
        <v>475571663.28999996</v>
      </c>
      <c r="F70" s="127">
        <f>F14+F15+F18+F19+F20+F21+F22+F23+F24+F25+F26</f>
        <v>469279200</v>
      </c>
      <c r="G70" s="127">
        <f>G14+G15+G18+G19+G20+G21+G22+G23+G24+G25+G26</f>
        <v>461913000</v>
      </c>
    </row>
    <row r="71" spans="1:7" x14ac:dyDescent="0.25">
      <c r="C71" s="205" t="s">
        <v>713</v>
      </c>
      <c r="D71" s="127"/>
      <c r="E71" s="127">
        <f>E17+E27+E28+E29+E30+E31+E32+E33+E34+E35+E36+E37+E39+E40+E41+E42+E43+E44+E45+E46+E47+E48+E49+E50+E51+E52+E53+E54+E55+E56+E57+E58+E60</f>
        <v>178509913.28999999</v>
      </c>
      <c r="F71" s="127">
        <f>F17+F27+F28+F29+F30+F31+F32+F33+F34+F35+F36+F37+F39+F40+F41+F42+F43+F44+F45+F46+F47+F48+F49+F50+F51+F52+F53+F54+F55+F56+F57+F58+F60</f>
        <v>180800852.28999999</v>
      </c>
      <c r="G71" s="127">
        <f>G17+G27+G28+G29+G30+G31+G32+G33+G34+G35+G36+G37+G39+G40+G41+G42+G43+G44+G45+G46+G47+G48+G49+G50+G51+G52+G53+G54+G55+G56+G57+G58+G60</f>
        <v>182593405.38999999</v>
      </c>
    </row>
    <row r="72" spans="1:7" x14ac:dyDescent="0.25">
      <c r="C72" s="205" t="s">
        <v>751</v>
      </c>
      <c r="E72" s="127">
        <f>E14+E15+E16+E18+E19+E20+E21+E22+E23+E24+E25+E26+E13</f>
        <v>471099599.34000003</v>
      </c>
    </row>
    <row r="73" spans="1:7" x14ac:dyDescent="0.25">
      <c r="D73" s="127"/>
    </row>
    <row r="74" spans="1:7" x14ac:dyDescent="0.25">
      <c r="E74" s="127"/>
    </row>
    <row r="75" spans="1:7" x14ac:dyDescent="0.25">
      <c r="E75" s="127">
        <f>E65+E68</f>
        <v>312329912.28999996</v>
      </c>
    </row>
  </sheetData>
  <mergeCells count="51">
    <mergeCell ref="A7:E7"/>
    <mergeCell ref="B12:C12"/>
    <mergeCell ref="B13:C13"/>
    <mergeCell ref="B17:C17"/>
    <mergeCell ref="B20:C20"/>
    <mergeCell ref="B19:C19"/>
    <mergeCell ref="B15:C15"/>
    <mergeCell ref="B14:C14"/>
    <mergeCell ref="B18:C18"/>
    <mergeCell ref="B16:C1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26:C26"/>
    <mergeCell ref="B21:C21"/>
    <mergeCell ref="B22:C22"/>
    <mergeCell ref="B23:C23"/>
    <mergeCell ref="B24:C24"/>
    <mergeCell ref="B25:C25"/>
  </mergeCells>
  <pageMargins left="0.51181102362204722" right="0.11811023622047245" top="0.35433070866141736"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topLeftCell="A175" workbookViewId="0">
      <selection activeCell="Q52" sqref="Q52"/>
    </sheetView>
  </sheetViews>
  <sheetFormatPr defaultColWidth="9.140625" defaultRowHeight="15" x14ac:dyDescent="0.25"/>
  <cols>
    <col min="1" max="1" width="12.140625" style="768" customWidth="1"/>
    <col min="2" max="2" width="18.28515625" style="768" customWidth="1"/>
    <col min="3" max="3" width="10" style="768" customWidth="1"/>
    <col min="4" max="4" width="59.28515625" style="768" customWidth="1"/>
    <col min="5" max="5" width="20.5703125" style="768" customWidth="1"/>
    <col min="6" max="6" width="19.5703125" style="768" customWidth="1"/>
    <col min="7" max="7" width="19.85546875" style="768" customWidth="1"/>
    <col min="8" max="8" width="3.28515625" style="279" hidden="1" customWidth="1"/>
    <col min="9" max="11" width="13.5703125" style="279" hidden="1" customWidth="1"/>
    <col min="12" max="12" width="13.85546875" style="279" hidden="1" customWidth="1"/>
    <col min="13" max="13" width="13.5703125" style="279" hidden="1" customWidth="1"/>
    <col min="14" max="14" width="13.5703125" style="279" bestFit="1" customWidth="1"/>
    <col min="15" max="16384" width="9.140625" style="279"/>
  </cols>
  <sheetData>
    <row r="1" spans="1:14" ht="12.75" customHeight="1" x14ac:dyDescent="0.25">
      <c r="A1" s="292"/>
      <c r="B1" s="293"/>
      <c r="C1" s="293"/>
      <c r="D1" s="765"/>
      <c r="E1" s="765"/>
      <c r="F1" s="294"/>
      <c r="G1" s="765" t="s">
        <v>790</v>
      </c>
      <c r="H1" s="294"/>
      <c r="I1" s="294"/>
      <c r="J1" s="294"/>
    </row>
    <row r="2" spans="1:14" ht="12.75" customHeight="1" x14ac:dyDescent="0.25">
      <c r="A2" s="295"/>
      <c r="B2" s="296"/>
      <c r="C2" s="296"/>
      <c r="D2" s="765"/>
      <c r="E2" s="765"/>
      <c r="F2" s="294"/>
      <c r="G2" s="765" t="s">
        <v>30</v>
      </c>
      <c r="H2" s="294"/>
      <c r="I2" s="294"/>
      <c r="J2" s="294"/>
    </row>
    <row r="3" spans="1:14" ht="15.75" x14ac:dyDescent="0.25">
      <c r="A3" s="295"/>
      <c r="B3" s="296"/>
      <c r="C3" s="296"/>
      <c r="D3" s="765"/>
      <c r="E3" s="765"/>
      <c r="F3" s="294"/>
      <c r="G3" s="765" t="s">
        <v>32</v>
      </c>
      <c r="H3" s="294"/>
      <c r="I3" s="294"/>
      <c r="J3" s="294"/>
    </row>
    <row r="4" spans="1:14" ht="16.5" customHeight="1" x14ac:dyDescent="0.25">
      <c r="A4" s="295"/>
      <c r="B4" s="296"/>
      <c r="C4" s="296"/>
      <c r="D4" s="765"/>
      <c r="E4" s="765"/>
      <c r="F4" s="294"/>
      <c r="G4" s="297" t="s">
        <v>1682</v>
      </c>
      <c r="H4" s="294"/>
      <c r="I4" s="294"/>
      <c r="J4" s="294"/>
    </row>
    <row r="5" spans="1:14" x14ac:dyDescent="0.25">
      <c r="A5" s="298"/>
      <c r="B5" s="298"/>
      <c r="C5" s="298"/>
      <c r="D5" s="298"/>
      <c r="E5" s="299"/>
      <c r="F5" s="299"/>
      <c r="G5" s="298"/>
      <c r="H5" s="298"/>
    </row>
    <row r="6" spans="1:14" ht="0.75" customHeight="1" x14ac:dyDescent="0.25">
      <c r="A6" s="298"/>
      <c r="B6" s="298"/>
      <c r="C6" s="298"/>
      <c r="D6" s="298"/>
      <c r="E6" s="298"/>
      <c r="F6" s="298"/>
      <c r="G6" s="298"/>
      <c r="H6" s="298"/>
    </row>
    <row r="7" spans="1:14" ht="15.75" x14ac:dyDescent="0.25">
      <c r="A7" s="1177" t="s">
        <v>1083</v>
      </c>
      <c r="B7" s="1177"/>
      <c r="C7" s="1177"/>
      <c r="D7" s="1177"/>
      <c r="E7" s="1177"/>
      <c r="F7" s="298"/>
      <c r="G7" s="298"/>
      <c r="H7" s="298"/>
    </row>
    <row r="8" spans="1:14" ht="13.15" customHeight="1" x14ac:dyDescent="0.25">
      <c r="A8" s="298"/>
      <c r="B8" s="298"/>
      <c r="C8" s="298"/>
      <c r="D8" s="298"/>
      <c r="E8" s="298"/>
      <c r="F8" s="298"/>
      <c r="G8" s="298"/>
      <c r="H8" s="298"/>
    </row>
    <row r="9" spans="1:14" ht="0.75" customHeight="1" x14ac:dyDescent="0.25">
      <c r="A9" s="300"/>
      <c r="B9" s="301"/>
      <c r="C9" s="301"/>
      <c r="D9" s="301"/>
      <c r="E9" s="301"/>
      <c r="F9" s="298"/>
      <c r="G9" s="298"/>
      <c r="H9" s="298"/>
    </row>
    <row r="10" spans="1:14" ht="15" hidden="1" customHeight="1" x14ac:dyDescent="0.25">
      <c r="A10" s="298"/>
      <c r="B10" s="298"/>
      <c r="C10" s="298"/>
      <c r="D10" s="298"/>
      <c r="E10" s="298"/>
      <c r="F10" s="298"/>
      <c r="G10" s="298"/>
      <c r="H10" s="298"/>
    </row>
    <row r="11" spans="1:14" ht="16.5" customHeight="1" x14ac:dyDescent="0.25">
      <c r="A11" s="298" t="s">
        <v>649</v>
      </c>
      <c r="B11" s="298"/>
      <c r="C11" s="298"/>
      <c r="D11" s="298"/>
      <c r="E11" s="298"/>
      <c r="F11" s="298"/>
      <c r="G11" s="298"/>
      <c r="H11" s="298"/>
    </row>
    <row r="12" spans="1:14" ht="61.9" customHeight="1" x14ac:dyDescent="0.25">
      <c r="A12" s="302" t="s">
        <v>53</v>
      </c>
      <c r="B12" s="1178" t="s">
        <v>650</v>
      </c>
      <c r="C12" s="1179"/>
      <c r="D12" s="302" t="s">
        <v>651</v>
      </c>
      <c r="E12" s="764" t="s">
        <v>523</v>
      </c>
      <c r="F12" s="764" t="s">
        <v>897</v>
      </c>
      <c r="G12" s="302" t="s">
        <v>1073</v>
      </c>
      <c r="H12" s="302"/>
    </row>
    <row r="13" spans="1:14" ht="33.75" customHeight="1" x14ac:dyDescent="0.25">
      <c r="A13" s="303" t="s">
        <v>502</v>
      </c>
      <c r="B13" s="1180" t="s">
        <v>800</v>
      </c>
      <c r="C13" s="1181"/>
      <c r="D13" s="303" t="s">
        <v>801</v>
      </c>
      <c r="E13" s="304">
        <f>E14+E20+E30+E40+E47+E50+E73+E83+E101+E80+E136+E100</f>
        <v>231131347.21999997</v>
      </c>
      <c r="F13" s="304">
        <f>F14+F20+F30+F40+F47+F50+F73+F83+F101</f>
        <v>174400499.90000001</v>
      </c>
      <c r="G13" s="690">
        <f>G14+G20+G30+G40+G47+G50+G73+G83+G101</f>
        <v>176889355.21000001</v>
      </c>
      <c r="H13" s="569"/>
      <c r="I13" s="330"/>
    </row>
    <row r="14" spans="1:14" ht="27" customHeight="1" x14ac:dyDescent="0.25">
      <c r="A14" s="303" t="s">
        <v>502</v>
      </c>
      <c r="B14" s="1180" t="s">
        <v>802</v>
      </c>
      <c r="C14" s="1181"/>
      <c r="D14" s="303" t="s">
        <v>829</v>
      </c>
      <c r="E14" s="304">
        <f>E15</f>
        <v>110171865.33999999</v>
      </c>
      <c r="F14" s="304">
        <f>F15</f>
        <v>108288803.69000001</v>
      </c>
      <c r="G14" s="690">
        <f>G15</f>
        <v>109597757</v>
      </c>
      <c r="H14" s="569"/>
      <c r="I14" s="330"/>
    </row>
    <row r="15" spans="1:14" ht="27" customHeight="1" x14ac:dyDescent="0.25">
      <c r="A15" s="305" t="s">
        <v>34</v>
      </c>
      <c r="B15" s="1182" t="s">
        <v>803</v>
      </c>
      <c r="C15" s="1183"/>
      <c r="D15" s="305" t="s">
        <v>804</v>
      </c>
      <c r="E15" s="306">
        <f>E16+E17+E18+E19</f>
        <v>110171865.33999999</v>
      </c>
      <c r="F15" s="306">
        <f t="shared" ref="F15:G15" si="0">F16+F17+F18+F19</f>
        <v>108288803.69000001</v>
      </c>
      <c r="G15" s="568">
        <f t="shared" si="0"/>
        <v>109597757</v>
      </c>
      <c r="H15" s="568"/>
    </row>
    <row r="16" spans="1:14" ht="84" customHeight="1" x14ac:dyDescent="0.25">
      <c r="A16" s="1079" t="s">
        <v>34</v>
      </c>
      <c r="B16" s="1158" t="s">
        <v>680</v>
      </c>
      <c r="C16" s="1159"/>
      <c r="D16" s="505" t="s">
        <v>36</v>
      </c>
      <c r="E16" s="1020">
        <f>101626632.71+3477288.98+2249605.99+4000000-2734300+7111.63</f>
        <v>108626339.30999999</v>
      </c>
      <c r="F16" s="317">
        <f>106539349+645693.18</f>
        <v>107185042.18000001</v>
      </c>
      <c r="G16" s="317">
        <f>107985253+460877.35</f>
        <v>108446130.34999999</v>
      </c>
      <c r="H16" s="570"/>
      <c r="N16" s="330"/>
    </row>
    <row r="17" spans="1:8" ht="129" customHeight="1" x14ac:dyDescent="0.25">
      <c r="A17" s="307" t="s">
        <v>34</v>
      </c>
      <c r="B17" s="1157" t="s">
        <v>681</v>
      </c>
      <c r="C17" s="1154"/>
      <c r="D17" s="308" t="s">
        <v>682</v>
      </c>
      <c r="E17" s="309">
        <f>306104.32+10473.76+83421.92</f>
        <v>400000</v>
      </c>
      <c r="F17" s="317">
        <v>322846.51</v>
      </c>
      <c r="G17" s="317">
        <v>326645</v>
      </c>
      <c r="H17" s="570"/>
    </row>
    <row r="18" spans="1:8" ht="57.75" customHeight="1" x14ac:dyDescent="0.25">
      <c r="A18" s="307" t="s">
        <v>34</v>
      </c>
      <c r="B18" s="1157" t="s">
        <v>683</v>
      </c>
      <c r="C18" s="1154"/>
      <c r="D18" s="310" t="s">
        <v>684</v>
      </c>
      <c r="E18" s="309">
        <f>102034.77+3491.26</f>
        <v>105526.03</v>
      </c>
      <c r="F18" s="317">
        <v>107615</v>
      </c>
      <c r="G18" s="317">
        <v>108881.65</v>
      </c>
      <c r="H18" s="570"/>
    </row>
    <row r="19" spans="1:8" ht="104.25" customHeight="1" x14ac:dyDescent="0.25">
      <c r="A19" s="307" t="s">
        <v>34</v>
      </c>
      <c r="B19" s="1157" t="s">
        <v>1325</v>
      </c>
      <c r="C19" s="1154"/>
      <c r="D19" s="310" t="s">
        <v>1324</v>
      </c>
      <c r="E19" s="309">
        <f>634300+405700</f>
        <v>1040000</v>
      </c>
      <c r="F19" s="335">
        <v>673300</v>
      </c>
      <c r="G19" s="317">
        <v>716100</v>
      </c>
      <c r="H19" s="570"/>
    </row>
    <row r="20" spans="1:8" ht="69.75" customHeight="1" x14ac:dyDescent="0.25">
      <c r="A20" s="311" t="s">
        <v>502</v>
      </c>
      <c r="B20" s="1160" t="s">
        <v>823</v>
      </c>
      <c r="C20" s="1161"/>
      <c r="D20" s="312" t="s">
        <v>822</v>
      </c>
      <c r="E20" s="313">
        <f>E21</f>
        <v>19227154.680000003</v>
      </c>
      <c r="F20" s="313">
        <f>F21</f>
        <v>20044044.210000001</v>
      </c>
      <c r="G20" s="319">
        <f>G21</f>
        <v>20044044.210000001</v>
      </c>
      <c r="H20" s="570"/>
    </row>
    <row r="21" spans="1:8" ht="69.75" customHeight="1" x14ac:dyDescent="0.25">
      <c r="A21" s="314" t="s">
        <v>502</v>
      </c>
      <c r="B21" s="1172" t="s">
        <v>824</v>
      </c>
      <c r="C21" s="1173"/>
      <c r="D21" s="315" t="s">
        <v>825</v>
      </c>
      <c r="E21" s="316">
        <f>E22+E24+E26+E28+E23+E25+E27+E29</f>
        <v>19227154.680000003</v>
      </c>
      <c r="F21" s="316">
        <f>F22+F24+F26+F28+F23+F25+F27+F29</f>
        <v>20044044.210000001</v>
      </c>
      <c r="G21" s="692">
        <f>G22+G24+G26+G28+G23+G25+G27+G29</f>
        <v>20044044.210000001</v>
      </c>
      <c r="H21" s="316"/>
    </row>
    <row r="22" spans="1:8" ht="89.25" customHeight="1" x14ac:dyDescent="0.25">
      <c r="A22" s="307" t="s">
        <v>38</v>
      </c>
      <c r="B22" s="1157" t="s">
        <v>10</v>
      </c>
      <c r="C22" s="1154"/>
      <c r="D22" s="753" t="s">
        <v>60</v>
      </c>
      <c r="E22" s="309">
        <f>8427261.89-8427261.89</f>
        <v>0</v>
      </c>
      <c r="F22" s="317">
        <f>8785304.57-8785304.57</f>
        <v>0</v>
      </c>
      <c r="G22" s="317">
        <f>8785304.57-8785304.57</f>
        <v>0</v>
      </c>
      <c r="H22" s="570"/>
    </row>
    <row r="23" spans="1:8" ht="132.75" customHeight="1" x14ac:dyDescent="0.25">
      <c r="A23" s="307" t="s">
        <v>38</v>
      </c>
      <c r="B23" s="1157" t="s">
        <v>1409</v>
      </c>
      <c r="C23" s="1154"/>
      <c r="D23" s="753" t="s">
        <v>1415</v>
      </c>
      <c r="E23" s="309">
        <v>8427261.8900000006</v>
      </c>
      <c r="F23" s="317">
        <v>8785304.5700000003</v>
      </c>
      <c r="G23" s="317">
        <v>8785304.5700000003</v>
      </c>
      <c r="H23" s="570"/>
    </row>
    <row r="24" spans="1:8" ht="96" customHeight="1" x14ac:dyDescent="0.25">
      <c r="A24" s="307" t="s">
        <v>38</v>
      </c>
      <c r="B24" s="1157" t="s">
        <v>11</v>
      </c>
      <c r="C24" s="1154"/>
      <c r="D24" s="318" t="s">
        <v>674</v>
      </c>
      <c r="E24" s="309">
        <f>190348.84-190348.84</f>
        <v>0</v>
      </c>
      <c r="F24" s="317">
        <f>198436.04-198436.04</f>
        <v>0</v>
      </c>
      <c r="G24" s="317">
        <f>198436.04-198436.04</f>
        <v>0</v>
      </c>
      <c r="H24" s="570"/>
    </row>
    <row r="25" spans="1:8" ht="147.75" customHeight="1" x14ac:dyDescent="0.25">
      <c r="A25" s="307" t="s">
        <v>38</v>
      </c>
      <c r="B25" s="1157" t="s">
        <v>1410</v>
      </c>
      <c r="C25" s="1154"/>
      <c r="D25" s="754" t="s">
        <v>1416</v>
      </c>
      <c r="E25" s="309">
        <v>190348.84</v>
      </c>
      <c r="F25" s="317">
        <v>198436.04</v>
      </c>
      <c r="G25" s="317">
        <v>198436.04</v>
      </c>
      <c r="H25" s="570"/>
    </row>
    <row r="26" spans="1:8" ht="86.25" customHeight="1" x14ac:dyDescent="0.25">
      <c r="A26" s="307" t="s">
        <v>38</v>
      </c>
      <c r="B26" s="1157" t="s">
        <v>12</v>
      </c>
      <c r="C26" s="1154"/>
      <c r="D26" s="318" t="s">
        <v>675</v>
      </c>
      <c r="E26" s="309">
        <f>10536480.76-10536480.76</f>
        <v>0</v>
      </c>
      <c r="F26" s="317">
        <f>10984136.23-10984136.23</f>
        <v>0</v>
      </c>
      <c r="G26" s="317">
        <f>10984136.23-10984136.23</f>
        <v>0</v>
      </c>
      <c r="H26" s="570"/>
    </row>
    <row r="27" spans="1:8" ht="136.5" customHeight="1" x14ac:dyDescent="0.25">
      <c r="A27" s="307" t="s">
        <v>38</v>
      </c>
      <c r="B27" s="1157" t="s">
        <v>1426</v>
      </c>
      <c r="C27" s="1154"/>
      <c r="D27" s="280" t="s">
        <v>1423</v>
      </c>
      <c r="E27" s="309">
        <v>10536480.76</v>
      </c>
      <c r="F27" s="317">
        <v>10984136.23</v>
      </c>
      <c r="G27" s="317">
        <v>10984136.23</v>
      </c>
      <c r="H27" s="570"/>
    </row>
    <row r="28" spans="1:8" ht="96" hidden="1" customHeight="1" x14ac:dyDescent="0.25">
      <c r="A28" s="307" t="s">
        <v>38</v>
      </c>
      <c r="B28" s="1157" t="s">
        <v>13</v>
      </c>
      <c r="C28" s="1154"/>
      <c r="D28" s="318" t="s">
        <v>676</v>
      </c>
      <c r="E28" s="309">
        <f>73063.19-73063.19</f>
        <v>0</v>
      </c>
      <c r="F28" s="317">
        <f>76167.37-76167.37</f>
        <v>0</v>
      </c>
      <c r="G28" s="317">
        <f>76167.37-76167.37</f>
        <v>0</v>
      </c>
      <c r="H28" s="570"/>
    </row>
    <row r="29" spans="1:8" ht="136.5" customHeight="1" x14ac:dyDescent="0.25">
      <c r="A29" s="307" t="s">
        <v>38</v>
      </c>
      <c r="B29" s="1157" t="s">
        <v>1425</v>
      </c>
      <c r="C29" s="1154"/>
      <c r="D29" s="19" t="s">
        <v>1424</v>
      </c>
      <c r="E29" s="309">
        <v>73063.19</v>
      </c>
      <c r="F29" s="317">
        <v>76167.37</v>
      </c>
      <c r="G29" s="317">
        <v>76167.37</v>
      </c>
      <c r="H29" s="570"/>
    </row>
    <row r="30" spans="1:8" ht="27.75" customHeight="1" x14ac:dyDescent="0.25">
      <c r="A30" s="311" t="s">
        <v>502</v>
      </c>
      <c r="B30" s="1160" t="s">
        <v>805</v>
      </c>
      <c r="C30" s="1161"/>
      <c r="D30" s="311" t="s">
        <v>806</v>
      </c>
      <c r="E30" s="313">
        <f>E31+E34+E38</f>
        <v>23446160</v>
      </c>
      <c r="F30" s="313">
        <f>F31+F34+F38</f>
        <v>23552006</v>
      </c>
      <c r="G30" s="319">
        <f>G31+G34+G38</f>
        <v>24494085</v>
      </c>
      <c r="H30" s="570"/>
    </row>
    <row r="31" spans="1:8" ht="30.75" customHeight="1" x14ac:dyDescent="0.25">
      <c r="A31" s="311" t="s">
        <v>34</v>
      </c>
      <c r="B31" s="1160" t="s">
        <v>1075</v>
      </c>
      <c r="C31" s="1161"/>
      <c r="D31" s="314" t="s">
        <v>1074</v>
      </c>
      <c r="E31" s="313">
        <f>E32+E33</f>
        <v>2624600</v>
      </c>
      <c r="F31" s="313">
        <f>F32</f>
        <v>1897584</v>
      </c>
      <c r="G31" s="319">
        <f>G32</f>
        <v>1973487</v>
      </c>
      <c r="H31" s="570"/>
    </row>
    <row r="32" spans="1:8" ht="44.25" customHeight="1" x14ac:dyDescent="0.25">
      <c r="A32" s="307" t="s">
        <v>34</v>
      </c>
      <c r="B32" s="1157" t="s">
        <v>1076</v>
      </c>
      <c r="C32" s="1154"/>
      <c r="D32" s="567" t="s">
        <v>1077</v>
      </c>
      <c r="E32" s="309">
        <v>1824600</v>
      </c>
      <c r="F32" s="309">
        <v>1897584</v>
      </c>
      <c r="G32" s="691">
        <v>1973487</v>
      </c>
      <c r="H32" s="570"/>
    </row>
    <row r="33" spans="1:8" ht="68.25" customHeight="1" x14ac:dyDescent="0.25">
      <c r="A33" s="307" t="s">
        <v>34</v>
      </c>
      <c r="B33" s="1157" t="s">
        <v>1441</v>
      </c>
      <c r="C33" s="1154"/>
      <c r="D33" s="486" t="s">
        <v>1445</v>
      </c>
      <c r="E33" s="309">
        <f>150000+520278+129722</f>
        <v>800000</v>
      </c>
      <c r="F33" s="309">
        <v>0</v>
      </c>
      <c r="G33" s="691">
        <v>0</v>
      </c>
      <c r="H33" s="570"/>
    </row>
    <row r="34" spans="1:8" ht="38.450000000000003" customHeight="1" x14ac:dyDescent="0.25">
      <c r="A34" s="314" t="s">
        <v>34</v>
      </c>
      <c r="B34" s="1172" t="s">
        <v>913</v>
      </c>
      <c r="C34" s="1173"/>
      <c r="D34" s="314" t="s">
        <v>2</v>
      </c>
      <c r="E34" s="316">
        <f>E35+E36+E37</f>
        <v>20439000</v>
      </c>
      <c r="F34" s="316">
        <f>F35+F36+F37</f>
        <v>21256560</v>
      </c>
      <c r="G34" s="692">
        <f>G35+G36+G37</f>
        <v>22106822</v>
      </c>
      <c r="H34" s="570"/>
    </row>
    <row r="35" spans="1:8" ht="36" customHeight="1" x14ac:dyDescent="0.25">
      <c r="A35" s="307" t="s">
        <v>34</v>
      </c>
      <c r="B35" s="1157" t="s">
        <v>685</v>
      </c>
      <c r="C35" s="1154"/>
      <c r="D35" s="310" t="s">
        <v>2</v>
      </c>
      <c r="E35" s="309">
        <v>20429000</v>
      </c>
      <c r="F35" s="317">
        <v>21246160</v>
      </c>
      <c r="G35" s="317">
        <v>22096006</v>
      </c>
      <c r="H35" s="570"/>
    </row>
    <row r="36" spans="1:8" ht="56.25" customHeight="1" x14ac:dyDescent="0.25">
      <c r="A36" s="307" t="s">
        <v>34</v>
      </c>
      <c r="B36" s="1157" t="s">
        <v>686</v>
      </c>
      <c r="C36" s="1154"/>
      <c r="D36" s="310" t="s">
        <v>687</v>
      </c>
      <c r="E36" s="309">
        <v>10000</v>
      </c>
      <c r="F36" s="317">
        <v>10400</v>
      </c>
      <c r="G36" s="317">
        <v>10816</v>
      </c>
      <c r="H36" s="570"/>
    </row>
    <row r="37" spans="1:8" ht="2.25" hidden="1" customHeight="1" x14ac:dyDescent="0.25">
      <c r="A37" s="307" t="s">
        <v>34</v>
      </c>
      <c r="B37" s="1157" t="s">
        <v>838</v>
      </c>
      <c r="C37" s="1154"/>
      <c r="D37" s="310" t="s">
        <v>3</v>
      </c>
      <c r="E37" s="309">
        <v>0</v>
      </c>
      <c r="F37" s="317">
        <v>0</v>
      </c>
      <c r="G37" s="317">
        <v>0</v>
      </c>
      <c r="H37" s="570"/>
    </row>
    <row r="38" spans="1:8" ht="44.25" customHeight="1" x14ac:dyDescent="0.25">
      <c r="A38" s="314" t="s">
        <v>34</v>
      </c>
      <c r="B38" s="1172" t="s">
        <v>914</v>
      </c>
      <c r="C38" s="1173"/>
      <c r="D38" s="315" t="s">
        <v>915</v>
      </c>
      <c r="E38" s="316">
        <f>E39</f>
        <v>382560</v>
      </c>
      <c r="F38" s="316">
        <f t="shared" ref="F38:G38" si="1">F39</f>
        <v>397862</v>
      </c>
      <c r="G38" s="692">
        <f t="shared" si="1"/>
        <v>413776</v>
      </c>
      <c r="H38" s="570"/>
    </row>
    <row r="39" spans="1:8" ht="56.25" customHeight="1" x14ac:dyDescent="0.25">
      <c r="A39" s="307" t="s">
        <v>34</v>
      </c>
      <c r="B39" s="1157" t="s">
        <v>688</v>
      </c>
      <c r="C39" s="1154"/>
      <c r="D39" s="310" t="s">
        <v>830</v>
      </c>
      <c r="E39" s="309">
        <v>382560</v>
      </c>
      <c r="F39" s="317">
        <v>397862</v>
      </c>
      <c r="G39" s="317">
        <v>413776</v>
      </c>
      <c r="H39" s="570"/>
    </row>
    <row r="40" spans="1:8" ht="29.25" customHeight="1" x14ac:dyDescent="0.25">
      <c r="A40" s="311" t="s">
        <v>502</v>
      </c>
      <c r="B40" s="1160" t="s">
        <v>807</v>
      </c>
      <c r="C40" s="1161"/>
      <c r="D40" s="320" t="s">
        <v>808</v>
      </c>
      <c r="E40" s="313">
        <f>E43+E41</f>
        <v>38512984.590000004</v>
      </c>
      <c r="F40" s="333">
        <f>F43</f>
        <v>0</v>
      </c>
      <c r="G40" s="333">
        <f>G43</f>
        <v>0</v>
      </c>
      <c r="H40" s="570"/>
    </row>
    <row r="41" spans="1:8" ht="29.25" customHeight="1" x14ac:dyDescent="0.25">
      <c r="A41" s="314" t="s">
        <v>34</v>
      </c>
      <c r="B41" s="1172" t="s">
        <v>1442</v>
      </c>
      <c r="C41" s="1173"/>
      <c r="D41" s="766" t="s">
        <v>1447</v>
      </c>
      <c r="E41" s="316">
        <f>E42</f>
        <v>26439</v>
      </c>
      <c r="F41" s="316">
        <f t="shared" ref="F41:G41" si="2">F42</f>
        <v>0</v>
      </c>
      <c r="G41" s="692">
        <f t="shared" si="2"/>
        <v>0</v>
      </c>
      <c r="H41" s="570"/>
    </row>
    <row r="42" spans="1:8" ht="52.5" customHeight="1" x14ac:dyDescent="0.25">
      <c r="A42" s="307" t="s">
        <v>34</v>
      </c>
      <c r="B42" s="1157" t="s">
        <v>1443</v>
      </c>
      <c r="C42" s="1154"/>
      <c r="D42" s="486" t="s">
        <v>1446</v>
      </c>
      <c r="E42" s="309">
        <v>26439</v>
      </c>
      <c r="F42" s="317">
        <v>0</v>
      </c>
      <c r="G42" s="317">
        <v>0</v>
      </c>
      <c r="H42" s="570"/>
    </row>
    <row r="43" spans="1:8" ht="29.25" customHeight="1" x14ac:dyDescent="0.25">
      <c r="A43" s="314" t="s">
        <v>34</v>
      </c>
      <c r="B43" s="1172" t="s">
        <v>809</v>
      </c>
      <c r="C43" s="1173"/>
      <c r="D43" s="321" t="s">
        <v>810</v>
      </c>
      <c r="E43" s="316">
        <f>E44+E46+E45</f>
        <v>38486545.590000004</v>
      </c>
      <c r="F43" s="334">
        <f t="shared" ref="F43:G43" si="3">F44</f>
        <v>0</v>
      </c>
      <c r="G43" s="334">
        <f t="shared" si="3"/>
        <v>0</v>
      </c>
      <c r="H43" s="570"/>
    </row>
    <row r="44" spans="1:8" ht="48.75" customHeight="1" x14ac:dyDescent="0.25">
      <c r="A44" s="307" t="s">
        <v>34</v>
      </c>
      <c r="B44" s="1157" t="s">
        <v>911</v>
      </c>
      <c r="C44" s="1154"/>
      <c r="D44" s="310" t="s">
        <v>912</v>
      </c>
      <c r="E44" s="309">
        <f>36006000+1379727.44-200000+1234031.56+64186.59</f>
        <v>38483945.590000004</v>
      </c>
      <c r="F44" s="317">
        <v>0</v>
      </c>
      <c r="G44" s="317">
        <v>0</v>
      </c>
      <c r="H44" s="570"/>
    </row>
    <row r="45" spans="1:8" s="771" customFormat="1" ht="34.5" hidden="1" customHeight="1" x14ac:dyDescent="0.25">
      <c r="A45" s="307" t="s">
        <v>34</v>
      </c>
      <c r="B45" s="1157" t="s">
        <v>1469</v>
      </c>
      <c r="C45" s="1154"/>
      <c r="D45" s="809"/>
      <c r="E45" s="309"/>
      <c r="F45" s="317">
        <v>0</v>
      </c>
      <c r="G45" s="317">
        <v>0</v>
      </c>
      <c r="H45" s="347"/>
    </row>
    <row r="46" spans="1:8" ht="51" customHeight="1" x14ac:dyDescent="0.25">
      <c r="A46" s="307" t="s">
        <v>34</v>
      </c>
      <c r="B46" s="1157" t="s">
        <v>690</v>
      </c>
      <c r="C46" s="1154"/>
      <c r="D46" s="310" t="s">
        <v>691</v>
      </c>
      <c r="E46" s="309">
        <f>1000+1189+411</f>
        <v>2600</v>
      </c>
      <c r="F46" s="317">
        <v>0</v>
      </c>
      <c r="G46" s="317">
        <v>0</v>
      </c>
      <c r="H46" s="570"/>
    </row>
    <row r="47" spans="1:8" ht="29.25" customHeight="1" x14ac:dyDescent="0.25">
      <c r="A47" s="311" t="s">
        <v>502</v>
      </c>
      <c r="B47" s="1160" t="s">
        <v>811</v>
      </c>
      <c r="C47" s="1161"/>
      <c r="D47" s="320" t="s">
        <v>812</v>
      </c>
      <c r="E47" s="313">
        <f>E48+E49</f>
        <v>2853408</v>
      </c>
      <c r="F47" s="313">
        <f>F48+F49</f>
        <v>2914704</v>
      </c>
      <c r="G47" s="319">
        <f>G48+G49</f>
        <v>3031292</v>
      </c>
      <c r="H47" s="570"/>
    </row>
    <row r="48" spans="1:8" ht="81.75" customHeight="1" x14ac:dyDescent="0.25">
      <c r="A48" s="1079" t="s">
        <v>34</v>
      </c>
      <c r="B48" s="1158" t="s">
        <v>692</v>
      </c>
      <c r="C48" s="1159"/>
      <c r="D48" s="436" t="s">
        <v>693</v>
      </c>
      <c r="E48" s="1020">
        <f>2802600+50808+2000000-2000000</f>
        <v>2853408</v>
      </c>
      <c r="F48" s="317">
        <v>2914704</v>
      </c>
      <c r="G48" s="317">
        <v>3031292</v>
      </c>
      <c r="H48" s="570"/>
    </row>
    <row r="49" spans="1:13" ht="45" hidden="1" customHeight="1" x14ac:dyDescent="0.25">
      <c r="A49" s="307" t="s">
        <v>19</v>
      </c>
      <c r="B49" s="1157" t="s">
        <v>883</v>
      </c>
      <c r="C49" s="1154"/>
      <c r="D49" s="310" t="s">
        <v>896</v>
      </c>
      <c r="E49" s="309">
        <v>0</v>
      </c>
      <c r="F49" s="335">
        <v>0</v>
      </c>
      <c r="G49" s="317">
        <v>0</v>
      </c>
      <c r="H49" s="570"/>
    </row>
    <row r="50" spans="1:13" ht="56.25" customHeight="1" x14ac:dyDescent="0.25">
      <c r="A50" s="311" t="s">
        <v>502</v>
      </c>
      <c r="B50" s="1160" t="s">
        <v>813</v>
      </c>
      <c r="C50" s="1161"/>
      <c r="D50" s="312" t="s">
        <v>814</v>
      </c>
      <c r="E50" s="313">
        <f>E51+E53+E69+E67</f>
        <v>32858469.109999999</v>
      </c>
      <c r="F50" s="313">
        <f>F51+F53+F69+F67</f>
        <v>16720000</v>
      </c>
      <c r="G50" s="319">
        <f>G51+G53+G69+G67</f>
        <v>16740000</v>
      </c>
      <c r="H50" s="570"/>
      <c r="I50" s="330"/>
    </row>
    <row r="51" spans="1:13" ht="54.75" customHeight="1" x14ac:dyDescent="0.25">
      <c r="A51" s="311" t="s">
        <v>502</v>
      </c>
      <c r="B51" s="1172" t="s">
        <v>922</v>
      </c>
      <c r="C51" s="1173"/>
      <c r="D51" s="321" t="s">
        <v>80</v>
      </c>
      <c r="E51" s="316">
        <f>E52</f>
        <v>172888.37</v>
      </c>
      <c r="F51" s="316">
        <f t="shared" ref="F51:G51" si="4">F52</f>
        <v>0</v>
      </c>
      <c r="G51" s="692">
        <f t="shared" si="4"/>
        <v>0</v>
      </c>
      <c r="H51" s="570"/>
    </row>
    <row r="52" spans="1:13" ht="57" customHeight="1" x14ac:dyDescent="0.25">
      <c r="A52" s="1079" t="s">
        <v>16</v>
      </c>
      <c r="B52" s="1158" t="s">
        <v>831</v>
      </c>
      <c r="C52" s="1159"/>
      <c r="D52" s="436" t="s">
        <v>80</v>
      </c>
      <c r="E52" s="1020">
        <f>100000+80000-7111.63</f>
        <v>172888.37</v>
      </c>
      <c r="F52" s="317">
        <v>0</v>
      </c>
      <c r="G52" s="317">
        <v>0</v>
      </c>
      <c r="H52" s="570"/>
    </row>
    <row r="53" spans="1:13" ht="83.25" customHeight="1" x14ac:dyDescent="0.25">
      <c r="A53" s="314" t="s">
        <v>502</v>
      </c>
      <c r="B53" s="1172" t="s">
        <v>923</v>
      </c>
      <c r="C53" s="1173"/>
      <c r="D53" s="315" t="s">
        <v>924</v>
      </c>
      <c r="E53" s="316">
        <f>E54+E56+E57+E58+E59+E65+E55+E66+E60+E61+E62</f>
        <v>26166017</v>
      </c>
      <c r="F53" s="316">
        <f>F54+F56+F57+F58+F59+F65+F55</f>
        <v>15500000</v>
      </c>
      <c r="G53" s="692">
        <f>G54+G56+G57+G58+G59+G65+G55</f>
        <v>15500000</v>
      </c>
      <c r="H53" s="570"/>
    </row>
    <row r="54" spans="1:13" ht="102.75" customHeight="1" x14ac:dyDescent="0.25">
      <c r="A54" s="307" t="s">
        <v>19</v>
      </c>
      <c r="B54" s="1157" t="s">
        <v>20</v>
      </c>
      <c r="C54" s="1154"/>
      <c r="D54" s="308" t="s">
        <v>909</v>
      </c>
      <c r="E54" s="309">
        <f>10500000+2840336-1676819</f>
        <v>11663517</v>
      </c>
      <c r="F54" s="317">
        <v>5000000</v>
      </c>
      <c r="G54" s="317">
        <v>5000000</v>
      </c>
      <c r="H54" s="570"/>
    </row>
    <row r="55" spans="1:13" ht="98.25" customHeight="1" x14ac:dyDescent="0.25">
      <c r="A55" s="307" t="s">
        <v>19</v>
      </c>
      <c r="B55" s="1157" t="s">
        <v>656</v>
      </c>
      <c r="C55" s="1154"/>
      <c r="D55" s="308" t="s">
        <v>1405</v>
      </c>
      <c r="E55" s="309">
        <f>7363985+3000000-10062132</f>
        <v>301853</v>
      </c>
      <c r="F55" s="317">
        <v>10500000</v>
      </c>
      <c r="G55" s="317">
        <v>10500000</v>
      </c>
      <c r="H55" s="570"/>
    </row>
    <row r="56" spans="1:13" ht="97.5" customHeight="1" x14ac:dyDescent="0.25">
      <c r="A56" s="307" t="s">
        <v>884</v>
      </c>
      <c r="B56" s="1157" t="s">
        <v>656</v>
      </c>
      <c r="C56" s="1154"/>
      <c r="D56" s="308" t="s">
        <v>655</v>
      </c>
      <c r="E56" s="309">
        <f>292000+108000+1993492-993492</f>
        <v>1400000</v>
      </c>
      <c r="F56" s="317">
        <v>0</v>
      </c>
      <c r="G56" s="317">
        <v>0</v>
      </c>
      <c r="H56" s="786"/>
      <c r="I56" s="787"/>
      <c r="J56" s="787"/>
      <c r="K56" s="787"/>
      <c r="L56" s="787"/>
      <c r="M56" s="787"/>
    </row>
    <row r="57" spans="1:13" ht="78.599999999999994" hidden="1" customHeight="1" x14ac:dyDescent="0.25">
      <c r="A57" s="307"/>
      <c r="B57" s="1157"/>
      <c r="C57" s="1154"/>
      <c r="D57" s="308"/>
      <c r="E57" s="309"/>
      <c r="F57" s="317"/>
      <c r="G57" s="317"/>
      <c r="H57" s="570"/>
    </row>
    <row r="58" spans="1:13" ht="75.599999999999994" hidden="1" customHeight="1" x14ac:dyDescent="0.25">
      <c r="A58" s="307"/>
      <c r="B58" s="1157"/>
      <c r="C58" s="1154"/>
      <c r="D58" s="308"/>
      <c r="E58" s="309"/>
      <c r="F58" s="317"/>
      <c r="G58" s="317"/>
      <c r="H58" s="570"/>
    </row>
    <row r="59" spans="1:13" ht="2.25" hidden="1" customHeight="1" x14ac:dyDescent="0.25">
      <c r="A59" s="307"/>
      <c r="B59" s="1157"/>
      <c r="C59" s="1154"/>
      <c r="D59" s="308"/>
      <c r="E59" s="309"/>
      <c r="F59" s="317"/>
      <c r="G59" s="317"/>
      <c r="H59" s="570"/>
    </row>
    <row r="60" spans="1:13" ht="96" customHeight="1" x14ac:dyDescent="0.25">
      <c r="A60" s="307" t="s">
        <v>839</v>
      </c>
      <c r="B60" s="1157" t="s">
        <v>656</v>
      </c>
      <c r="C60" s="1154"/>
      <c r="D60" s="308" t="s">
        <v>657</v>
      </c>
      <c r="E60" s="309">
        <f>1350000+1650000+3500000+2000000+2000000</f>
        <v>10500000</v>
      </c>
      <c r="F60" s="317">
        <v>0</v>
      </c>
      <c r="G60" s="317">
        <v>0</v>
      </c>
      <c r="H60" s="786"/>
      <c r="I60" s="787"/>
      <c r="J60" s="787"/>
      <c r="K60" s="787"/>
      <c r="L60" s="787"/>
      <c r="M60" s="787"/>
    </row>
    <row r="61" spans="1:13" ht="96.75" customHeight="1" x14ac:dyDescent="0.25">
      <c r="A61" s="307" t="s">
        <v>840</v>
      </c>
      <c r="B61" s="1157" t="s">
        <v>656</v>
      </c>
      <c r="C61" s="1154"/>
      <c r="D61" s="308" t="s">
        <v>657</v>
      </c>
      <c r="E61" s="309">
        <f>133200+66800+999000</f>
        <v>1199000</v>
      </c>
      <c r="F61" s="317">
        <v>0</v>
      </c>
      <c r="G61" s="317">
        <v>0</v>
      </c>
      <c r="H61" s="786"/>
      <c r="I61" s="787"/>
      <c r="J61" s="787"/>
      <c r="K61" s="787"/>
      <c r="L61" s="787"/>
      <c r="M61" s="787"/>
    </row>
    <row r="62" spans="1:13" ht="94.5" customHeight="1" x14ac:dyDescent="0.25">
      <c r="A62" s="307" t="s">
        <v>19</v>
      </c>
      <c r="B62" s="1157" t="s">
        <v>656</v>
      </c>
      <c r="C62" s="1154"/>
      <c r="D62" s="318" t="s">
        <v>657</v>
      </c>
      <c r="E62" s="309">
        <v>1647</v>
      </c>
      <c r="F62" s="317">
        <v>0</v>
      </c>
      <c r="G62" s="317">
        <v>0</v>
      </c>
      <c r="H62" s="570"/>
    </row>
    <row r="63" spans="1:13" ht="0.75" hidden="1" customHeight="1" x14ac:dyDescent="0.25">
      <c r="A63" s="307"/>
      <c r="B63" s="1157"/>
      <c r="C63" s="1154"/>
      <c r="D63" s="322"/>
      <c r="E63" s="309"/>
      <c r="F63" s="317"/>
      <c r="G63" s="317"/>
      <c r="H63" s="570"/>
    </row>
    <row r="64" spans="1:13" ht="30" hidden="1" customHeight="1" x14ac:dyDescent="0.25">
      <c r="A64" s="307"/>
      <c r="B64" s="1157"/>
      <c r="C64" s="1154"/>
      <c r="D64" s="308"/>
      <c r="E64" s="309"/>
      <c r="F64" s="317"/>
      <c r="G64" s="317"/>
      <c r="H64" s="570"/>
    </row>
    <row r="65" spans="1:13" ht="59.25" hidden="1" customHeight="1" x14ac:dyDescent="0.25">
      <c r="A65" s="307"/>
      <c r="B65" s="1172"/>
      <c r="C65" s="1173"/>
      <c r="D65" s="767"/>
      <c r="E65" s="316"/>
      <c r="F65" s="335"/>
      <c r="G65" s="317"/>
      <c r="H65" s="570"/>
    </row>
    <row r="66" spans="1:13" ht="99" customHeight="1" x14ac:dyDescent="0.25">
      <c r="A66" s="307" t="s">
        <v>19</v>
      </c>
      <c r="B66" s="1157" t="s">
        <v>841</v>
      </c>
      <c r="C66" s="1154"/>
      <c r="D66" s="308" t="s">
        <v>1008</v>
      </c>
      <c r="E66" s="309">
        <f>352146+52854+595000+100000</f>
        <v>1100000</v>
      </c>
      <c r="F66" s="335">
        <v>0</v>
      </c>
      <c r="G66" s="317">
        <v>0</v>
      </c>
      <c r="H66" s="786"/>
      <c r="I66" s="787"/>
      <c r="J66" s="787"/>
      <c r="K66" s="787"/>
      <c r="L66" s="787"/>
      <c r="M66" s="787"/>
    </row>
    <row r="67" spans="1:13" ht="47.25" customHeight="1" x14ac:dyDescent="0.25">
      <c r="A67" s="532" t="s">
        <v>502</v>
      </c>
      <c r="B67" s="1175" t="s">
        <v>1031</v>
      </c>
      <c r="C67" s="1176"/>
      <c r="D67" s="533" t="s">
        <v>1032</v>
      </c>
      <c r="E67" s="313">
        <f>E68</f>
        <v>375314</v>
      </c>
      <c r="F67" s="313">
        <f>F68</f>
        <v>220000</v>
      </c>
      <c r="G67" s="319">
        <f>G68</f>
        <v>240000</v>
      </c>
      <c r="H67" s="570"/>
    </row>
    <row r="68" spans="1:13" ht="66.75" customHeight="1" x14ac:dyDescent="0.25">
      <c r="A68" s="536" t="s">
        <v>19</v>
      </c>
      <c r="B68" s="1162" t="s">
        <v>1033</v>
      </c>
      <c r="C68" s="1163"/>
      <c r="D68" s="537" t="s">
        <v>22</v>
      </c>
      <c r="E68" s="309">
        <f>210000+35346+129968</f>
        <v>375314</v>
      </c>
      <c r="F68" s="335">
        <v>220000</v>
      </c>
      <c r="G68" s="317">
        <v>240000</v>
      </c>
      <c r="H68" s="570"/>
    </row>
    <row r="69" spans="1:13" ht="144" customHeight="1" x14ac:dyDescent="0.25">
      <c r="A69" s="314" t="s">
        <v>502</v>
      </c>
      <c r="B69" s="1172" t="s">
        <v>925</v>
      </c>
      <c r="C69" s="1173"/>
      <c r="D69" s="315" t="s">
        <v>926</v>
      </c>
      <c r="E69" s="316">
        <f>E72+E70+E71</f>
        <v>6144249.7400000002</v>
      </c>
      <c r="F69" s="316">
        <f t="shared" ref="F69:G69" si="5">F72+F70</f>
        <v>1000000</v>
      </c>
      <c r="G69" s="692">
        <f t="shared" si="5"/>
        <v>1000000</v>
      </c>
      <c r="H69" s="570"/>
    </row>
    <row r="70" spans="1:13" s="497" customFormat="1" ht="59.25" hidden="1" customHeight="1" x14ac:dyDescent="0.25">
      <c r="A70" s="307" t="s">
        <v>15</v>
      </c>
      <c r="B70" s="1157" t="s">
        <v>1003</v>
      </c>
      <c r="C70" s="1154"/>
      <c r="D70" s="310" t="s">
        <v>1002</v>
      </c>
      <c r="E70" s="309">
        <v>0</v>
      </c>
      <c r="F70" s="309">
        <v>0</v>
      </c>
      <c r="G70" s="691">
        <v>0</v>
      </c>
      <c r="H70" s="570"/>
    </row>
    <row r="71" spans="1:13" s="497" customFormat="1" ht="54" customHeight="1" x14ac:dyDescent="0.25">
      <c r="A71" s="307" t="s">
        <v>15</v>
      </c>
      <c r="B71" s="1157" t="s">
        <v>1464</v>
      </c>
      <c r="C71" s="1154"/>
      <c r="D71" s="310" t="s">
        <v>1002</v>
      </c>
      <c r="E71" s="309">
        <v>2187475.7400000002</v>
      </c>
      <c r="F71" s="309">
        <v>0</v>
      </c>
      <c r="G71" s="691">
        <v>0</v>
      </c>
      <c r="H71" s="570"/>
    </row>
    <row r="72" spans="1:13" ht="102.75" customHeight="1" x14ac:dyDescent="0.25">
      <c r="A72" s="307" t="s">
        <v>19</v>
      </c>
      <c r="B72" s="1157" t="s">
        <v>23</v>
      </c>
      <c r="C72" s="1154"/>
      <c r="D72" s="310" t="s">
        <v>24</v>
      </c>
      <c r="E72" s="309">
        <f>1000000+380000+1183570+1393204</f>
        <v>3956774</v>
      </c>
      <c r="F72" s="317">
        <v>1000000</v>
      </c>
      <c r="G72" s="317">
        <v>1000000</v>
      </c>
      <c r="H72" s="786"/>
      <c r="I72" s="787"/>
      <c r="J72" s="787"/>
      <c r="K72" s="787"/>
      <c r="L72" s="787"/>
      <c r="M72" s="787"/>
    </row>
    <row r="73" spans="1:13" ht="39" customHeight="1" x14ac:dyDescent="0.25">
      <c r="A73" s="311" t="s">
        <v>502</v>
      </c>
      <c r="B73" s="1160" t="s">
        <v>815</v>
      </c>
      <c r="C73" s="1161"/>
      <c r="D73" s="312" t="s">
        <v>816</v>
      </c>
      <c r="E73" s="313">
        <f>E75+E76+E77+E78+E79</f>
        <v>150000</v>
      </c>
      <c r="F73" s="313">
        <f>F75+F76+F77+F78+F79</f>
        <v>156000</v>
      </c>
      <c r="G73" s="319">
        <f>G75+G76+G77+G78+G79</f>
        <v>162240</v>
      </c>
      <c r="H73" s="570"/>
    </row>
    <row r="74" spans="1:13" ht="39" customHeight="1" x14ac:dyDescent="0.25">
      <c r="A74" s="314" t="s">
        <v>5</v>
      </c>
      <c r="B74" s="1172" t="s">
        <v>916</v>
      </c>
      <c r="C74" s="1173"/>
      <c r="D74" s="315" t="s">
        <v>917</v>
      </c>
      <c r="E74" s="316">
        <f>E75+E77+E78+E79</f>
        <v>150000</v>
      </c>
      <c r="F74" s="316">
        <f>F75+F76+F77+F78+F79</f>
        <v>156000</v>
      </c>
      <c r="G74" s="692">
        <f>G75+G76+G77+G78+G79</f>
        <v>162240</v>
      </c>
      <c r="H74" s="570"/>
    </row>
    <row r="75" spans="1:13" ht="47.25" customHeight="1" x14ac:dyDescent="0.25">
      <c r="A75" s="307" t="s">
        <v>5</v>
      </c>
      <c r="B75" s="1157" t="s">
        <v>665</v>
      </c>
      <c r="C75" s="1154"/>
      <c r="D75" s="310" t="s">
        <v>666</v>
      </c>
      <c r="E75" s="309">
        <v>80000</v>
      </c>
      <c r="F75" s="317">
        <v>83200</v>
      </c>
      <c r="G75" s="317">
        <v>86528</v>
      </c>
      <c r="H75" s="570"/>
    </row>
    <row r="76" spans="1:13" ht="36" hidden="1" customHeight="1" x14ac:dyDescent="0.25">
      <c r="A76" s="307" t="s">
        <v>5</v>
      </c>
      <c r="B76" s="1157" t="s">
        <v>667</v>
      </c>
      <c r="C76" s="1154"/>
      <c r="D76" s="310" t="s">
        <v>668</v>
      </c>
      <c r="E76" s="309">
        <v>0</v>
      </c>
      <c r="F76" s="317">
        <v>0</v>
      </c>
      <c r="G76" s="317">
        <v>0</v>
      </c>
      <c r="H76" s="570"/>
    </row>
    <row r="77" spans="1:13" ht="37.5" hidden="1" customHeight="1" x14ac:dyDescent="0.25">
      <c r="A77" s="307" t="s">
        <v>5</v>
      </c>
      <c r="B77" s="1157" t="s">
        <v>669</v>
      </c>
      <c r="C77" s="1154"/>
      <c r="D77" s="310" t="s">
        <v>670</v>
      </c>
      <c r="E77" s="309">
        <v>0</v>
      </c>
      <c r="F77" s="317">
        <v>0</v>
      </c>
      <c r="G77" s="317">
        <v>0</v>
      </c>
      <c r="H77" s="570"/>
    </row>
    <row r="78" spans="1:13" ht="34.5" hidden="1" customHeight="1" x14ac:dyDescent="0.25">
      <c r="A78" s="307" t="s">
        <v>5</v>
      </c>
      <c r="B78" s="1157" t="s">
        <v>671</v>
      </c>
      <c r="C78" s="1154"/>
      <c r="D78" s="310" t="s">
        <v>672</v>
      </c>
      <c r="E78" s="309">
        <v>0</v>
      </c>
      <c r="F78" s="317">
        <v>0</v>
      </c>
      <c r="G78" s="317">
        <v>0</v>
      </c>
      <c r="H78" s="570"/>
    </row>
    <row r="79" spans="1:13" ht="38.25" customHeight="1" x14ac:dyDescent="0.25">
      <c r="A79" s="536" t="s">
        <v>5</v>
      </c>
      <c r="B79" s="1162" t="s">
        <v>1034</v>
      </c>
      <c r="C79" s="1163"/>
      <c r="D79" s="538" t="s">
        <v>1035</v>
      </c>
      <c r="E79" s="525">
        <v>70000</v>
      </c>
      <c r="F79" s="335">
        <v>72800</v>
      </c>
      <c r="G79" s="317">
        <v>75712</v>
      </c>
      <c r="H79" s="570"/>
    </row>
    <row r="80" spans="1:13" ht="39.75" customHeight="1" x14ac:dyDescent="0.25">
      <c r="A80" s="311" t="s">
        <v>502</v>
      </c>
      <c r="B80" s="1160" t="s">
        <v>1009</v>
      </c>
      <c r="C80" s="1161"/>
      <c r="D80" s="312" t="s">
        <v>1010</v>
      </c>
      <c r="E80" s="313">
        <f>E81+E82</f>
        <v>86125.22</v>
      </c>
      <c r="F80" s="313">
        <f t="shared" ref="F80:G80" si="6">F81+F82</f>
        <v>0</v>
      </c>
      <c r="G80" s="313">
        <f t="shared" si="6"/>
        <v>0</v>
      </c>
      <c r="H80" s="570"/>
    </row>
    <row r="81" spans="1:13" ht="42" customHeight="1" x14ac:dyDescent="0.25">
      <c r="A81" s="307" t="s">
        <v>18</v>
      </c>
      <c r="B81" s="1157" t="s">
        <v>842</v>
      </c>
      <c r="C81" s="1154"/>
      <c r="D81" s="318" t="s">
        <v>843</v>
      </c>
      <c r="E81" s="309">
        <f>10000+10000+40000+10000</f>
        <v>70000</v>
      </c>
      <c r="F81" s="335">
        <v>0</v>
      </c>
      <c r="G81" s="317">
        <v>0</v>
      </c>
      <c r="H81" s="786"/>
      <c r="I81" s="787"/>
      <c r="J81" s="787"/>
      <c r="K81" s="787"/>
      <c r="L81" s="787"/>
      <c r="M81" s="787"/>
    </row>
    <row r="82" spans="1:13" ht="42" customHeight="1" x14ac:dyDescent="0.25">
      <c r="A82" s="307" t="s">
        <v>19</v>
      </c>
      <c r="B82" s="1157" t="s">
        <v>842</v>
      </c>
      <c r="C82" s="1154"/>
      <c r="D82" s="318" t="s">
        <v>843</v>
      </c>
      <c r="E82" s="309">
        <v>16125.22</v>
      </c>
      <c r="F82" s="335">
        <v>0</v>
      </c>
      <c r="G82" s="317">
        <v>0</v>
      </c>
      <c r="H82" s="786"/>
      <c r="I82" s="787"/>
      <c r="J82" s="787"/>
      <c r="K82" s="787"/>
      <c r="L82" s="787"/>
      <c r="M82" s="787"/>
    </row>
    <row r="83" spans="1:13" ht="51" customHeight="1" x14ac:dyDescent="0.25">
      <c r="A83" s="311" t="s">
        <v>502</v>
      </c>
      <c r="B83" s="1160" t="s">
        <v>817</v>
      </c>
      <c r="C83" s="1161"/>
      <c r="D83" s="312" t="s">
        <v>818</v>
      </c>
      <c r="E83" s="313">
        <f>E84+E86+E97</f>
        <v>536000</v>
      </c>
      <c r="F83" s="313">
        <f>F84+F86</f>
        <v>350000</v>
      </c>
      <c r="G83" s="319">
        <f>G84+G86</f>
        <v>350000</v>
      </c>
      <c r="H83" s="570"/>
    </row>
    <row r="84" spans="1:13" ht="122.25" customHeight="1" x14ac:dyDescent="0.25">
      <c r="A84" s="314" t="s">
        <v>502</v>
      </c>
      <c r="B84" s="1172" t="s">
        <v>918</v>
      </c>
      <c r="C84" s="1173"/>
      <c r="D84" s="324" t="s">
        <v>919</v>
      </c>
      <c r="E84" s="316">
        <f>E85</f>
        <v>100000</v>
      </c>
      <c r="F84" s="316">
        <f t="shared" ref="F84:G84" si="7">F85</f>
        <v>100000</v>
      </c>
      <c r="G84" s="692">
        <f t="shared" si="7"/>
        <v>100000</v>
      </c>
      <c r="H84" s="570"/>
    </row>
    <row r="85" spans="1:13" ht="103.5" customHeight="1" x14ac:dyDescent="0.25">
      <c r="A85" s="307" t="s">
        <v>19</v>
      </c>
      <c r="B85" s="1157" t="s">
        <v>25</v>
      </c>
      <c r="C85" s="1154"/>
      <c r="D85" s="310" t="s">
        <v>659</v>
      </c>
      <c r="E85" s="309">
        <v>100000</v>
      </c>
      <c r="F85" s="317">
        <v>100000</v>
      </c>
      <c r="G85" s="317">
        <v>100000</v>
      </c>
      <c r="H85" s="570"/>
    </row>
    <row r="86" spans="1:13" ht="52.15" customHeight="1" x14ac:dyDescent="0.25">
      <c r="A86" s="314" t="s">
        <v>502</v>
      </c>
      <c r="B86" s="1172" t="s">
        <v>920</v>
      </c>
      <c r="C86" s="1173"/>
      <c r="D86" s="315" t="s">
        <v>921</v>
      </c>
      <c r="E86" s="316">
        <f>E88+E92+E89+E90+E91</f>
        <v>286000</v>
      </c>
      <c r="F86" s="316">
        <f t="shared" ref="F86:G86" si="8">F88+F92</f>
        <v>250000</v>
      </c>
      <c r="G86" s="692">
        <f t="shared" si="8"/>
        <v>250000</v>
      </c>
      <c r="H86" s="570"/>
    </row>
    <row r="87" spans="1:13" ht="52.15" customHeight="1" x14ac:dyDescent="0.25">
      <c r="A87" s="314" t="s">
        <v>502</v>
      </c>
      <c r="B87" s="1172" t="s">
        <v>1011</v>
      </c>
      <c r="C87" s="1173"/>
      <c r="D87" s="315" t="s">
        <v>1012</v>
      </c>
      <c r="E87" s="316">
        <f>E88+E92+E89+E90+E91</f>
        <v>286000</v>
      </c>
      <c r="F87" s="316">
        <f>F88+F92</f>
        <v>250000</v>
      </c>
      <c r="G87" s="692">
        <f>G88+G92</f>
        <v>250000</v>
      </c>
      <c r="H87" s="570"/>
    </row>
    <row r="88" spans="1:13" ht="72.75" customHeight="1" x14ac:dyDescent="0.25">
      <c r="A88" s="307" t="s">
        <v>19</v>
      </c>
      <c r="B88" s="1157" t="s">
        <v>26</v>
      </c>
      <c r="C88" s="1154"/>
      <c r="D88" s="310" t="s">
        <v>910</v>
      </c>
      <c r="E88" s="309">
        <f>200000-170000</f>
        <v>30000</v>
      </c>
      <c r="F88" s="317">
        <v>200000</v>
      </c>
      <c r="G88" s="317">
        <v>200000</v>
      </c>
      <c r="H88" s="570"/>
    </row>
    <row r="89" spans="1:13" ht="66.599999999999994" customHeight="1" x14ac:dyDescent="0.25">
      <c r="A89" s="307" t="s">
        <v>884</v>
      </c>
      <c r="B89" s="1157" t="s">
        <v>662</v>
      </c>
      <c r="C89" s="1154"/>
      <c r="D89" s="310" t="s">
        <v>663</v>
      </c>
      <c r="E89" s="309">
        <f>15000+5000+34000</f>
        <v>54000</v>
      </c>
      <c r="F89" s="317">
        <v>0</v>
      </c>
      <c r="G89" s="317">
        <v>0</v>
      </c>
      <c r="H89" s="786"/>
      <c r="I89" s="787"/>
      <c r="J89" s="787"/>
      <c r="K89" s="787"/>
      <c r="L89" s="787"/>
      <c r="M89" s="787"/>
    </row>
    <row r="90" spans="1:13" ht="64.150000000000006" customHeight="1" x14ac:dyDescent="0.25">
      <c r="A90" s="307" t="s">
        <v>839</v>
      </c>
      <c r="B90" s="1157" t="s">
        <v>662</v>
      </c>
      <c r="C90" s="1154"/>
      <c r="D90" s="310" t="s">
        <v>663</v>
      </c>
      <c r="E90" s="309">
        <f>38500+21500+34000+56000</f>
        <v>150000</v>
      </c>
      <c r="F90" s="317">
        <v>0</v>
      </c>
      <c r="G90" s="317">
        <v>0</v>
      </c>
      <c r="H90" s="786"/>
      <c r="I90" s="787"/>
      <c r="J90" s="787"/>
      <c r="K90" s="787"/>
      <c r="L90" s="787"/>
      <c r="M90" s="787"/>
    </row>
    <row r="91" spans="1:13" ht="69.599999999999994" customHeight="1" x14ac:dyDescent="0.25">
      <c r="A91" s="307" t="s">
        <v>840</v>
      </c>
      <c r="B91" s="1157" t="s">
        <v>662</v>
      </c>
      <c r="C91" s="1154"/>
      <c r="D91" s="310" t="s">
        <v>1013</v>
      </c>
      <c r="E91" s="309">
        <f>1800+13200+37000</f>
        <v>52000</v>
      </c>
      <c r="F91" s="317">
        <v>0</v>
      </c>
      <c r="G91" s="317">
        <v>0</v>
      </c>
      <c r="H91" s="786"/>
      <c r="I91" s="787"/>
      <c r="J91" s="787"/>
      <c r="K91" s="787"/>
      <c r="L91" s="787"/>
      <c r="M91" s="787"/>
    </row>
    <row r="92" spans="1:13" ht="60" customHeight="1" x14ac:dyDescent="0.25">
      <c r="A92" s="307" t="s">
        <v>19</v>
      </c>
      <c r="B92" s="1157" t="s">
        <v>662</v>
      </c>
      <c r="C92" s="1154"/>
      <c r="D92" s="310" t="s">
        <v>663</v>
      </c>
      <c r="E92" s="309">
        <f>50000-50000</f>
        <v>0</v>
      </c>
      <c r="F92" s="317">
        <v>50000</v>
      </c>
      <c r="G92" s="317">
        <v>50000</v>
      </c>
      <c r="H92" s="570"/>
    </row>
    <row r="93" spans="1:13" ht="25.5" hidden="1" customHeight="1" x14ac:dyDescent="0.25">
      <c r="A93" s="314" t="s">
        <v>502</v>
      </c>
      <c r="B93" s="1172" t="s">
        <v>1014</v>
      </c>
      <c r="C93" s="1173"/>
      <c r="D93" s="315" t="s">
        <v>1015</v>
      </c>
      <c r="E93" s="316">
        <f>E94</f>
        <v>0</v>
      </c>
      <c r="F93" s="335">
        <v>0</v>
      </c>
      <c r="G93" s="317">
        <v>0</v>
      </c>
      <c r="H93" s="570"/>
    </row>
    <row r="94" spans="1:13" ht="26.25" hidden="1" customHeight="1" x14ac:dyDescent="0.25">
      <c r="A94" s="307" t="s">
        <v>840</v>
      </c>
      <c r="B94" s="1157" t="s">
        <v>845</v>
      </c>
      <c r="C94" s="1154"/>
      <c r="D94" s="310" t="s">
        <v>1016</v>
      </c>
      <c r="E94" s="309">
        <v>0</v>
      </c>
      <c r="F94" s="335">
        <v>0</v>
      </c>
      <c r="G94" s="317">
        <v>0</v>
      </c>
      <c r="H94" s="570"/>
    </row>
    <row r="95" spans="1:13" ht="31.5" hidden="1" customHeight="1" x14ac:dyDescent="0.25">
      <c r="A95" s="307" t="s">
        <v>840</v>
      </c>
      <c r="B95" s="1157" t="s">
        <v>662</v>
      </c>
      <c r="C95" s="1154"/>
      <c r="D95" s="310" t="s">
        <v>663</v>
      </c>
      <c r="E95" s="309">
        <v>0</v>
      </c>
      <c r="F95" s="335">
        <v>0</v>
      </c>
      <c r="G95" s="317">
        <v>0</v>
      </c>
      <c r="H95" s="570"/>
    </row>
    <row r="96" spans="1:13" ht="36" hidden="1" customHeight="1" x14ac:dyDescent="0.25">
      <c r="A96" s="307" t="s">
        <v>839</v>
      </c>
      <c r="B96" s="1157" t="s">
        <v>845</v>
      </c>
      <c r="C96" s="1154"/>
      <c r="D96" s="318" t="s">
        <v>844</v>
      </c>
      <c r="E96" s="309">
        <v>0</v>
      </c>
      <c r="F96" s="335">
        <v>0</v>
      </c>
      <c r="G96" s="317">
        <v>0</v>
      </c>
      <c r="H96" s="570"/>
    </row>
    <row r="97" spans="1:14" ht="42.75" customHeight="1" x14ac:dyDescent="0.25">
      <c r="A97" s="845" t="s">
        <v>502</v>
      </c>
      <c r="B97" s="1174" t="s">
        <v>920</v>
      </c>
      <c r="C97" s="1173"/>
      <c r="D97" s="846" t="s">
        <v>921</v>
      </c>
      <c r="E97" s="847">
        <f>E98</f>
        <v>150000</v>
      </c>
      <c r="F97" s="335">
        <v>0</v>
      </c>
      <c r="G97" s="317">
        <v>0</v>
      </c>
      <c r="H97" s="570"/>
    </row>
    <row r="98" spans="1:14" ht="63.75" customHeight="1" x14ac:dyDescent="0.25">
      <c r="A98" s="881" t="s">
        <v>19</v>
      </c>
      <c r="B98" s="1184" t="s">
        <v>1505</v>
      </c>
      <c r="C98" s="1163"/>
      <c r="D98" s="882" t="s">
        <v>1506</v>
      </c>
      <c r="E98" s="883">
        <v>150000</v>
      </c>
      <c r="F98" s="335">
        <v>0</v>
      </c>
      <c r="G98" s="317">
        <v>0</v>
      </c>
      <c r="H98" s="570"/>
    </row>
    <row r="99" spans="1:14" ht="32.25" customHeight="1" x14ac:dyDescent="0.25">
      <c r="A99" s="311" t="s">
        <v>502</v>
      </c>
      <c r="B99" s="1160" t="s">
        <v>1078</v>
      </c>
      <c r="C99" s="1161"/>
      <c r="D99" s="325" t="s">
        <v>885</v>
      </c>
      <c r="E99" s="313">
        <f>E100</f>
        <v>850</v>
      </c>
      <c r="F99" s="336">
        <v>0</v>
      </c>
      <c r="G99" s="333">
        <v>0</v>
      </c>
      <c r="H99" s="570"/>
    </row>
    <row r="100" spans="1:14" ht="51.75" customHeight="1" x14ac:dyDescent="0.25">
      <c r="A100" s="307" t="s">
        <v>19</v>
      </c>
      <c r="B100" s="1157" t="s">
        <v>1079</v>
      </c>
      <c r="C100" s="1154"/>
      <c r="D100" s="318" t="s">
        <v>44</v>
      </c>
      <c r="E100" s="309">
        <v>850</v>
      </c>
      <c r="F100" s="335">
        <v>0</v>
      </c>
      <c r="G100" s="317">
        <v>0</v>
      </c>
      <c r="H100" s="570"/>
    </row>
    <row r="101" spans="1:14" ht="39.75" customHeight="1" x14ac:dyDescent="0.25">
      <c r="A101" s="311" t="s">
        <v>502</v>
      </c>
      <c r="B101" s="1160" t="s">
        <v>819</v>
      </c>
      <c r="C101" s="1161"/>
      <c r="D101" s="312" t="s">
        <v>820</v>
      </c>
      <c r="E101" s="313">
        <f>E109+E111+E115+E116+E119+E126+E127+E128+E131+E104+E105+E106+E107+E112+E113+E118+E121+E124+E133+E134+E135+E117+E110+E120+E108+E102+E103+E125+E130+E123+E114+E129+E122</f>
        <v>3285530.2800000003</v>
      </c>
      <c r="F101" s="313">
        <f>F109+F111+F115+F116+F119+F126+F127+F128+F131+F104+F105+F106+F107+F112+F113+F118+F121+F124+F133+F134+F135+F117+F110+F120+F108</f>
        <v>2374942</v>
      </c>
      <c r="G101" s="319">
        <f>G109+G111+G115+G116+G119+G126+G127+G128+G131+G104+G105+G106+G107+G112+G113+G118+G121+G124+G133+G134+G135+G117+G110+G120+G108</f>
        <v>2469937</v>
      </c>
      <c r="H101" s="570"/>
    </row>
    <row r="102" spans="1:14" ht="83.25" customHeight="1" x14ac:dyDescent="0.25">
      <c r="A102" s="307" t="s">
        <v>15</v>
      </c>
      <c r="B102" s="1157" t="s">
        <v>848</v>
      </c>
      <c r="C102" s="1154"/>
      <c r="D102" s="486" t="s">
        <v>846</v>
      </c>
      <c r="E102" s="309">
        <f>15000+23821+4019.5</f>
        <v>42840.5</v>
      </c>
      <c r="F102" s="309">
        <v>0</v>
      </c>
      <c r="G102" s="691">
        <v>0</v>
      </c>
      <c r="H102" s="570"/>
    </row>
    <row r="103" spans="1:14" ht="53.25" customHeight="1" x14ac:dyDescent="0.25">
      <c r="A103" s="307" t="s">
        <v>15</v>
      </c>
      <c r="B103" s="1157" t="s">
        <v>7</v>
      </c>
      <c r="C103" s="1154"/>
      <c r="D103" s="308" t="s">
        <v>664</v>
      </c>
      <c r="E103" s="309">
        <f>11500+21500+43076+29259</f>
        <v>105335</v>
      </c>
      <c r="F103" s="309">
        <v>0</v>
      </c>
      <c r="G103" s="691">
        <v>0</v>
      </c>
      <c r="H103" s="786"/>
      <c r="I103" s="787"/>
      <c r="J103" s="787"/>
      <c r="K103" s="787"/>
      <c r="L103" s="787"/>
      <c r="M103" s="787"/>
      <c r="N103" s="787"/>
    </row>
    <row r="104" spans="1:14" ht="52.5" customHeight="1" x14ac:dyDescent="0.25">
      <c r="A104" s="307" t="s">
        <v>19</v>
      </c>
      <c r="B104" s="1157" t="s">
        <v>7</v>
      </c>
      <c r="C104" s="1154"/>
      <c r="D104" s="308" t="s">
        <v>664</v>
      </c>
      <c r="E104" s="309">
        <f>950+7550+42500+52000</f>
        <v>103000</v>
      </c>
      <c r="F104" s="309">
        <v>0</v>
      </c>
      <c r="G104" s="691">
        <v>0</v>
      </c>
      <c r="H104" s="786"/>
      <c r="I104" s="787"/>
      <c r="J104" s="787"/>
      <c r="K104" s="787"/>
      <c r="L104" s="787"/>
      <c r="M104" s="787"/>
    </row>
    <row r="105" spans="1:14" ht="65.25" customHeight="1" x14ac:dyDescent="0.25">
      <c r="A105" s="307" t="s">
        <v>14</v>
      </c>
      <c r="B105" s="1157" t="s">
        <v>7</v>
      </c>
      <c r="C105" s="1154"/>
      <c r="D105" s="308" t="s">
        <v>664</v>
      </c>
      <c r="E105" s="309">
        <v>17690</v>
      </c>
      <c r="F105" s="309">
        <v>18397</v>
      </c>
      <c r="G105" s="691">
        <v>19132</v>
      </c>
      <c r="H105" s="570"/>
    </row>
    <row r="106" spans="1:14" ht="66.75" hidden="1" customHeight="1" x14ac:dyDescent="0.25">
      <c r="A106" s="307" t="s">
        <v>19</v>
      </c>
      <c r="B106" s="1157" t="s">
        <v>7</v>
      </c>
      <c r="C106" s="1154"/>
      <c r="D106" s="308" t="s">
        <v>664</v>
      </c>
      <c r="E106" s="309">
        <v>0</v>
      </c>
      <c r="F106" s="309">
        <v>0</v>
      </c>
      <c r="G106" s="691">
        <v>0</v>
      </c>
      <c r="H106" s="570"/>
    </row>
    <row r="107" spans="1:14" ht="97.5" hidden="1" customHeight="1" x14ac:dyDescent="0.25">
      <c r="A107" s="307" t="s">
        <v>847</v>
      </c>
      <c r="B107" s="1157" t="s">
        <v>848</v>
      </c>
      <c r="C107" s="1154"/>
      <c r="D107" s="323" t="s">
        <v>846</v>
      </c>
      <c r="E107" s="309">
        <v>0</v>
      </c>
      <c r="F107" s="309">
        <v>0</v>
      </c>
      <c r="G107" s="691">
        <v>0</v>
      </c>
      <c r="H107" s="570"/>
    </row>
    <row r="108" spans="1:14" ht="60.75" hidden="1" customHeight="1" x14ac:dyDescent="0.25">
      <c r="A108" s="536" t="s">
        <v>19</v>
      </c>
      <c r="B108" s="1162" t="s">
        <v>7</v>
      </c>
      <c r="C108" s="1163"/>
      <c r="D108" s="537" t="s">
        <v>664</v>
      </c>
      <c r="E108" s="525">
        <v>0</v>
      </c>
      <c r="F108" s="309">
        <v>0</v>
      </c>
      <c r="G108" s="691">
        <v>0</v>
      </c>
      <c r="H108" s="570"/>
    </row>
    <row r="109" spans="1:14" ht="17.25" hidden="1" customHeight="1" x14ac:dyDescent="0.25">
      <c r="A109" s="307" t="s">
        <v>14</v>
      </c>
      <c r="B109" s="1157" t="s">
        <v>7</v>
      </c>
      <c r="C109" s="1154"/>
      <c r="D109" s="308" t="s">
        <v>664</v>
      </c>
      <c r="E109" s="309">
        <v>0</v>
      </c>
      <c r="F109" s="317">
        <v>0</v>
      </c>
      <c r="G109" s="317">
        <v>0</v>
      </c>
      <c r="H109" s="570"/>
    </row>
    <row r="110" spans="1:14" ht="49.5" customHeight="1" x14ac:dyDescent="0.25">
      <c r="A110" s="307" t="s">
        <v>6</v>
      </c>
      <c r="B110" s="1157" t="s">
        <v>9</v>
      </c>
      <c r="C110" s="1154"/>
      <c r="D110" s="308" t="s">
        <v>45</v>
      </c>
      <c r="E110" s="309">
        <v>198000</v>
      </c>
      <c r="F110" s="317">
        <v>0</v>
      </c>
      <c r="G110" s="317">
        <v>0</v>
      </c>
      <c r="H110" s="570"/>
    </row>
    <row r="111" spans="1:14" ht="64.5" customHeight="1" x14ac:dyDescent="0.25">
      <c r="A111" s="307" t="s">
        <v>673</v>
      </c>
      <c r="B111" s="1157" t="s">
        <v>7</v>
      </c>
      <c r="C111" s="1154"/>
      <c r="D111" s="308" t="s">
        <v>8</v>
      </c>
      <c r="E111" s="309">
        <v>88620</v>
      </c>
      <c r="F111" s="317">
        <v>92165</v>
      </c>
      <c r="G111" s="317">
        <v>95851</v>
      </c>
      <c r="H111" s="570"/>
    </row>
    <row r="112" spans="1:14" ht="36.75" hidden="1" customHeight="1" x14ac:dyDescent="0.25">
      <c r="A112" s="307" t="s">
        <v>849</v>
      </c>
      <c r="B112" s="1157" t="s">
        <v>7</v>
      </c>
      <c r="C112" s="1154"/>
      <c r="D112" s="308" t="s">
        <v>8</v>
      </c>
      <c r="E112" s="309">
        <v>0</v>
      </c>
      <c r="F112" s="317">
        <v>0</v>
      </c>
      <c r="G112" s="317">
        <v>0</v>
      </c>
      <c r="H112" s="570"/>
    </row>
    <row r="113" spans="1:13" ht="60" hidden="1" customHeight="1" x14ac:dyDescent="0.25">
      <c r="A113" s="307" t="s">
        <v>850</v>
      </c>
      <c r="B113" s="1157" t="s">
        <v>7</v>
      </c>
      <c r="C113" s="1154"/>
      <c r="D113" s="308" t="s">
        <v>8</v>
      </c>
      <c r="E113" s="309">
        <v>0</v>
      </c>
      <c r="F113" s="317">
        <v>0</v>
      </c>
      <c r="G113" s="317">
        <v>0</v>
      </c>
      <c r="H113" s="570"/>
    </row>
    <row r="114" spans="1:13" ht="82.5" customHeight="1" x14ac:dyDescent="0.25">
      <c r="A114" s="884" t="s">
        <v>1540</v>
      </c>
      <c r="B114" s="1153" t="s">
        <v>848</v>
      </c>
      <c r="C114" s="1154"/>
      <c r="D114" s="1010" t="s">
        <v>846</v>
      </c>
      <c r="E114" s="886">
        <v>36000</v>
      </c>
      <c r="F114" s="848">
        <v>0</v>
      </c>
      <c r="G114" s="848">
        <v>0</v>
      </c>
      <c r="H114" s="908"/>
    </row>
    <row r="115" spans="1:13" ht="85.5" customHeight="1" x14ac:dyDescent="0.25">
      <c r="A115" s="307" t="s">
        <v>677</v>
      </c>
      <c r="B115" s="1157" t="s">
        <v>832</v>
      </c>
      <c r="C115" s="1154"/>
      <c r="D115" s="308" t="s">
        <v>679</v>
      </c>
      <c r="E115" s="309">
        <f>10000-5000</f>
        <v>5000</v>
      </c>
      <c r="F115" s="317">
        <v>10400</v>
      </c>
      <c r="G115" s="317">
        <v>10816</v>
      </c>
      <c r="H115" s="570"/>
    </row>
    <row r="116" spans="1:13" ht="99" customHeight="1" x14ac:dyDescent="0.25">
      <c r="A116" s="307" t="s">
        <v>34</v>
      </c>
      <c r="B116" s="1157" t="s">
        <v>694</v>
      </c>
      <c r="C116" s="1154"/>
      <c r="D116" s="310" t="s">
        <v>833</v>
      </c>
      <c r="E116" s="309">
        <f>70000-60000</f>
        <v>10000</v>
      </c>
      <c r="F116" s="317">
        <v>72800</v>
      </c>
      <c r="G116" s="317">
        <v>75712</v>
      </c>
      <c r="H116" s="786"/>
      <c r="I116" s="787"/>
      <c r="J116" s="787"/>
      <c r="K116" s="787"/>
      <c r="L116" s="787"/>
      <c r="M116" s="787"/>
    </row>
    <row r="117" spans="1:13" ht="66" customHeight="1" x14ac:dyDescent="0.25">
      <c r="A117" s="307" t="s">
        <v>34</v>
      </c>
      <c r="B117" s="1157" t="s">
        <v>886</v>
      </c>
      <c r="C117" s="1154"/>
      <c r="D117" s="310" t="s">
        <v>887</v>
      </c>
      <c r="E117" s="309">
        <v>3000</v>
      </c>
      <c r="F117" s="317">
        <v>3120</v>
      </c>
      <c r="G117" s="317">
        <v>3244</v>
      </c>
      <c r="H117" s="570"/>
    </row>
    <row r="118" spans="1:13" ht="78.75" hidden="1" customHeight="1" x14ac:dyDescent="0.25">
      <c r="A118" s="307" t="s">
        <v>34</v>
      </c>
      <c r="B118" s="1157" t="s">
        <v>852</v>
      </c>
      <c r="C118" s="1154"/>
      <c r="D118" s="323" t="s">
        <v>851</v>
      </c>
      <c r="E118" s="309">
        <v>0</v>
      </c>
      <c r="F118" s="317">
        <v>0</v>
      </c>
      <c r="G118" s="317">
        <v>0</v>
      </c>
      <c r="H118" s="570"/>
    </row>
    <row r="119" spans="1:13" ht="67.5" customHeight="1" x14ac:dyDescent="0.25">
      <c r="A119" s="536" t="s">
        <v>47</v>
      </c>
      <c r="B119" s="1162" t="s">
        <v>695</v>
      </c>
      <c r="C119" s="1163"/>
      <c r="D119" s="537" t="s">
        <v>696</v>
      </c>
      <c r="E119" s="525">
        <f>251000+2000+305439+123561</f>
        <v>682000</v>
      </c>
      <c r="F119" s="810">
        <v>227752</v>
      </c>
      <c r="G119" s="810">
        <v>236862</v>
      </c>
      <c r="H119" s="788"/>
      <c r="I119" s="789"/>
      <c r="J119" s="787"/>
      <c r="K119" s="787"/>
      <c r="L119" s="787"/>
      <c r="M119" s="787"/>
    </row>
    <row r="120" spans="1:13" ht="81.75" hidden="1" customHeight="1" x14ac:dyDescent="0.25">
      <c r="A120" s="307" t="s">
        <v>47</v>
      </c>
      <c r="B120" s="1157" t="s">
        <v>1017</v>
      </c>
      <c r="C120" s="1154"/>
      <c r="D120" s="308" t="s">
        <v>1018</v>
      </c>
      <c r="E120" s="309">
        <v>0</v>
      </c>
      <c r="F120" s="317">
        <v>0</v>
      </c>
      <c r="G120" s="317">
        <v>0</v>
      </c>
      <c r="H120" s="570"/>
    </row>
    <row r="121" spans="1:13" ht="75" customHeight="1" x14ac:dyDescent="0.25">
      <c r="A121" s="307" t="s">
        <v>47</v>
      </c>
      <c r="B121" s="1157" t="s">
        <v>854</v>
      </c>
      <c r="C121" s="1154"/>
      <c r="D121" s="318" t="s">
        <v>853</v>
      </c>
      <c r="E121" s="309">
        <f>65000-40000+9282</f>
        <v>34282</v>
      </c>
      <c r="F121" s="317">
        <v>67600</v>
      </c>
      <c r="G121" s="317">
        <v>70304</v>
      </c>
      <c r="H121" s="786"/>
      <c r="I121" s="787"/>
      <c r="J121" s="787"/>
      <c r="K121" s="787"/>
      <c r="L121" s="787"/>
      <c r="M121" s="787"/>
    </row>
    <row r="122" spans="1:13" ht="39.75" customHeight="1" x14ac:dyDescent="0.25">
      <c r="A122" s="884" t="s">
        <v>1080</v>
      </c>
      <c r="B122" s="1153" t="s">
        <v>1081</v>
      </c>
      <c r="C122" s="1154"/>
      <c r="D122" s="885" t="s">
        <v>1542</v>
      </c>
      <c r="E122" s="886">
        <f>654000</f>
        <v>654000</v>
      </c>
      <c r="F122" s="848">
        <v>0</v>
      </c>
      <c r="G122" s="848">
        <v>0</v>
      </c>
      <c r="H122" s="849"/>
      <c r="I122" s="787"/>
      <c r="J122" s="787"/>
      <c r="K122" s="787"/>
      <c r="L122" s="787"/>
      <c r="M122" s="787"/>
    </row>
    <row r="123" spans="1:13" ht="46.5" customHeight="1" x14ac:dyDescent="0.25">
      <c r="A123" s="884" t="s">
        <v>1080</v>
      </c>
      <c r="B123" s="1153" t="s">
        <v>1507</v>
      </c>
      <c r="C123" s="1154"/>
      <c r="D123" s="885" t="s">
        <v>1508</v>
      </c>
      <c r="E123" s="886">
        <f>140000-40000</f>
        <v>100000</v>
      </c>
      <c r="F123" s="848">
        <v>0</v>
      </c>
      <c r="G123" s="848">
        <v>0</v>
      </c>
      <c r="H123" s="849"/>
      <c r="I123" s="787"/>
      <c r="J123" s="787"/>
      <c r="K123" s="787"/>
      <c r="L123" s="787"/>
      <c r="M123" s="787"/>
    </row>
    <row r="124" spans="1:13" ht="51" customHeight="1" x14ac:dyDescent="0.25">
      <c r="A124" s="307" t="s">
        <v>1080</v>
      </c>
      <c r="B124" s="1157" t="s">
        <v>1081</v>
      </c>
      <c r="C124" s="1154"/>
      <c r="D124" s="318" t="s">
        <v>1082</v>
      </c>
      <c r="E124" s="309">
        <f>390000-250000-140000</f>
        <v>0</v>
      </c>
      <c r="F124" s="317">
        <v>405600</v>
      </c>
      <c r="G124" s="317">
        <v>421824</v>
      </c>
      <c r="H124" s="786"/>
      <c r="I124" s="787"/>
      <c r="J124" s="787"/>
      <c r="K124" s="787"/>
      <c r="L124" s="787"/>
      <c r="M124" s="787"/>
    </row>
    <row r="125" spans="1:13" ht="49.9" customHeight="1" x14ac:dyDescent="0.25">
      <c r="A125" s="307" t="s">
        <v>47</v>
      </c>
      <c r="B125" s="1157" t="s">
        <v>1444</v>
      </c>
      <c r="C125" s="1154"/>
      <c r="D125" s="652" t="s">
        <v>1448</v>
      </c>
      <c r="E125" s="309">
        <f>20000+135000+5000</f>
        <v>160000</v>
      </c>
      <c r="F125" s="317">
        <v>0</v>
      </c>
      <c r="G125" s="317">
        <v>0</v>
      </c>
      <c r="H125" s="570"/>
    </row>
    <row r="126" spans="1:13" ht="71.25" customHeight="1" x14ac:dyDescent="0.25">
      <c r="A126" s="307" t="s">
        <v>47</v>
      </c>
      <c r="B126" s="1157" t="s">
        <v>697</v>
      </c>
      <c r="C126" s="1154"/>
      <c r="D126" s="308" t="s">
        <v>8</v>
      </c>
      <c r="E126" s="309">
        <f>1052384-276621.22-10000</f>
        <v>765762.78</v>
      </c>
      <c r="F126" s="317">
        <v>1094479</v>
      </c>
      <c r="G126" s="317">
        <v>1138258</v>
      </c>
      <c r="H126" s="786"/>
      <c r="I126" s="787"/>
      <c r="J126" s="787"/>
      <c r="K126" s="787"/>
      <c r="L126" s="787"/>
      <c r="M126" s="787"/>
    </row>
    <row r="127" spans="1:13" ht="95.25" customHeight="1" x14ac:dyDescent="0.25">
      <c r="A127" s="307" t="s">
        <v>47</v>
      </c>
      <c r="B127" s="1157" t="s">
        <v>698</v>
      </c>
      <c r="C127" s="1154"/>
      <c r="D127" s="308" t="s">
        <v>679</v>
      </c>
      <c r="E127" s="309">
        <f>180858-80858+13422+54578</f>
        <v>168000</v>
      </c>
      <c r="F127" s="317">
        <v>188092</v>
      </c>
      <c r="G127" s="317">
        <v>195616</v>
      </c>
      <c r="H127" s="786"/>
      <c r="I127" s="787"/>
      <c r="J127" s="787"/>
      <c r="K127" s="787"/>
      <c r="L127" s="787"/>
      <c r="M127" s="787"/>
    </row>
    <row r="128" spans="1:13" ht="0.75" hidden="1" customHeight="1" x14ac:dyDescent="0.25">
      <c r="A128" s="307" t="s">
        <v>855</v>
      </c>
      <c r="B128" s="1157" t="s">
        <v>1019</v>
      </c>
      <c r="C128" s="1154"/>
      <c r="D128" s="308" t="s">
        <v>1020</v>
      </c>
      <c r="E128" s="309">
        <v>0</v>
      </c>
      <c r="F128" s="317">
        <v>0</v>
      </c>
      <c r="G128" s="317">
        <v>0</v>
      </c>
      <c r="H128" s="570"/>
    </row>
    <row r="129" spans="1:13" ht="83.25" customHeight="1" x14ac:dyDescent="0.25">
      <c r="A129" s="884" t="s">
        <v>855</v>
      </c>
      <c r="B129" s="1153" t="s">
        <v>698</v>
      </c>
      <c r="C129" s="1154"/>
      <c r="D129" s="1010" t="s">
        <v>1541</v>
      </c>
      <c r="E129" s="886">
        <v>10000</v>
      </c>
      <c r="F129" s="848">
        <v>0</v>
      </c>
      <c r="G129" s="848">
        <v>0</v>
      </c>
      <c r="H129" s="908"/>
    </row>
    <row r="130" spans="1:13" ht="51.75" customHeight="1" x14ac:dyDescent="0.25">
      <c r="A130" s="307" t="s">
        <v>856</v>
      </c>
      <c r="B130" s="1157" t="s">
        <v>697</v>
      </c>
      <c r="C130" s="1154"/>
      <c r="D130" s="308" t="s">
        <v>8</v>
      </c>
      <c r="E130" s="309">
        <v>2000</v>
      </c>
      <c r="F130" s="317">
        <v>0</v>
      </c>
      <c r="G130" s="317">
        <v>0</v>
      </c>
      <c r="H130" s="570"/>
      <c r="M130" s="787"/>
    </row>
    <row r="131" spans="1:13" ht="54" customHeight="1" x14ac:dyDescent="0.25">
      <c r="A131" s="307" t="s">
        <v>46</v>
      </c>
      <c r="B131" s="1157" t="s">
        <v>9</v>
      </c>
      <c r="C131" s="1154"/>
      <c r="D131" s="310" t="s">
        <v>45</v>
      </c>
      <c r="E131" s="309">
        <f>187055-87055</f>
        <v>100000</v>
      </c>
      <c r="F131" s="317">
        <v>194537</v>
      </c>
      <c r="G131" s="317">
        <v>202318</v>
      </c>
      <c r="H131" s="570"/>
    </row>
    <row r="132" spans="1:13" ht="53.25" hidden="1" customHeight="1" x14ac:dyDescent="0.25">
      <c r="A132" s="307"/>
      <c r="B132" s="1157"/>
      <c r="C132" s="1154"/>
      <c r="D132" s="756"/>
      <c r="E132" s="309"/>
      <c r="F132" s="335">
        <v>0</v>
      </c>
      <c r="G132" s="317">
        <v>0</v>
      </c>
      <c r="H132" s="570"/>
    </row>
    <row r="133" spans="1:13" ht="21" hidden="1" customHeight="1" x14ac:dyDescent="0.25">
      <c r="A133" s="307" t="s">
        <v>1021</v>
      </c>
      <c r="B133" s="1157" t="s">
        <v>1022</v>
      </c>
      <c r="C133" s="1154"/>
      <c r="D133" s="322" t="s">
        <v>1023</v>
      </c>
      <c r="E133" s="309">
        <v>0</v>
      </c>
      <c r="F133" s="335">
        <v>0</v>
      </c>
      <c r="G133" s="317">
        <v>0</v>
      </c>
      <c r="H133" s="570"/>
    </row>
    <row r="134" spans="1:13" ht="21.75" hidden="1" customHeight="1" x14ac:dyDescent="0.25">
      <c r="A134" s="307" t="s">
        <v>856</v>
      </c>
      <c r="B134" s="1157" t="s">
        <v>697</v>
      </c>
      <c r="C134" s="1154"/>
      <c r="D134" s="308" t="s">
        <v>8</v>
      </c>
      <c r="E134" s="309">
        <v>0</v>
      </c>
      <c r="F134" s="335">
        <v>0</v>
      </c>
      <c r="G134" s="317">
        <v>0</v>
      </c>
      <c r="H134" s="570"/>
    </row>
    <row r="135" spans="1:13" ht="19.5" hidden="1" customHeight="1" x14ac:dyDescent="0.25">
      <c r="A135" s="307" t="s">
        <v>857</v>
      </c>
      <c r="B135" s="1157" t="s">
        <v>697</v>
      </c>
      <c r="C135" s="1154"/>
      <c r="D135" s="308" t="s">
        <v>8</v>
      </c>
      <c r="E135" s="309">
        <v>0</v>
      </c>
      <c r="F135" s="335">
        <v>0</v>
      </c>
      <c r="G135" s="317">
        <v>0</v>
      </c>
      <c r="H135" s="570"/>
    </row>
    <row r="136" spans="1:13" ht="29.25" customHeight="1" x14ac:dyDescent="0.25">
      <c r="A136" s="311" t="s">
        <v>502</v>
      </c>
      <c r="B136" s="1160" t="s">
        <v>858</v>
      </c>
      <c r="C136" s="1161"/>
      <c r="D136" s="326" t="s">
        <v>859</v>
      </c>
      <c r="E136" s="313">
        <f>E137</f>
        <v>2800</v>
      </c>
      <c r="F136" s="336">
        <v>0</v>
      </c>
      <c r="G136" s="333">
        <v>0</v>
      </c>
      <c r="H136" s="570"/>
    </row>
    <row r="137" spans="1:13" ht="40.5" customHeight="1" x14ac:dyDescent="0.25">
      <c r="A137" s="307" t="s">
        <v>860</v>
      </c>
      <c r="B137" s="1157" t="s">
        <v>861</v>
      </c>
      <c r="C137" s="1154"/>
      <c r="D137" s="323" t="s">
        <v>17</v>
      </c>
      <c r="E137" s="309">
        <v>2800</v>
      </c>
      <c r="F137" s="335">
        <v>0</v>
      </c>
      <c r="G137" s="317">
        <v>0</v>
      </c>
      <c r="H137" s="570"/>
    </row>
    <row r="138" spans="1:13" ht="29.25" customHeight="1" x14ac:dyDescent="0.25">
      <c r="A138" s="307"/>
      <c r="B138" s="1157"/>
      <c r="C138" s="1154"/>
      <c r="D138" s="320" t="s">
        <v>821</v>
      </c>
      <c r="E138" s="313">
        <f>E15+E20+E30+E40+E47+E50+E73+E83+E101+E136+E80+E99</f>
        <v>231131347.21999997</v>
      </c>
      <c r="F138" s="313">
        <f>F15+F20+F30+F40+F47+F50+F73+F83+F101+F136+F80+F97+F99</f>
        <v>174400499.90000001</v>
      </c>
      <c r="G138" s="319">
        <f>G15+G20+G30+G40+G47+G50+G73+G83+G101+G136+G80+G97+G99</f>
        <v>176889355.21000001</v>
      </c>
      <c r="H138" s="570"/>
    </row>
    <row r="139" spans="1:13" ht="32.25" hidden="1" customHeight="1" x14ac:dyDescent="0.25">
      <c r="A139" s="307"/>
      <c r="B139" s="1157"/>
      <c r="C139" s="1154"/>
      <c r="D139" s="320"/>
      <c r="E139" s="309"/>
      <c r="F139" s="317"/>
      <c r="G139" s="317"/>
      <c r="H139" s="570"/>
    </row>
    <row r="140" spans="1:13" ht="32.25" customHeight="1" x14ac:dyDescent="0.25">
      <c r="A140" s="311" t="s">
        <v>502</v>
      </c>
      <c r="B140" s="1160" t="s">
        <v>826</v>
      </c>
      <c r="C140" s="1161"/>
      <c r="D140" s="320" t="s">
        <v>827</v>
      </c>
      <c r="E140" s="313">
        <f>E141+E175</f>
        <v>646411280.96000004</v>
      </c>
      <c r="F140" s="313">
        <f>F142+F143+F147+F154+F158+F160+F162+F163+F164+F165+F166+F169+F175+F159+F161+F156+F149</f>
        <v>583055663.14999986</v>
      </c>
      <c r="G140" s="319">
        <f>G142+G143+G147+G154+G158+G160+G162+G163+G164+G165+G166+G169+G175+G159+G161+G156+G149</f>
        <v>602189049.46999991</v>
      </c>
      <c r="H140" s="570"/>
      <c r="I140" s="330"/>
    </row>
    <row r="141" spans="1:13" ht="57" customHeight="1" x14ac:dyDescent="0.25">
      <c r="A141" s="342" t="s">
        <v>502</v>
      </c>
      <c r="B141" s="1168" t="s">
        <v>931</v>
      </c>
      <c r="C141" s="1169"/>
      <c r="D141" s="343" t="s">
        <v>932</v>
      </c>
      <c r="E141" s="313">
        <f>E144+E157+E168+E170+E173+E174</f>
        <v>675691045.6500001</v>
      </c>
      <c r="F141" s="313">
        <f>F144+F157+F168+F170</f>
        <v>583055663.14999998</v>
      </c>
      <c r="G141" s="319">
        <f>G144+G157+G168+G170</f>
        <v>602189049.47000003</v>
      </c>
      <c r="H141" s="570"/>
      <c r="J141" s="330"/>
      <c r="K141" s="330"/>
      <c r="L141" s="330"/>
    </row>
    <row r="142" spans="1:13" ht="38.25" customHeight="1" x14ac:dyDescent="0.25">
      <c r="A142" s="307" t="s">
        <v>16</v>
      </c>
      <c r="B142" s="1157" t="s">
        <v>1373</v>
      </c>
      <c r="C142" s="1154"/>
      <c r="D142" s="310" t="s">
        <v>653</v>
      </c>
      <c r="E142" s="309">
        <v>63426</v>
      </c>
      <c r="F142" s="317">
        <v>71200</v>
      </c>
      <c r="G142" s="317">
        <v>64900</v>
      </c>
      <c r="H142" s="570"/>
    </row>
    <row r="143" spans="1:13" ht="39.75" customHeight="1" x14ac:dyDescent="0.25">
      <c r="A143" s="1079" t="s">
        <v>16</v>
      </c>
      <c r="B143" s="1158" t="s">
        <v>1551</v>
      </c>
      <c r="C143" s="1159"/>
      <c r="D143" s="436" t="s">
        <v>834</v>
      </c>
      <c r="E143" s="1020">
        <f>2825100+3254600+4734300</f>
        <v>10814000</v>
      </c>
      <c r="F143" s="317">
        <v>0</v>
      </c>
      <c r="G143" s="317">
        <v>0</v>
      </c>
      <c r="H143" s="317"/>
    </row>
    <row r="144" spans="1:13" ht="27" customHeight="1" x14ac:dyDescent="0.25">
      <c r="A144" s="307"/>
      <c r="B144" s="1157"/>
      <c r="C144" s="1154"/>
      <c r="D144" s="327" t="s">
        <v>836</v>
      </c>
      <c r="E144" s="328">
        <f>E142+E143</f>
        <v>10877426</v>
      </c>
      <c r="F144" s="328">
        <f>F142</f>
        <v>71200</v>
      </c>
      <c r="G144" s="693">
        <f>G142</f>
        <v>64900</v>
      </c>
      <c r="H144" s="571"/>
    </row>
    <row r="145" spans="1:12" ht="129" customHeight="1" x14ac:dyDescent="0.25">
      <c r="A145" s="307" t="s">
        <v>15</v>
      </c>
      <c r="B145" s="1157" t="s">
        <v>1431</v>
      </c>
      <c r="C145" s="1154"/>
      <c r="D145" s="310" t="s">
        <v>1430</v>
      </c>
      <c r="E145" s="309">
        <f>19441179.39+5691657.37</f>
        <v>25132836.760000002</v>
      </c>
      <c r="F145" s="328">
        <v>0</v>
      </c>
      <c r="G145" s="693">
        <v>0</v>
      </c>
      <c r="H145" s="571"/>
    </row>
    <row r="146" spans="1:12" ht="100.9" customHeight="1" x14ac:dyDescent="0.25">
      <c r="A146" s="307" t="s">
        <v>15</v>
      </c>
      <c r="B146" s="1157" t="s">
        <v>1433</v>
      </c>
      <c r="C146" s="1154"/>
      <c r="D146" s="310" t="s">
        <v>1432</v>
      </c>
      <c r="E146" s="309">
        <v>7133935.2999999998</v>
      </c>
      <c r="F146" s="328">
        <v>0</v>
      </c>
      <c r="G146" s="693">
        <v>0</v>
      </c>
      <c r="H146" s="571"/>
    </row>
    <row r="147" spans="1:12" ht="51" customHeight="1" x14ac:dyDescent="0.25">
      <c r="A147" s="307" t="s">
        <v>15</v>
      </c>
      <c r="B147" s="1157" t="s">
        <v>1374</v>
      </c>
      <c r="C147" s="1154"/>
      <c r="D147" s="310" t="s">
        <v>1369</v>
      </c>
      <c r="E147" s="309">
        <f>1355000+24</f>
        <v>1355024</v>
      </c>
      <c r="F147" s="317">
        <v>0</v>
      </c>
      <c r="G147" s="317">
        <v>0</v>
      </c>
      <c r="H147" s="570"/>
    </row>
    <row r="148" spans="1:12" ht="137.25" hidden="1" customHeight="1" x14ac:dyDescent="0.25">
      <c r="A148" s="307" t="s">
        <v>15</v>
      </c>
      <c r="B148" s="1157" t="s">
        <v>1053</v>
      </c>
      <c r="C148" s="1154"/>
      <c r="D148" s="308" t="s">
        <v>1054</v>
      </c>
      <c r="E148" s="309">
        <v>0</v>
      </c>
      <c r="F148" s="317">
        <v>0</v>
      </c>
      <c r="G148" s="317">
        <v>0</v>
      </c>
      <c r="H148" s="570"/>
    </row>
    <row r="149" spans="1:12" ht="30.75" customHeight="1" x14ac:dyDescent="0.25">
      <c r="A149" s="307" t="s">
        <v>15</v>
      </c>
      <c r="B149" s="1157" t="s">
        <v>1375</v>
      </c>
      <c r="C149" s="1154"/>
      <c r="D149" s="310" t="s">
        <v>703</v>
      </c>
      <c r="E149" s="309">
        <f>64000+1000000+2000000</f>
        <v>3064000</v>
      </c>
      <c r="F149" s="317">
        <v>631300</v>
      </c>
      <c r="G149" s="317">
        <v>841400</v>
      </c>
      <c r="H149" s="570"/>
    </row>
    <row r="150" spans="1:12" ht="28.5" hidden="1" customHeight="1" x14ac:dyDescent="0.25">
      <c r="A150" s="307" t="s">
        <v>15</v>
      </c>
      <c r="B150" s="1157" t="s">
        <v>792</v>
      </c>
      <c r="C150" s="1154"/>
      <c r="D150" s="310" t="s">
        <v>1000</v>
      </c>
      <c r="E150" s="309">
        <v>0</v>
      </c>
      <c r="F150" s="317">
        <v>0</v>
      </c>
      <c r="G150" s="317">
        <v>0</v>
      </c>
      <c r="H150" s="570"/>
    </row>
    <row r="151" spans="1:12" ht="27.75" hidden="1" customHeight="1" x14ac:dyDescent="0.25">
      <c r="A151" s="307" t="s">
        <v>15</v>
      </c>
      <c r="B151" s="1157" t="s">
        <v>1038</v>
      </c>
      <c r="C151" s="1154"/>
      <c r="D151" s="310" t="s">
        <v>1039</v>
      </c>
      <c r="E151" s="309">
        <v>0</v>
      </c>
      <c r="F151" s="317">
        <v>0</v>
      </c>
      <c r="G151" s="317">
        <v>0</v>
      </c>
      <c r="H151" s="570"/>
    </row>
    <row r="152" spans="1:12" ht="34.5" hidden="1" customHeight="1" x14ac:dyDescent="0.25">
      <c r="A152" s="307" t="s">
        <v>18</v>
      </c>
      <c r="B152" s="1157" t="s">
        <v>992</v>
      </c>
      <c r="C152" s="1154"/>
      <c r="D152" s="310" t="s">
        <v>993</v>
      </c>
      <c r="E152" s="309">
        <v>0</v>
      </c>
      <c r="F152" s="317">
        <v>0</v>
      </c>
      <c r="G152" s="317">
        <v>0</v>
      </c>
      <c r="H152" s="570"/>
    </row>
    <row r="153" spans="1:12" ht="30.75" customHeight="1" x14ac:dyDescent="0.25">
      <c r="A153" s="307" t="s">
        <v>15</v>
      </c>
      <c r="B153" s="1157" t="s">
        <v>1375</v>
      </c>
      <c r="C153" s="1154"/>
      <c r="D153" s="310" t="s">
        <v>703</v>
      </c>
      <c r="E153" s="309">
        <f>2595672.91+870000+3106595+240000+100000+290000+40000+140000-3106595</f>
        <v>4275672.91</v>
      </c>
      <c r="F153" s="317">
        <v>0</v>
      </c>
      <c r="G153" s="317">
        <v>0</v>
      </c>
      <c r="H153" s="570"/>
    </row>
    <row r="154" spans="1:12" ht="41.25" customHeight="1" x14ac:dyDescent="0.25">
      <c r="A154" s="307" t="s">
        <v>16</v>
      </c>
      <c r="B154" s="1157" t="s">
        <v>1376</v>
      </c>
      <c r="C154" s="1154"/>
      <c r="D154" s="310" t="s">
        <v>1089</v>
      </c>
      <c r="E154" s="309">
        <f>221130900-2408500-22</f>
        <v>218722378</v>
      </c>
      <c r="F154" s="317">
        <f>241484100+21</f>
        <v>241484121</v>
      </c>
      <c r="G154" s="317">
        <f>246034200+45</f>
        <v>246034245</v>
      </c>
      <c r="H154" s="570"/>
    </row>
    <row r="155" spans="1:12" ht="66" customHeight="1" x14ac:dyDescent="0.25">
      <c r="A155" s="307" t="s">
        <v>18</v>
      </c>
      <c r="B155" s="1157" t="s">
        <v>1476</v>
      </c>
      <c r="C155" s="1154"/>
      <c r="D155" s="310" t="s">
        <v>1477</v>
      </c>
      <c r="E155" s="309">
        <v>3234292.31</v>
      </c>
      <c r="F155" s="335">
        <v>0</v>
      </c>
      <c r="G155" s="317">
        <v>0</v>
      </c>
      <c r="H155" s="570"/>
    </row>
    <row r="156" spans="1:12" ht="36" customHeight="1" x14ac:dyDescent="0.25">
      <c r="A156" s="1079" t="s">
        <v>18</v>
      </c>
      <c r="B156" s="1158" t="s">
        <v>1375</v>
      </c>
      <c r="C156" s="1159"/>
      <c r="D156" s="436" t="s">
        <v>703</v>
      </c>
      <c r="E156" s="1020">
        <f>1394300+659200-11.79+32.02+17824500+679787.84+3106595-3106595+41199.27</f>
        <v>20599007.34</v>
      </c>
      <c r="F156" s="335">
        <f>246000+1394300-1.98+32.27</f>
        <v>1640330.29</v>
      </c>
      <c r="G156" s="317">
        <f>327800+411600+39.67+43.14</f>
        <v>739482.81</v>
      </c>
      <c r="H156" s="570"/>
    </row>
    <row r="157" spans="1:12" ht="30.75" customHeight="1" x14ac:dyDescent="0.25">
      <c r="A157" s="307"/>
      <c r="B157" s="1164"/>
      <c r="C157" s="1165"/>
      <c r="D157" s="310" t="s">
        <v>836</v>
      </c>
      <c r="E157" s="328">
        <f>E147+E154+E149+E152+E150+E151+E148+E156+E145+E146+E155+E153</f>
        <v>283517146.62000006</v>
      </c>
      <c r="F157" s="328">
        <f>F147+F154+F156+F149</f>
        <v>243755751.28999999</v>
      </c>
      <c r="G157" s="693">
        <f>G147+G154+G156+G149</f>
        <v>247615127.81</v>
      </c>
      <c r="H157" s="570"/>
    </row>
    <row r="158" spans="1:12" ht="78.75" customHeight="1" x14ac:dyDescent="0.25">
      <c r="A158" s="307" t="s">
        <v>15</v>
      </c>
      <c r="B158" s="1157" t="s">
        <v>1377</v>
      </c>
      <c r="C158" s="1154"/>
      <c r="D158" s="310" t="s">
        <v>699</v>
      </c>
      <c r="E158" s="309">
        <f>6320200-40+1053360-1535076.82-2106720</f>
        <v>3731723.1799999997</v>
      </c>
      <c r="F158" s="317">
        <v>5266800</v>
      </c>
      <c r="G158" s="317">
        <v>5266800</v>
      </c>
      <c r="H158" s="570"/>
      <c r="J158" s="330"/>
      <c r="K158" s="330"/>
    </row>
    <row r="159" spans="1:12" ht="65.25" customHeight="1" x14ac:dyDescent="0.25">
      <c r="A159" s="193" t="s">
        <v>15</v>
      </c>
      <c r="B159" s="1144" t="s">
        <v>1378</v>
      </c>
      <c r="C159" s="1145"/>
      <c r="D159" s="268" t="s">
        <v>930</v>
      </c>
      <c r="E159" s="195">
        <f>27900-8</f>
        <v>27892</v>
      </c>
      <c r="F159" s="317">
        <f>29400+5</f>
        <v>29405</v>
      </c>
      <c r="G159" s="317">
        <f>31100+53</f>
        <v>31153</v>
      </c>
      <c r="H159" s="570"/>
      <c r="J159" s="330"/>
      <c r="K159" s="330"/>
      <c r="L159" s="330"/>
    </row>
    <row r="160" spans="1:12" ht="37.5" customHeight="1" x14ac:dyDescent="0.25">
      <c r="A160" s="1065" t="s">
        <v>15</v>
      </c>
      <c r="B160" s="1158" t="s">
        <v>1379</v>
      </c>
      <c r="C160" s="1159"/>
      <c r="D160" s="451" t="s">
        <v>185</v>
      </c>
      <c r="E160" s="1020">
        <f>88860286.09+63776.87+18.95+6135.71+6135.71-27680275.22+6151.71+370.18+42.64-26.53+21.43-26.53-42.53+8361841.85+31.49+532014.97+53577.43+10171669.98+53577.43+54404.43+3143+15039590.49+7948046.55+4081811.64+2011812.85</f>
        <v>109574090.59</v>
      </c>
      <c r="F160" s="317">
        <f>87107200+584400+21900+573400+573400+29.82-24.78-18.95+63776.87+18.95+29535.71+29535.71-27680275.22+29551.71+370.18+21.43+42.64+27.66+27.66+11.66+41.99+55597.97+55597.97+56424.97+3143+732181.13</f>
        <v>62235918.079999976</v>
      </c>
      <c r="G160" s="317">
        <f>87107200+21900+573400+584400+573400+29.82-24.78-18.95+63776.87+18.95+70735.71+70735.71-27680275.22+70651.71+370.18-18500-18600-18600+21.43+42.64-29.38-29.38-45.38+41.99+57539.28+57539.28+58366.28+3143+758794.46</f>
        <v>62335984.219999984</v>
      </c>
      <c r="H160" s="570"/>
      <c r="I160" s="330"/>
      <c r="J160" s="330"/>
      <c r="K160" s="330"/>
    </row>
    <row r="161" spans="1:14" ht="51" customHeight="1" x14ac:dyDescent="0.25">
      <c r="A161" s="329" t="s">
        <v>1090</v>
      </c>
      <c r="B161" s="1157" t="s">
        <v>1380</v>
      </c>
      <c r="C161" s="1154"/>
      <c r="D161" s="310" t="s">
        <v>1091</v>
      </c>
      <c r="E161" s="309">
        <f>2402100+6-573729.13</f>
        <v>1828376.87</v>
      </c>
      <c r="F161" s="317">
        <f>2432700-13</f>
        <v>2432687</v>
      </c>
      <c r="G161" s="317">
        <f>2452200+25</f>
        <v>2452225</v>
      </c>
      <c r="H161" s="570"/>
      <c r="I161" s="330"/>
      <c r="J161" s="330"/>
      <c r="K161" s="330"/>
    </row>
    <row r="162" spans="1:14" ht="92.25" customHeight="1" x14ac:dyDescent="0.25">
      <c r="A162" s="1079" t="s">
        <v>18</v>
      </c>
      <c r="B162" s="1170" t="s">
        <v>1381</v>
      </c>
      <c r="C162" s="1171"/>
      <c r="D162" s="436" t="s">
        <v>700</v>
      </c>
      <c r="E162" s="1020">
        <f>12028800-8.33+460608.33+27.7+1706663.42</f>
        <v>14196091.119999999</v>
      </c>
      <c r="F162" s="317">
        <f>12028800-8.33+460608.33+27.7</f>
        <v>12489427.699999999</v>
      </c>
      <c r="G162" s="317">
        <f>12028800-8.33+460608.33+27.7</f>
        <v>12489427.699999999</v>
      </c>
      <c r="H162" s="570"/>
    </row>
    <row r="163" spans="1:14" ht="66" customHeight="1" x14ac:dyDescent="0.25">
      <c r="A163" s="307" t="s">
        <v>18</v>
      </c>
      <c r="B163" s="1164" t="s">
        <v>1379</v>
      </c>
      <c r="C163" s="1165"/>
      <c r="D163" s="310" t="s">
        <v>701</v>
      </c>
      <c r="E163" s="309">
        <f>501700+35.91+1119287.54</f>
        <v>1621023.45</v>
      </c>
      <c r="F163" s="317">
        <v>1046600</v>
      </c>
      <c r="G163" s="317">
        <f>1032100+42.52+537757.48</f>
        <v>1569900</v>
      </c>
      <c r="H163" s="570"/>
    </row>
    <row r="164" spans="1:14" ht="32.25" customHeight="1" x14ac:dyDescent="0.25">
      <c r="A164" s="307" t="s">
        <v>18</v>
      </c>
      <c r="B164" s="1164" t="s">
        <v>1379</v>
      </c>
      <c r="C164" s="1165"/>
      <c r="D164" s="327" t="s">
        <v>185</v>
      </c>
      <c r="E164" s="309">
        <f>1750200+116800+37.12-8.85+63801.73+56007.12-56437.12+300-37700+20.42+77.96+160732.26</f>
        <v>2053830.64</v>
      </c>
      <c r="F164" s="317">
        <f>1750200+120900+6.05-8.85+63801.73-4068.93+127807.12-53737.12-39100-17.02+166793.9</f>
        <v>2132576.88</v>
      </c>
      <c r="G164" s="317">
        <f>1750200+120900+6.05-8.85+63801.73+254007.12-57806.05-97700+11.86+172617.84</f>
        <v>2206029.7000000002</v>
      </c>
      <c r="H164" s="570"/>
    </row>
    <row r="165" spans="1:14" ht="58.5" customHeight="1" x14ac:dyDescent="0.3">
      <c r="A165" s="307" t="s">
        <v>18</v>
      </c>
      <c r="B165" s="1166" t="s">
        <v>1382</v>
      </c>
      <c r="C165" s="1167"/>
      <c r="D165" s="331" t="s">
        <v>186</v>
      </c>
      <c r="E165" s="309">
        <f>13315800+36.49+13363.51+36.14-118305.84-565137.93</f>
        <v>12645792.370000001</v>
      </c>
      <c r="F165" s="317">
        <f>13315836.49+471063.51-100</f>
        <v>13786800</v>
      </c>
      <c r="G165" s="317">
        <f>13391400+395400</f>
        <v>13786800</v>
      </c>
      <c r="H165" s="570"/>
    </row>
    <row r="166" spans="1:14" ht="57" customHeight="1" x14ac:dyDescent="0.3">
      <c r="A166" s="307" t="s">
        <v>18</v>
      </c>
      <c r="B166" s="1166" t="s">
        <v>1379</v>
      </c>
      <c r="C166" s="1167"/>
      <c r="D166" s="331" t="s">
        <v>702</v>
      </c>
      <c r="E166" s="309">
        <f>209192387.76+15301412.24+22.62+298967.66</f>
        <v>224792790.28</v>
      </c>
      <c r="F166" s="317">
        <f>216832762.19+22399737.81-2.8</f>
        <v>239232497.19999999</v>
      </c>
      <c r="G166" s="317">
        <f>216832800-37.81+44759037.81-7797100+2.04</f>
        <v>253794702.03999999</v>
      </c>
      <c r="H166" s="570"/>
    </row>
    <row r="167" spans="1:14" ht="80.25" customHeight="1" x14ac:dyDescent="0.3">
      <c r="A167" s="1080" t="s">
        <v>18</v>
      </c>
      <c r="B167" s="1155" t="s">
        <v>1379</v>
      </c>
      <c r="C167" s="1156"/>
      <c r="D167" s="1053" t="s">
        <v>1525</v>
      </c>
      <c r="E167" s="1081">
        <f>1730736+288456-238966</f>
        <v>1780226</v>
      </c>
      <c r="F167" s="961">
        <v>0</v>
      </c>
      <c r="G167" s="848">
        <v>0</v>
      </c>
      <c r="H167" s="908"/>
    </row>
    <row r="168" spans="1:14" ht="22.5" customHeight="1" x14ac:dyDescent="0.3">
      <c r="A168" s="307"/>
      <c r="B168" s="1166"/>
      <c r="C168" s="1167"/>
      <c r="D168" s="331" t="s">
        <v>836</v>
      </c>
      <c r="E168" s="328">
        <f>E158+E160+E162+E163+E164+E165+E166+E159+E161+E167</f>
        <v>372251836.5</v>
      </c>
      <c r="F168" s="328">
        <f>F158+F160+F162+F163+F164+F165+F166+F159+F161</f>
        <v>338652711.85999995</v>
      </c>
      <c r="G168" s="693">
        <f>G158+G160+G162+G163+G164+G165+G166+G159+G161</f>
        <v>353933021.65999997</v>
      </c>
      <c r="H168" s="570"/>
      <c r="J168" s="330"/>
      <c r="K168" s="330"/>
      <c r="N168" s="330"/>
    </row>
    <row r="169" spans="1:14" ht="84" customHeight="1" x14ac:dyDescent="0.25">
      <c r="A169" s="1079" t="s">
        <v>16</v>
      </c>
      <c r="B169" s="1158" t="s">
        <v>1383</v>
      </c>
      <c r="C169" s="1159"/>
      <c r="D169" s="453" t="s">
        <v>711</v>
      </c>
      <c r="E169" s="1020">
        <f>624996+2580000+100000+73304+100000+40000+40000+1000+20000+225348.07+9338.46</f>
        <v>3813986.53</v>
      </c>
      <c r="F169" s="317">
        <v>576000</v>
      </c>
      <c r="G169" s="317">
        <v>576000</v>
      </c>
      <c r="H169" s="570"/>
    </row>
    <row r="170" spans="1:14" ht="21.75" customHeight="1" x14ac:dyDescent="0.25">
      <c r="A170" s="307"/>
      <c r="B170" s="1157"/>
      <c r="C170" s="1154"/>
      <c r="D170" s="331" t="s">
        <v>835</v>
      </c>
      <c r="E170" s="328">
        <f>E169</f>
        <v>3813986.53</v>
      </c>
      <c r="F170" s="337">
        <f>F169</f>
        <v>576000</v>
      </c>
      <c r="G170" s="337">
        <f>G169</f>
        <v>576000</v>
      </c>
      <c r="H170" s="570"/>
    </row>
    <row r="171" spans="1:14" ht="35.25" customHeight="1" x14ac:dyDescent="0.25">
      <c r="A171" s="307" t="s">
        <v>15</v>
      </c>
      <c r="B171" s="1157" t="s">
        <v>1517</v>
      </c>
      <c r="C171" s="1154"/>
      <c r="D171" s="331" t="s">
        <v>868</v>
      </c>
      <c r="E171" s="309">
        <f>50000+100000+25000+50000</f>
        <v>225000</v>
      </c>
      <c r="F171" s="317">
        <v>0</v>
      </c>
      <c r="G171" s="317">
        <v>0</v>
      </c>
      <c r="H171" s="570"/>
    </row>
    <row r="172" spans="1:14" ht="35.25" customHeight="1" x14ac:dyDescent="0.25">
      <c r="A172" s="884" t="s">
        <v>18</v>
      </c>
      <c r="B172" s="1153" t="s">
        <v>1517</v>
      </c>
      <c r="C172" s="1154"/>
      <c r="D172" s="959" t="s">
        <v>868</v>
      </c>
      <c r="E172" s="886">
        <v>2301000</v>
      </c>
      <c r="F172" s="848">
        <v>0</v>
      </c>
      <c r="G172" s="848">
        <v>0</v>
      </c>
      <c r="H172" s="908"/>
    </row>
    <row r="173" spans="1:14" ht="21.75" customHeight="1" x14ac:dyDescent="0.25">
      <c r="A173" s="307"/>
      <c r="B173" s="1157"/>
      <c r="C173" s="1154"/>
      <c r="D173" s="331" t="s">
        <v>835</v>
      </c>
      <c r="E173" s="328">
        <f>E171+E172</f>
        <v>2526000</v>
      </c>
      <c r="F173" s="337">
        <v>0</v>
      </c>
      <c r="G173" s="337">
        <v>0</v>
      </c>
      <c r="H173" s="570"/>
    </row>
    <row r="174" spans="1:14" ht="36" customHeight="1" x14ac:dyDescent="0.25">
      <c r="A174" s="884" t="s">
        <v>15</v>
      </c>
      <c r="B174" s="1153" t="s">
        <v>1538</v>
      </c>
      <c r="C174" s="1154"/>
      <c r="D174" s="959" t="s">
        <v>1539</v>
      </c>
      <c r="E174" s="886">
        <v>2704650</v>
      </c>
      <c r="F174" s="990">
        <v>0</v>
      </c>
      <c r="G174" s="990">
        <v>0</v>
      </c>
      <c r="H174" s="908"/>
    </row>
    <row r="175" spans="1:14" ht="66.75" customHeight="1" x14ac:dyDescent="0.25">
      <c r="A175" s="329" t="s">
        <v>15</v>
      </c>
      <c r="B175" s="1157" t="s">
        <v>1384</v>
      </c>
      <c r="C175" s="1154"/>
      <c r="D175" s="310" t="s">
        <v>750</v>
      </c>
      <c r="E175" s="309">
        <f>-26575114.69-2704650</f>
        <v>-29279764.690000001</v>
      </c>
      <c r="F175" s="317">
        <v>0</v>
      </c>
      <c r="G175" s="317">
        <v>0</v>
      </c>
      <c r="H175" s="570"/>
    </row>
    <row r="176" spans="1:14" ht="32.25" customHeight="1" x14ac:dyDescent="0.25">
      <c r="A176" s="329"/>
      <c r="B176" s="1157"/>
      <c r="C176" s="1154"/>
      <c r="D176" s="320" t="s">
        <v>827</v>
      </c>
      <c r="E176" s="309">
        <f>E144+E157+E168+E170+E173+E174</f>
        <v>675691045.6500001</v>
      </c>
      <c r="F176" s="309">
        <f>F144+F157+F168+F170</f>
        <v>583055663.14999998</v>
      </c>
      <c r="G176" s="691">
        <f>G144+G157+G168+G170</f>
        <v>602189049.47000003</v>
      </c>
      <c r="H176" s="570"/>
    </row>
    <row r="177" spans="1:8" ht="30.75" customHeight="1" x14ac:dyDescent="0.25">
      <c r="A177" s="307"/>
      <c r="B177" s="1164"/>
      <c r="C177" s="1165"/>
      <c r="D177" s="320" t="s">
        <v>828</v>
      </c>
      <c r="E177" s="319">
        <f>E138+E140</f>
        <v>877542628.18000007</v>
      </c>
      <c r="F177" s="319">
        <f>F13+F176</f>
        <v>757456163.04999995</v>
      </c>
      <c r="G177" s="319">
        <f>G13+G176</f>
        <v>779078404.68000007</v>
      </c>
      <c r="H177" s="570"/>
    </row>
    <row r="178" spans="1:8" ht="13.5" customHeight="1" x14ac:dyDescent="0.25"/>
    <row r="179" spans="1:8" ht="24.75" hidden="1" customHeight="1" x14ac:dyDescent="0.25"/>
    <row r="180" spans="1:8" hidden="1" x14ac:dyDescent="0.25">
      <c r="A180" s="332"/>
      <c r="B180" s="769"/>
      <c r="C180" s="770" t="s">
        <v>15</v>
      </c>
      <c r="D180" s="769"/>
      <c r="E180" s="769">
        <f>E147+E158+E160+E175+E137+E149+E171+E70+E159+E150+E151+E145+E146+E102+E103+E71+E153</f>
        <v>127578861.29000001</v>
      </c>
      <c r="F180" s="769">
        <f>F147+F158+F160+F175</f>
        <v>67502718.079999983</v>
      </c>
      <c r="G180" s="769">
        <f>G147+G158+G160+G175</f>
        <v>67602784.219999984</v>
      </c>
    </row>
    <row r="181" spans="1:8" ht="26.25" hidden="1" customHeight="1" x14ac:dyDescent="0.25">
      <c r="A181" s="332"/>
      <c r="C181" s="770" t="s">
        <v>16</v>
      </c>
      <c r="D181" s="769"/>
      <c r="E181" s="769">
        <f>E142+E143+E52+E169+E161+E154</f>
        <v>235415055.77000001</v>
      </c>
      <c r="F181" s="769">
        <f>F142+F143+F52+F169</f>
        <v>647200</v>
      </c>
      <c r="G181" s="769">
        <f>G142+G143+G52+G169</f>
        <v>640900</v>
      </c>
    </row>
    <row r="182" spans="1:8" hidden="1" x14ac:dyDescent="0.25">
      <c r="A182" s="332"/>
      <c r="C182" s="770" t="s">
        <v>18</v>
      </c>
      <c r="D182" s="769"/>
      <c r="E182" s="769">
        <f>E162+E163+E164+E165+E166+E81+E152+E156+E155+E172+E167</f>
        <v>283294053.50999999</v>
      </c>
      <c r="F182" s="769">
        <f>F154+F162+F163+F164+F165+F166</f>
        <v>510172022.77999997</v>
      </c>
      <c r="G182" s="769">
        <f>G154+G162+G163+G164+G165+G166</f>
        <v>529881104.43999994</v>
      </c>
    </row>
    <row r="183" spans="1:8" hidden="1" x14ac:dyDescent="0.25">
      <c r="A183" s="332"/>
      <c r="C183" s="770" t="s">
        <v>19</v>
      </c>
      <c r="D183" s="769"/>
      <c r="E183" s="769">
        <f>E54+E59+E64+E72+E85+E88+E92+E106+E62+E98+E66+E68+E108+E49+E100+E55+E104+E82</f>
        <v>17799080.219999999</v>
      </c>
      <c r="F183" s="769">
        <f>F54+F56+F59+F64+F72+F85+F88+F89+F92</f>
        <v>6350000</v>
      </c>
      <c r="G183" s="769">
        <f>G54+G56+G59+G64+G72+G85+G88+G89+G92</f>
        <v>6350000</v>
      </c>
    </row>
    <row r="184" spans="1:8" hidden="1" x14ac:dyDescent="0.25">
      <c r="A184" s="332"/>
      <c r="C184" s="770" t="s">
        <v>712</v>
      </c>
      <c r="D184" s="769"/>
      <c r="E184" s="769">
        <f>E16+E17+E18+E22+E24+E26+E28+E35+E36+E39+E44+E48+E75+E76+E77+E78+E109+E111+E115+E116+E119+E126+E127+E128+E131+E37+E57+E60+E61+E63+E94+E95+E96+E107+E112+E113+E118+E121+E124+E133+E134+E135+E117+E46+E56+E58+E79+E89+E90+E91+E110+E120+E105+E32+E25+E23+E19+E27+E29+E33+E42+E125+E45+E130+E123</f>
        <v>210050927.38999999</v>
      </c>
      <c r="F184" s="769">
        <f>F16+F17+F18+F22+F24+F26+F28+F35+F36+F39+F44+F48+F75+F76+F77+F78+F109+F111+F115+F116+F119+F126+F127+F128+F131</f>
        <v>134148054.69000001</v>
      </c>
      <c r="G184" s="769">
        <f>G16+G17+G18+G22+G24+G26+G28+G35+G36+G39+G44+G48+G75+G76+G77+G78+G109+G111+G115+G116+G119+G126+G127+G128+G131</f>
        <v>136475508</v>
      </c>
    </row>
    <row r="185" spans="1:8" hidden="1" x14ac:dyDescent="0.25">
      <c r="A185" s="332"/>
      <c r="D185" s="769"/>
      <c r="E185" s="769">
        <f>E180+E181+E182+E183+E184</f>
        <v>874137978.17999995</v>
      </c>
      <c r="F185" s="769">
        <f>F180+F181+F182+F183+F184</f>
        <v>718819995.54999995</v>
      </c>
      <c r="G185" s="769">
        <f>G180+G181+G182+G183+G184</f>
        <v>740950296.65999997</v>
      </c>
    </row>
    <row r="186" spans="1:8" hidden="1" x14ac:dyDescent="0.25">
      <c r="C186" s="770" t="s">
        <v>714</v>
      </c>
      <c r="D186" s="769"/>
      <c r="E186" s="769">
        <f>E142+E143+E147+E154+E158+E160+E162+E163+E164+E165+E166+E169+E171+E149+E159+E150+E152+E151+E148+E172+E161+E155+E156+E153+E146+E145</f>
        <v>671206169.64999986</v>
      </c>
      <c r="F186" s="769">
        <f>F142+F143+F147+F154+F158+F160+F162+F163+F164+F165+F166+F169</f>
        <v>578321940.8599999</v>
      </c>
      <c r="G186" s="769">
        <f>G142+G143+G147+G154+G158+G160+G162+G163+G164+G165+G166+G169</f>
        <v>598124788.65999997</v>
      </c>
    </row>
    <row r="187" spans="1:8" hidden="1" x14ac:dyDescent="0.25">
      <c r="C187" s="770" t="s">
        <v>837</v>
      </c>
      <c r="D187" s="769"/>
      <c r="E187" s="769">
        <f>E13</f>
        <v>231131347.21999997</v>
      </c>
      <c r="F187" s="769">
        <f>F13</f>
        <v>174400499.90000001</v>
      </c>
      <c r="G187" s="769">
        <f>G13</f>
        <v>176889355.21000001</v>
      </c>
    </row>
    <row r="188" spans="1:8" hidden="1" x14ac:dyDescent="0.25">
      <c r="C188" s="770" t="s">
        <v>751</v>
      </c>
      <c r="E188" s="769">
        <f>E186+E175</f>
        <v>641926404.9599998</v>
      </c>
      <c r="F188" s="769">
        <f>F186+F175</f>
        <v>578321940.8599999</v>
      </c>
      <c r="G188" s="769">
        <f>G186+G175</f>
        <v>598124788.65999997</v>
      </c>
    </row>
    <row r="189" spans="1:8" hidden="1" x14ac:dyDescent="0.25">
      <c r="D189" s="769"/>
    </row>
    <row r="190" spans="1:8" hidden="1" x14ac:dyDescent="0.25">
      <c r="E190" s="769"/>
    </row>
    <row r="191" spans="1:8" hidden="1" x14ac:dyDescent="0.25">
      <c r="E191" s="769"/>
    </row>
    <row r="192" spans="1:8" hidden="1" x14ac:dyDescent="0.25">
      <c r="E192" s="769">
        <f>E181+E184</f>
        <v>445465983.15999997</v>
      </c>
    </row>
    <row r="193" spans="1:7" hidden="1" x14ac:dyDescent="0.25">
      <c r="E193" s="768" t="s">
        <v>895</v>
      </c>
    </row>
    <row r="194" spans="1:7" hidden="1" x14ac:dyDescent="0.25">
      <c r="D194" s="768">
        <v>1</v>
      </c>
      <c r="E194" s="769">
        <f>E137</f>
        <v>2800</v>
      </c>
    </row>
    <row r="195" spans="1:7" hidden="1" x14ac:dyDescent="0.25">
      <c r="D195" s="768">
        <v>3</v>
      </c>
      <c r="E195" s="769">
        <f>E81</f>
        <v>70000</v>
      </c>
    </row>
    <row r="196" spans="1:7" hidden="1" x14ac:dyDescent="0.25">
      <c r="D196" s="768">
        <v>14</v>
      </c>
      <c r="E196" s="769">
        <f>E54+E56+E62+E72+E85+E88+E89+E92+E98+E106+E59+E64</f>
        <v>17355938</v>
      </c>
    </row>
    <row r="197" spans="1:7" hidden="1" x14ac:dyDescent="0.25">
      <c r="D197" s="768">
        <v>2</v>
      </c>
      <c r="E197" s="769">
        <f>E13-E194-E195-E196</f>
        <v>213702609.21999997</v>
      </c>
    </row>
    <row r="198" spans="1:7" hidden="1" x14ac:dyDescent="0.25"/>
    <row r="199" spans="1:7" hidden="1" x14ac:dyDescent="0.25"/>
    <row r="200" spans="1:7" hidden="1" x14ac:dyDescent="0.25">
      <c r="E200" s="769">
        <f>E13+E144</f>
        <v>242008773.21999997</v>
      </c>
      <c r="F200" s="769">
        <f>F13+F144</f>
        <v>174471699.90000001</v>
      </c>
      <c r="G200" s="769">
        <f>G13+G144</f>
        <v>176954255.21000001</v>
      </c>
    </row>
    <row r="201" spans="1:7" hidden="1" x14ac:dyDescent="0.25"/>
    <row r="202" spans="1:7" hidden="1" x14ac:dyDescent="0.25">
      <c r="E202" s="768">
        <f>(П1ИВФ!C18/П2ДОХОДЫ!E13)*100</f>
        <v>1.0210644416629728</v>
      </c>
    </row>
    <row r="203" spans="1:7" ht="14.25" hidden="1" customHeight="1" x14ac:dyDescent="0.25"/>
    <row r="204" spans="1:7" hidden="1" x14ac:dyDescent="0.25">
      <c r="E204" s="769">
        <f>E138+E144</f>
        <v>242008773.21999997</v>
      </c>
      <c r="F204" s="769">
        <f>F138+F144</f>
        <v>174471699.90000001</v>
      </c>
      <c r="G204" s="769">
        <f>G138+G144</f>
        <v>176954255.21000001</v>
      </c>
    </row>
    <row r="205" spans="1:7" hidden="1" x14ac:dyDescent="0.25"/>
    <row r="206" spans="1:7" hidden="1" x14ac:dyDescent="0.25">
      <c r="E206" s="768" t="s">
        <v>1520</v>
      </c>
      <c r="F206" s="768" t="s">
        <v>1521</v>
      </c>
      <c r="G206" s="768" t="s">
        <v>835</v>
      </c>
    </row>
    <row r="207" spans="1:7" hidden="1" x14ac:dyDescent="0.25">
      <c r="A207" s="768">
        <v>1</v>
      </c>
      <c r="E207" s="769">
        <f>E145+E146+E147+E149+E153+E158+E159+E160+E171+E175</f>
        <v>125240410.05000001</v>
      </c>
      <c r="F207" s="769">
        <f>E71+E102+E103</f>
        <v>2335651.2400000002</v>
      </c>
      <c r="G207" s="769">
        <f>SUM(E207:F207)</f>
        <v>127576061.29000001</v>
      </c>
    </row>
    <row r="208" spans="1:7" hidden="1" x14ac:dyDescent="0.25">
      <c r="A208" s="768">
        <v>2</v>
      </c>
      <c r="E208" s="769">
        <f>E142+E154+E161+E169</f>
        <v>224428167.40000001</v>
      </c>
      <c r="F208" s="769">
        <f>E16+E17+E18+E19+E22+E23+E24+E25+E26+E27+E29+E32+E33+E35+E36+E39+E42+E44+E46+E48+E52+E56+E60+E61+E75+E79+E89+E90+E91+E105+E111+E115+E116+E117+E119+E121+E123+E124+E125+E126+E127+E130+E131</f>
        <v>210025815.75999999</v>
      </c>
      <c r="G208" s="769">
        <f t="shared" ref="G208:G217" si="9">SUM(E208:F208)</f>
        <v>434453983.15999997</v>
      </c>
    </row>
    <row r="209" spans="1:7" hidden="1" x14ac:dyDescent="0.25">
      <c r="G209" s="769">
        <f t="shared" si="9"/>
        <v>0</v>
      </c>
    </row>
    <row r="210" spans="1:7" hidden="1" x14ac:dyDescent="0.25">
      <c r="G210" s="769">
        <f t="shared" si="9"/>
        <v>0</v>
      </c>
    </row>
    <row r="211" spans="1:7" hidden="1" x14ac:dyDescent="0.25">
      <c r="G211" s="769">
        <f t="shared" si="9"/>
        <v>0</v>
      </c>
    </row>
    <row r="212" spans="1:7" hidden="1" x14ac:dyDescent="0.25">
      <c r="E212" s="769"/>
      <c r="F212" s="769"/>
      <c r="G212" s="769">
        <f t="shared" si="9"/>
        <v>0</v>
      </c>
    </row>
    <row r="213" spans="1:7" hidden="1" x14ac:dyDescent="0.25">
      <c r="G213" s="769">
        <f t="shared" si="9"/>
        <v>0</v>
      </c>
    </row>
    <row r="214" spans="1:7" hidden="1" x14ac:dyDescent="0.25">
      <c r="G214" s="769">
        <f t="shared" si="9"/>
        <v>0</v>
      </c>
    </row>
    <row r="215" spans="1:7" hidden="1" x14ac:dyDescent="0.25">
      <c r="A215" s="768">
        <v>3</v>
      </c>
      <c r="E215" s="769">
        <f>E155+E156+E162+E163+E164+E165+E166+E172</f>
        <v>281443827.50999999</v>
      </c>
      <c r="F215" s="769">
        <f>E81</f>
        <v>70000</v>
      </c>
      <c r="G215" s="769">
        <f t="shared" si="9"/>
        <v>281513827.50999999</v>
      </c>
    </row>
    <row r="216" spans="1:7" hidden="1" x14ac:dyDescent="0.25">
      <c r="A216" s="768">
        <v>14</v>
      </c>
      <c r="F216" s="769">
        <f>E54+E55+E66+E68+E72+E82+E85+E88+E92+E98+E100+E104</f>
        <v>17797433.219999999</v>
      </c>
      <c r="G216" s="769">
        <f t="shared" si="9"/>
        <v>17797433.219999999</v>
      </c>
    </row>
    <row r="217" spans="1:7" hidden="1" x14ac:dyDescent="0.25">
      <c r="E217" s="769">
        <f>SUM(E207:E216)</f>
        <v>631112404.96000004</v>
      </c>
      <c r="F217" s="769">
        <f>SUM(F207:F216)</f>
        <v>230228900.22</v>
      </c>
      <c r="G217" s="769">
        <f t="shared" si="9"/>
        <v>861341305.18000007</v>
      </c>
    </row>
    <row r="218" spans="1:7" hidden="1" x14ac:dyDescent="0.25"/>
    <row r="219" spans="1:7" hidden="1" x14ac:dyDescent="0.25"/>
  </sheetData>
  <mergeCells count="167">
    <mergeCell ref="B155:C155"/>
    <mergeCell ref="B153:C153"/>
    <mergeCell ref="B45:C45"/>
    <mergeCell ref="B33:C33"/>
    <mergeCell ref="B41:C41"/>
    <mergeCell ref="B42:C42"/>
    <mergeCell ref="B125:C125"/>
    <mergeCell ref="B132:C132"/>
    <mergeCell ref="B102:C102"/>
    <mergeCell ref="B103:C103"/>
    <mergeCell ref="B145:C145"/>
    <mergeCell ref="B76:C76"/>
    <mergeCell ref="B77:C77"/>
    <mergeCell ref="B88:C88"/>
    <mergeCell ref="B89:C89"/>
    <mergeCell ref="B92:C92"/>
    <mergeCell ref="B75:C75"/>
    <mergeCell ref="B86:C86"/>
    <mergeCell ref="B87:C87"/>
    <mergeCell ref="B90:C90"/>
    <mergeCell ref="B91:C91"/>
    <mergeCell ref="B111:C111"/>
    <mergeCell ref="B115:C115"/>
    <mergeCell ref="B116:C116"/>
    <mergeCell ref="B146:C146"/>
    <mergeCell ref="B79:C79"/>
    <mergeCell ref="B63:C63"/>
    <mergeCell ref="B71:C71"/>
    <mergeCell ref="B135:C135"/>
    <mergeCell ref="B83:C83"/>
    <mergeCell ref="B85:C85"/>
    <mergeCell ref="B69:C69"/>
    <mergeCell ref="B74:C74"/>
    <mergeCell ref="B84:C84"/>
    <mergeCell ref="B80:C80"/>
    <mergeCell ref="B81:C81"/>
    <mergeCell ref="B95:C95"/>
    <mergeCell ref="B96:C96"/>
    <mergeCell ref="B93:C93"/>
    <mergeCell ref="B82:C82"/>
    <mergeCell ref="B130:C130"/>
    <mergeCell ref="B123:C123"/>
    <mergeCell ref="B66:C66"/>
    <mergeCell ref="B134:C134"/>
    <mergeCell ref="B114:C114"/>
    <mergeCell ref="B129:C129"/>
    <mergeCell ref="B122:C122"/>
    <mergeCell ref="B27:C27"/>
    <mergeCell ref="B23:C23"/>
    <mergeCell ref="B19:C19"/>
    <mergeCell ref="B161:C161"/>
    <mergeCell ref="B59:C59"/>
    <mergeCell ref="B64:C64"/>
    <mergeCell ref="B58:C58"/>
    <mergeCell ref="B65:C65"/>
    <mergeCell ref="B61:C61"/>
    <mergeCell ref="B52:C52"/>
    <mergeCell ref="B49:C49"/>
    <mergeCell ref="B51:C51"/>
    <mergeCell ref="B53:C53"/>
    <mergeCell ref="B43:C43"/>
    <mergeCell ref="B44:C44"/>
    <mergeCell ref="B47:C47"/>
    <mergeCell ref="B48:C48"/>
    <mergeCell ref="B50:C50"/>
    <mergeCell ref="B54:C54"/>
    <mergeCell ref="B46:C46"/>
    <mergeCell ref="B94:C94"/>
    <mergeCell ref="B55:C55"/>
    <mergeCell ref="B120:C120"/>
    <mergeCell ref="B98:C98"/>
    <mergeCell ref="B60:C60"/>
    <mergeCell ref="B56:C56"/>
    <mergeCell ref="A7:E7"/>
    <mergeCell ref="B12:C12"/>
    <mergeCell ref="B30:C30"/>
    <mergeCell ref="B35:C35"/>
    <mergeCell ref="B13:C13"/>
    <mergeCell ref="B36:C36"/>
    <mergeCell ref="B40:C40"/>
    <mergeCell ref="B26:C26"/>
    <mergeCell ref="B14:C14"/>
    <mergeCell ref="B15:C15"/>
    <mergeCell ref="B18:C18"/>
    <mergeCell ref="B16:C16"/>
    <mergeCell ref="B17:C17"/>
    <mergeCell ref="B34:C34"/>
    <mergeCell ref="B37:C37"/>
    <mergeCell ref="B20:C20"/>
    <mergeCell ref="B21:C21"/>
    <mergeCell ref="B22:C22"/>
    <mergeCell ref="B24:C24"/>
    <mergeCell ref="B28:C28"/>
    <mergeCell ref="B31:C31"/>
    <mergeCell ref="B32:C32"/>
    <mergeCell ref="B158:C158"/>
    <mergeCell ref="B172:C172"/>
    <mergeCell ref="B160:C160"/>
    <mergeCell ref="B38:C38"/>
    <mergeCell ref="B39:C39"/>
    <mergeCell ref="B97:C97"/>
    <mergeCell ref="B106:C106"/>
    <mergeCell ref="B107:C107"/>
    <mergeCell ref="B112:C112"/>
    <mergeCell ref="B104:C104"/>
    <mergeCell ref="B105:C105"/>
    <mergeCell ref="B101:C101"/>
    <mergeCell ref="B110:C110"/>
    <mergeCell ref="B109:C109"/>
    <mergeCell ref="B108:C108"/>
    <mergeCell ref="B99:C99"/>
    <mergeCell ref="B100:C100"/>
    <mergeCell ref="B67:C67"/>
    <mergeCell ref="B68:C68"/>
    <mergeCell ref="B72:C72"/>
    <mergeCell ref="B78:C78"/>
    <mergeCell ref="B73:C73"/>
    <mergeCell ref="B57:C57"/>
    <mergeCell ref="B70:C70"/>
    <mergeCell ref="B29:C29"/>
    <mergeCell ref="B62:C62"/>
    <mergeCell ref="B177:C177"/>
    <mergeCell ref="B165:C165"/>
    <mergeCell ref="B166:C166"/>
    <mergeCell ref="B169:C169"/>
    <mergeCell ref="B175:C175"/>
    <mergeCell ref="B176:C176"/>
    <mergeCell ref="B171:C171"/>
    <mergeCell ref="B173:C173"/>
    <mergeCell ref="B141:C141"/>
    <mergeCell ref="B149:C149"/>
    <mergeCell ref="B157:C157"/>
    <mergeCell ref="B168:C168"/>
    <mergeCell ref="B170:C170"/>
    <mergeCell ref="B142:C142"/>
    <mergeCell ref="B143:C143"/>
    <mergeCell ref="B159:C159"/>
    <mergeCell ref="B147:C147"/>
    <mergeCell ref="B162:C162"/>
    <mergeCell ref="B163:C163"/>
    <mergeCell ref="B152:C152"/>
    <mergeCell ref="B150:C150"/>
    <mergeCell ref="B164:C164"/>
    <mergeCell ref="B174:C174"/>
    <mergeCell ref="B167:C167"/>
    <mergeCell ref="B25:C25"/>
    <mergeCell ref="B156:C156"/>
    <mergeCell ref="B154:C154"/>
    <mergeCell ref="B137:C137"/>
    <mergeCell ref="B138:C138"/>
    <mergeCell ref="B144:C144"/>
    <mergeCell ref="B113:C113"/>
    <mergeCell ref="B118:C118"/>
    <mergeCell ref="B140:C140"/>
    <mergeCell ref="B139:C139"/>
    <mergeCell ref="B131:C131"/>
    <mergeCell ref="B117:C117"/>
    <mergeCell ref="B136:C136"/>
    <mergeCell ref="B128:C128"/>
    <mergeCell ref="B127:C127"/>
    <mergeCell ref="B151:C151"/>
    <mergeCell ref="B148:C148"/>
    <mergeCell ref="B119:C119"/>
    <mergeCell ref="B126:C126"/>
    <mergeCell ref="B121:C121"/>
    <mergeCell ref="B124:C124"/>
    <mergeCell ref="B133:C133"/>
  </mergeCell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8"/>
  <sheetViews>
    <sheetView topLeftCell="B579" zoomScale="80" zoomScaleNormal="80" workbookViewId="0">
      <selection activeCell="W4" sqref="W4"/>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7" max="27" width="17.140625"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7" x14ac:dyDescent="0.25">
      <c r="W1" s="232" t="s">
        <v>1412</v>
      </c>
    </row>
    <row r="2" spans="1:27" x14ac:dyDescent="0.25">
      <c r="W2" s="232" t="s">
        <v>30</v>
      </c>
    </row>
    <row r="3" spans="1:27" x14ac:dyDescent="0.25">
      <c r="W3" s="232" t="s">
        <v>256</v>
      </c>
    </row>
    <row r="4" spans="1:27" ht="15.75" x14ac:dyDescent="0.25">
      <c r="W4" s="297" t="s">
        <v>1682</v>
      </c>
    </row>
    <row r="5" spans="1:27" ht="54" customHeight="1" x14ac:dyDescent="0.25">
      <c r="A5" s="125"/>
      <c r="B5" s="1185" t="s">
        <v>1109</v>
      </c>
      <c r="C5" s="1185"/>
      <c r="D5" s="1185"/>
      <c r="E5" s="1185"/>
      <c r="F5" s="1185"/>
      <c r="G5" s="1185"/>
      <c r="H5" s="1185"/>
      <c r="I5" s="1185"/>
      <c r="J5" s="1185"/>
      <c r="K5" s="1185"/>
      <c r="L5" s="1185"/>
      <c r="M5" s="1185"/>
      <c r="N5" s="1185"/>
      <c r="O5" s="1185"/>
      <c r="P5" s="1185"/>
      <c r="Q5" s="1185"/>
      <c r="R5" s="1185"/>
      <c r="S5" s="1185"/>
      <c r="T5" s="1185"/>
      <c r="U5" s="1185"/>
      <c r="V5" s="1185"/>
      <c r="W5" s="1185"/>
      <c r="X5" s="1185"/>
    </row>
    <row r="7" spans="1:27"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1"/>
      <c r="W7" s="111" t="s">
        <v>262</v>
      </c>
      <c r="X7" s="111"/>
    </row>
    <row r="8" spans="1:27" x14ac:dyDescent="0.25">
      <c r="A8" s="1186" t="s">
        <v>1</v>
      </c>
      <c r="B8" s="1186" t="s">
        <v>263</v>
      </c>
      <c r="C8" s="1186" t="s">
        <v>264</v>
      </c>
      <c r="D8" s="1186" t="s">
        <v>197</v>
      </c>
      <c r="E8" s="1186" t="s">
        <v>197</v>
      </c>
      <c r="F8" s="1186" t="s">
        <v>197</v>
      </c>
      <c r="G8" s="1186" t="s">
        <v>197</v>
      </c>
      <c r="H8" s="1186" t="s">
        <v>197</v>
      </c>
      <c r="I8" s="1186" t="s">
        <v>197</v>
      </c>
      <c r="J8" s="1186" t="s">
        <v>197</v>
      </c>
      <c r="K8" s="1186" t="s">
        <v>197</v>
      </c>
      <c r="L8" s="1186" t="s">
        <v>197</v>
      </c>
      <c r="M8" s="1186" t="s">
        <v>197</v>
      </c>
      <c r="N8" s="1186" t="s">
        <v>197</v>
      </c>
      <c r="O8" s="1186" t="s">
        <v>197</v>
      </c>
      <c r="P8" s="1186" t="s">
        <v>197</v>
      </c>
      <c r="Q8" s="1186" t="s">
        <v>197</v>
      </c>
      <c r="R8" s="1186" t="s">
        <v>197</v>
      </c>
      <c r="S8" s="1186" t="s">
        <v>225</v>
      </c>
      <c r="T8" s="1186" t="s">
        <v>1</v>
      </c>
      <c r="U8" s="1186" t="s">
        <v>523</v>
      </c>
      <c r="V8" s="1186" t="s">
        <v>897</v>
      </c>
      <c r="W8" s="1186" t="s">
        <v>1073</v>
      </c>
      <c r="X8" s="1187" t="s">
        <v>1</v>
      </c>
    </row>
    <row r="9" spans="1:27" x14ac:dyDescent="0.25">
      <c r="A9" s="1186"/>
      <c r="B9" s="1186" t="s">
        <v>497</v>
      </c>
      <c r="C9" s="1186" t="s">
        <v>498</v>
      </c>
      <c r="D9" s="1186" t="s">
        <v>499</v>
      </c>
      <c r="E9" s="1186" t="s">
        <v>499</v>
      </c>
      <c r="F9" s="1186" t="s">
        <v>499</v>
      </c>
      <c r="G9" s="1186" t="s">
        <v>499</v>
      </c>
      <c r="H9" s="1186" t="s">
        <v>499</v>
      </c>
      <c r="I9" s="1186" t="s">
        <v>499</v>
      </c>
      <c r="J9" s="1186" t="s">
        <v>499</v>
      </c>
      <c r="K9" s="1186" t="s">
        <v>499</v>
      </c>
      <c r="L9" s="1186" t="s">
        <v>499</v>
      </c>
      <c r="M9" s="1186" t="s">
        <v>499</v>
      </c>
      <c r="N9" s="1186" t="s">
        <v>499</v>
      </c>
      <c r="O9" s="1186" t="s">
        <v>499</v>
      </c>
      <c r="P9" s="1186" t="s">
        <v>499</v>
      </c>
      <c r="Q9" s="1186" t="s">
        <v>499</v>
      </c>
      <c r="R9" s="1186" t="s">
        <v>499</v>
      </c>
      <c r="S9" s="1186" t="s">
        <v>500</v>
      </c>
      <c r="T9" s="1186"/>
      <c r="U9" s="1186"/>
      <c r="V9" s="1186" t="s">
        <v>268</v>
      </c>
      <c r="W9" s="1186" t="s">
        <v>268</v>
      </c>
      <c r="X9" s="1187"/>
    </row>
    <row r="10" spans="1:27" hidden="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5"/>
    </row>
    <row r="11" spans="1:27" ht="37.15" customHeight="1" x14ac:dyDescent="0.25">
      <c r="A11" s="116" t="s">
        <v>270</v>
      </c>
      <c r="B11" s="126" t="s">
        <v>122</v>
      </c>
      <c r="C11" s="126" t="s">
        <v>133</v>
      </c>
      <c r="D11" s="126"/>
      <c r="E11" s="126"/>
      <c r="F11" s="126"/>
      <c r="G11" s="126"/>
      <c r="H11" s="126"/>
      <c r="I11" s="126"/>
      <c r="J11" s="126"/>
      <c r="K11" s="126"/>
      <c r="L11" s="126"/>
      <c r="M11" s="126"/>
      <c r="N11" s="126"/>
      <c r="O11" s="126"/>
      <c r="P11" s="126"/>
      <c r="Q11" s="126"/>
      <c r="R11" s="126"/>
      <c r="S11" s="126"/>
      <c r="T11" s="116" t="s">
        <v>270</v>
      </c>
      <c r="U11" s="117">
        <f>U12+U15+U23+U36+U39+U57+U60+U55</f>
        <v>155265553.62</v>
      </c>
      <c r="V11" s="117">
        <f>V12+V15+V23+V36+V39+V57+V60+V55</f>
        <v>100397973.66000003</v>
      </c>
      <c r="W11" s="117">
        <f>W12+W15+W23+W36+W39+W57+W60+W55</f>
        <v>100045995.99000001</v>
      </c>
      <c r="X11" s="116" t="s">
        <v>270</v>
      </c>
    </row>
    <row r="12" spans="1:27" ht="74.45" customHeight="1" x14ac:dyDescent="0.25">
      <c r="A12" s="118" t="s">
        <v>247</v>
      </c>
      <c r="B12" s="175" t="s">
        <v>122</v>
      </c>
      <c r="C12" s="175" t="s">
        <v>132</v>
      </c>
      <c r="D12" s="175"/>
      <c r="E12" s="175"/>
      <c r="F12" s="175"/>
      <c r="G12" s="175"/>
      <c r="H12" s="175"/>
      <c r="I12" s="175"/>
      <c r="J12" s="175"/>
      <c r="K12" s="175"/>
      <c r="L12" s="175"/>
      <c r="M12" s="175"/>
      <c r="N12" s="175"/>
      <c r="O12" s="175"/>
      <c r="P12" s="175"/>
      <c r="Q12" s="175"/>
      <c r="R12" s="175"/>
      <c r="S12" s="175"/>
      <c r="T12" s="176" t="s">
        <v>247</v>
      </c>
      <c r="U12" s="170">
        <f t="shared" ref="U12:W13" si="0">U13</f>
        <v>2316632.7599999998</v>
      </c>
      <c r="V12" s="170">
        <f t="shared" si="0"/>
        <v>1554484</v>
      </c>
      <c r="W12" s="170">
        <f t="shared" si="0"/>
        <v>1554484</v>
      </c>
      <c r="X12" s="118" t="s">
        <v>247</v>
      </c>
    </row>
    <row r="13" spans="1:27" ht="108" customHeight="1" x14ac:dyDescent="0.25">
      <c r="A13" s="118" t="s">
        <v>236</v>
      </c>
      <c r="B13" s="119" t="s">
        <v>122</v>
      </c>
      <c r="C13" s="119" t="s">
        <v>132</v>
      </c>
      <c r="D13" s="134" t="s">
        <v>524</v>
      </c>
      <c r="E13" s="119"/>
      <c r="F13" s="119"/>
      <c r="G13" s="119"/>
      <c r="H13" s="119"/>
      <c r="I13" s="119"/>
      <c r="J13" s="119"/>
      <c r="K13" s="119"/>
      <c r="L13" s="119"/>
      <c r="M13" s="119"/>
      <c r="N13" s="119"/>
      <c r="O13" s="119"/>
      <c r="P13" s="119"/>
      <c r="Q13" s="119"/>
      <c r="R13" s="119"/>
      <c r="S13" s="119"/>
      <c r="T13" s="118" t="s">
        <v>236</v>
      </c>
      <c r="U13" s="120">
        <f t="shared" si="0"/>
        <v>2316632.7599999998</v>
      </c>
      <c r="V13" s="120">
        <f t="shared" si="0"/>
        <v>1554484</v>
      </c>
      <c r="W13" s="120">
        <f t="shared" si="0"/>
        <v>1554484</v>
      </c>
      <c r="X13" s="118" t="s">
        <v>236</v>
      </c>
      <c r="AA13" s="127"/>
    </row>
    <row r="14" spans="1:27" ht="99" customHeight="1" x14ac:dyDescent="0.25">
      <c r="A14" s="124" t="s">
        <v>271</v>
      </c>
      <c r="B14" s="119" t="s">
        <v>122</v>
      </c>
      <c r="C14" s="119" t="s">
        <v>132</v>
      </c>
      <c r="D14" s="134" t="s">
        <v>524</v>
      </c>
      <c r="E14" s="119"/>
      <c r="F14" s="119"/>
      <c r="G14" s="119"/>
      <c r="H14" s="119"/>
      <c r="I14" s="119"/>
      <c r="J14" s="119"/>
      <c r="K14" s="119"/>
      <c r="L14" s="119"/>
      <c r="M14" s="119"/>
      <c r="N14" s="119"/>
      <c r="O14" s="119"/>
      <c r="P14" s="119"/>
      <c r="Q14" s="119"/>
      <c r="R14" s="119"/>
      <c r="S14" s="119" t="s">
        <v>38</v>
      </c>
      <c r="T14" s="121" t="s">
        <v>723</v>
      </c>
      <c r="U14" s="120">
        <f>П4ВСР!Z15</f>
        <v>2316632.7599999998</v>
      </c>
      <c r="V14" s="120">
        <f>П4ВСР!AA15</f>
        <v>1554484</v>
      </c>
      <c r="W14" s="120">
        <f>П4ВСР!AB15</f>
        <v>1554484</v>
      </c>
      <c r="X14" s="124" t="s">
        <v>271</v>
      </c>
      <c r="AA14" s="127"/>
    </row>
    <row r="15" spans="1:27" ht="93" customHeight="1" x14ac:dyDescent="0.25">
      <c r="A15" s="118" t="s">
        <v>248</v>
      </c>
      <c r="B15" s="175" t="s">
        <v>122</v>
      </c>
      <c r="C15" s="175" t="s">
        <v>123</v>
      </c>
      <c r="D15" s="175"/>
      <c r="E15" s="175"/>
      <c r="F15" s="175"/>
      <c r="G15" s="175"/>
      <c r="H15" s="175"/>
      <c r="I15" s="175"/>
      <c r="J15" s="175"/>
      <c r="K15" s="175"/>
      <c r="L15" s="175"/>
      <c r="M15" s="175"/>
      <c r="N15" s="175"/>
      <c r="O15" s="175"/>
      <c r="P15" s="175"/>
      <c r="Q15" s="175"/>
      <c r="R15" s="175"/>
      <c r="S15" s="175"/>
      <c r="T15" s="176" t="s">
        <v>248</v>
      </c>
      <c r="U15" s="170">
        <f>U16+U18</f>
        <v>4000675.9699999997</v>
      </c>
      <c r="V15" s="170">
        <f>V16+V18</f>
        <v>2993545.12</v>
      </c>
      <c r="W15" s="170">
        <f>W16+W18</f>
        <v>2993545.12</v>
      </c>
      <c r="X15" s="118" t="s">
        <v>248</v>
      </c>
      <c r="AA15" s="127"/>
    </row>
    <row r="16" spans="1:27" ht="120" customHeight="1" x14ac:dyDescent="0.25">
      <c r="A16" s="118" t="s">
        <v>237</v>
      </c>
      <c r="B16" s="119" t="s">
        <v>122</v>
      </c>
      <c r="C16" s="119" t="s">
        <v>123</v>
      </c>
      <c r="D16" s="134" t="s">
        <v>525</v>
      </c>
      <c r="E16" s="119"/>
      <c r="F16" s="119"/>
      <c r="G16" s="119"/>
      <c r="H16" s="119"/>
      <c r="I16" s="119"/>
      <c r="J16" s="119"/>
      <c r="K16" s="119"/>
      <c r="L16" s="119"/>
      <c r="M16" s="119"/>
      <c r="N16" s="119"/>
      <c r="O16" s="119"/>
      <c r="P16" s="119"/>
      <c r="Q16" s="119"/>
      <c r="R16" s="119"/>
      <c r="S16" s="119"/>
      <c r="T16" s="118" t="s">
        <v>237</v>
      </c>
      <c r="U16" s="120">
        <f>U17</f>
        <v>1851610.71</v>
      </c>
      <c r="V16" s="120">
        <f>V17</f>
        <v>1398388</v>
      </c>
      <c r="W16" s="120">
        <f>W17</f>
        <v>1398388</v>
      </c>
      <c r="X16" s="118" t="s">
        <v>237</v>
      </c>
    </row>
    <row r="17" spans="1:24" ht="115.5" customHeight="1" x14ac:dyDescent="0.25">
      <c r="A17" s="124" t="s">
        <v>272</v>
      </c>
      <c r="B17" s="122" t="s">
        <v>122</v>
      </c>
      <c r="C17" s="122" t="s">
        <v>123</v>
      </c>
      <c r="D17" s="134" t="s">
        <v>525</v>
      </c>
      <c r="E17" s="122"/>
      <c r="F17" s="122"/>
      <c r="G17" s="122"/>
      <c r="H17" s="122"/>
      <c r="I17" s="122"/>
      <c r="J17" s="122"/>
      <c r="K17" s="122"/>
      <c r="L17" s="122"/>
      <c r="M17" s="122"/>
      <c r="N17" s="122"/>
      <c r="O17" s="122"/>
      <c r="P17" s="122"/>
      <c r="Q17" s="122"/>
      <c r="R17" s="122"/>
      <c r="S17" s="122" t="s">
        <v>38</v>
      </c>
      <c r="T17" s="121" t="s">
        <v>723</v>
      </c>
      <c r="U17" s="120">
        <f>П4ВСР!Z18</f>
        <v>1851610.71</v>
      </c>
      <c r="V17" s="120">
        <f>П4ВСР!AA18</f>
        <v>1398388</v>
      </c>
      <c r="W17" s="120">
        <f>П4ВСР!AB18</f>
        <v>1398388</v>
      </c>
      <c r="X17" s="124" t="s">
        <v>272</v>
      </c>
    </row>
    <row r="18" spans="1:24" ht="93" customHeight="1" x14ac:dyDescent="0.25">
      <c r="A18" s="118" t="s">
        <v>238</v>
      </c>
      <c r="B18" s="119" t="s">
        <v>122</v>
      </c>
      <c r="C18" s="119" t="s">
        <v>123</v>
      </c>
      <c r="D18" s="134" t="s">
        <v>526</v>
      </c>
      <c r="E18" s="119"/>
      <c r="F18" s="119"/>
      <c r="G18" s="119"/>
      <c r="H18" s="119"/>
      <c r="I18" s="119"/>
      <c r="J18" s="119"/>
      <c r="K18" s="119"/>
      <c r="L18" s="119"/>
      <c r="M18" s="119"/>
      <c r="N18" s="119"/>
      <c r="O18" s="119"/>
      <c r="P18" s="119"/>
      <c r="Q18" s="119"/>
      <c r="R18" s="119"/>
      <c r="S18" s="119"/>
      <c r="T18" s="118" t="s">
        <v>238</v>
      </c>
      <c r="U18" s="120">
        <f>U19+U20+U22+U21</f>
        <v>2149065.2599999998</v>
      </c>
      <c r="V18" s="120">
        <f>V19+V20+V22</f>
        <v>1595157.1199999999</v>
      </c>
      <c r="W18" s="120">
        <f>W19+W20+W22</f>
        <v>1595157.1199999999</v>
      </c>
      <c r="X18" s="118" t="s">
        <v>238</v>
      </c>
    </row>
    <row r="19" spans="1:24" ht="111" customHeight="1" x14ac:dyDescent="0.25">
      <c r="A19" s="124" t="s">
        <v>273</v>
      </c>
      <c r="B19" s="122" t="s">
        <v>122</v>
      </c>
      <c r="C19" s="122" t="s">
        <v>123</v>
      </c>
      <c r="D19" s="134" t="s">
        <v>526</v>
      </c>
      <c r="E19" s="122"/>
      <c r="F19" s="122"/>
      <c r="G19" s="122"/>
      <c r="H19" s="122"/>
      <c r="I19" s="122"/>
      <c r="J19" s="122"/>
      <c r="K19" s="122"/>
      <c r="L19" s="122"/>
      <c r="M19" s="122"/>
      <c r="N19" s="122"/>
      <c r="O19" s="122"/>
      <c r="P19" s="122"/>
      <c r="Q19" s="122"/>
      <c r="R19" s="122"/>
      <c r="S19" s="122" t="s">
        <v>38</v>
      </c>
      <c r="T19" s="121" t="s">
        <v>723</v>
      </c>
      <c r="U19" s="120">
        <f>П4ВСР!Z20</f>
        <v>1781495.3900000001</v>
      </c>
      <c r="V19" s="120">
        <f>П4ВСР!AA20</f>
        <v>1377587.25</v>
      </c>
      <c r="W19" s="120">
        <f>П4ВСР!AB20</f>
        <v>1377587.25</v>
      </c>
      <c r="X19" s="124" t="s">
        <v>273</v>
      </c>
    </row>
    <row r="20" spans="1:24" ht="50.25" customHeight="1" x14ac:dyDescent="0.25">
      <c r="A20" s="118" t="s">
        <v>274</v>
      </c>
      <c r="B20" s="136" t="s">
        <v>122</v>
      </c>
      <c r="C20" s="136" t="s">
        <v>123</v>
      </c>
      <c r="D20" s="134" t="s">
        <v>526</v>
      </c>
      <c r="E20" s="136"/>
      <c r="F20" s="136"/>
      <c r="G20" s="136"/>
      <c r="H20" s="136"/>
      <c r="I20" s="136"/>
      <c r="J20" s="136"/>
      <c r="K20" s="136"/>
      <c r="L20" s="136"/>
      <c r="M20" s="136"/>
      <c r="N20" s="136"/>
      <c r="O20" s="136"/>
      <c r="P20" s="136"/>
      <c r="Q20" s="136"/>
      <c r="R20" s="136"/>
      <c r="S20" s="136" t="s">
        <v>275</v>
      </c>
      <c r="T20" s="135" t="s">
        <v>565</v>
      </c>
      <c r="U20" s="120">
        <f>П4ВСР!Z21</f>
        <v>308327.21999999997</v>
      </c>
      <c r="V20" s="120">
        <f>П4ВСР!AA21</f>
        <v>209573.22</v>
      </c>
      <c r="W20" s="120">
        <f>П4ВСР!AB21</f>
        <v>209573.22</v>
      </c>
      <c r="X20" s="118" t="s">
        <v>274</v>
      </c>
    </row>
    <row r="21" spans="1:24" ht="33" customHeight="1" x14ac:dyDescent="0.25">
      <c r="A21" s="118"/>
      <c r="B21" s="136" t="s">
        <v>122</v>
      </c>
      <c r="C21" s="136" t="s">
        <v>123</v>
      </c>
      <c r="D21" s="134" t="s">
        <v>526</v>
      </c>
      <c r="E21" s="136"/>
      <c r="F21" s="136"/>
      <c r="G21" s="136"/>
      <c r="H21" s="136"/>
      <c r="I21" s="136"/>
      <c r="J21" s="136"/>
      <c r="K21" s="136"/>
      <c r="L21" s="136"/>
      <c r="M21" s="136"/>
      <c r="N21" s="136"/>
      <c r="O21" s="136"/>
      <c r="P21" s="136"/>
      <c r="Q21" s="136"/>
      <c r="R21" s="136"/>
      <c r="S21" s="136" t="s">
        <v>393</v>
      </c>
      <c r="T21" s="135" t="s">
        <v>727</v>
      </c>
      <c r="U21" s="120">
        <f>П4ВСР!Z22</f>
        <v>52746</v>
      </c>
      <c r="V21" s="120">
        <v>0</v>
      </c>
      <c r="W21" s="120">
        <v>0</v>
      </c>
      <c r="X21" s="118"/>
    </row>
    <row r="22" spans="1:24" ht="32.25" customHeight="1" x14ac:dyDescent="0.25">
      <c r="A22" s="118" t="s">
        <v>276</v>
      </c>
      <c r="B22" s="136" t="s">
        <v>122</v>
      </c>
      <c r="C22" s="136" t="s">
        <v>123</v>
      </c>
      <c r="D22" s="134" t="s">
        <v>526</v>
      </c>
      <c r="E22" s="136"/>
      <c r="F22" s="136"/>
      <c r="G22" s="136"/>
      <c r="H22" s="136"/>
      <c r="I22" s="136"/>
      <c r="J22" s="136"/>
      <c r="K22" s="136"/>
      <c r="L22" s="136"/>
      <c r="M22" s="136"/>
      <c r="N22" s="136"/>
      <c r="O22" s="136"/>
      <c r="P22" s="136"/>
      <c r="Q22" s="136"/>
      <c r="R22" s="136"/>
      <c r="S22" s="136" t="s">
        <v>243</v>
      </c>
      <c r="T22" s="123" t="s">
        <v>760</v>
      </c>
      <c r="U22" s="120">
        <f>П4ВСР!Z23</f>
        <v>6496.65</v>
      </c>
      <c r="V22" s="120">
        <f>П4ВСР!AA23</f>
        <v>7996.65</v>
      </c>
      <c r="W22" s="120">
        <f>П4ВСР!AB23</f>
        <v>7996.65</v>
      </c>
      <c r="X22" s="118" t="s">
        <v>276</v>
      </c>
    </row>
    <row r="23" spans="1:24" ht="92.25" customHeight="1" x14ac:dyDescent="0.25">
      <c r="A23" s="118" t="s">
        <v>249</v>
      </c>
      <c r="B23" s="175" t="s">
        <v>122</v>
      </c>
      <c r="C23" s="175" t="s">
        <v>136</v>
      </c>
      <c r="D23" s="139"/>
      <c r="E23" s="177"/>
      <c r="F23" s="177"/>
      <c r="G23" s="177"/>
      <c r="H23" s="177"/>
      <c r="I23" s="177"/>
      <c r="J23" s="177"/>
      <c r="K23" s="177"/>
      <c r="L23" s="177"/>
      <c r="M23" s="177"/>
      <c r="N23" s="177"/>
      <c r="O23" s="177"/>
      <c r="P23" s="177"/>
      <c r="Q23" s="177"/>
      <c r="R23" s="177"/>
      <c r="S23" s="177"/>
      <c r="T23" s="176" t="s">
        <v>249</v>
      </c>
      <c r="U23" s="170">
        <f>U24+U26+U33+U31</f>
        <v>29148844.360000003</v>
      </c>
      <c r="V23" s="170">
        <f>V24+V26+V33+V31</f>
        <v>30947252.790000003</v>
      </c>
      <c r="W23" s="170">
        <f>W24+W26+W33+W31</f>
        <v>30947252.790000003</v>
      </c>
      <c r="X23" s="118" t="s">
        <v>249</v>
      </c>
    </row>
    <row r="24" spans="1:24" ht="153.75" hidden="1" customHeight="1" x14ac:dyDescent="0.25">
      <c r="A24" s="118" t="s">
        <v>277</v>
      </c>
      <c r="B24" s="119" t="s">
        <v>122</v>
      </c>
      <c r="C24" s="119" t="s">
        <v>136</v>
      </c>
      <c r="D24" s="230" t="s">
        <v>986</v>
      </c>
      <c r="E24" s="119"/>
      <c r="F24" s="119"/>
      <c r="G24" s="119"/>
      <c r="H24" s="119"/>
      <c r="I24" s="119"/>
      <c r="J24" s="119"/>
      <c r="K24" s="119"/>
      <c r="L24" s="119"/>
      <c r="M24" s="119"/>
      <c r="N24" s="119"/>
      <c r="O24" s="119"/>
      <c r="P24" s="119"/>
      <c r="Q24" s="119"/>
      <c r="R24" s="119"/>
      <c r="S24" s="119"/>
      <c r="T24" s="468" t="s">
        <v>984</v>
      </c>
      <c r="U24" s="120">
        <f>U25</f>
        <v>0</v>
      </c>
      <c r="V24" s="120">
        <f>V25</f>
        <v>0</v>
      </c>
      <c r="W24" s="120">
        <f>W25</f>
        <v>0</v>
      </c>
      <c r="X24" s="118" t="s">
        <v>277</v>
      </c>
    </row>
    <row r="25" spans="1:24" ht="83.25" hidden="1" customHeight="1" x14ac:dyDescent="0.25">
      <c r="A25" s="118" t="s">
        <v>278</v>
      </c>
      <c r="B25" s="122" t="s">
        <v>122</v>
      </c>
      <c r="C25" s="122" t="s">
        <v>136</v>
      </c>
      <c r="D25" s="230" t="s">
        <v>986</v>
      </c>
      <c r="E25" s="122"/>
      <c r="F25" s="122"/>
      <c r="G25" s="122"/>
      <c r="H25" s="122"/>
      <c r="I25" s="122"/>
      <c r="J25" s="122"/>
      <c r="K25" s="122"/>
      <c r="L25" s="122"/>
      <c r="M25" s="122"/>
      <c r="N25" s="122"/>
      <c r="O25" s="122"/>
      <c r="P25" s="122"/>
      <c r="Q25" s="122"/>
      <c r="R25" s="122"/>
      <c r="S25" s="122" t="s">
        <v>275</v>
      </c>
      <c r="T25" s="135" t="s">
        <v>985</v>
      </c>
      <c r="U25" s="120">
        <f>П4ВСР!Z26</f>
        <v>0</v>
      </c>
      <c r="V25" s="120">
        <f>П4ВСР!AA26</f>
        <v>0</v>
      </c>
      <c r="W25" s="120">
        <f>П4ВСР!AB26</f>
        <v>0</v>
      </c>
      <c r="X25" s="118" t="s">
        <v>278</v>
      </c>
    </row>
    <row r="26" spans="1:24" ht="156.75" customHeight="1" x14ac:dyDescent="0.25">
      <c r="A26" s="118" t="s">
        <v>279</v>
      </c>
      <c r="B26" s="119" t="s">
        <v>122</v>
      </c>
      <c r="C26" s="119" t="s">
        <v>136</v>
      </c>
      <c r="D26" s="134" t="s">
        <v>527</v>
      </c>
      <c r="E26" s="119"/>
      <c r="F26" s="119"/>
      <c r="G26" s="119"/>
      <c r="H26" s="119"/>
      <c r="I26" s="119"/>
      <c r="J26" s="119"/>
      <c r="K26" s="119"/>
      <c r="L26" s="119"/>
      <c r="M26" s="119"/>
      <c r="N26" s="119"/>
      <c r="O26" s="119"/>
      <c r="P26" s="119"/>
      <c r="Q26" s="119"/>
      <c r="R26" s="119"/>
      <c r="S26" s="119"/>
      <c r="T26" s="153" t="s">
        <v>1219</v>
      </c>
      <c r="U26" s="120">
        <f>U27+U28+U30+U29</f>
        <v>28998844.360000003</v>
      </c>
      <c r="V26" s="120">
        <f>V27+V28+V30+V29</f>
        <v>30797252.790000003</v>
      </c>
      <c r="W26" s="120">
        <f>W27+W28+W30+W29</f>
        <v>30797252.790000003</v>
      </c>
      <c r="X26" s="118" t="s">
        <v>279</v>
      </c>
    </row>
    <row r="27" spans="1:24" ht="105" customHeight="1" x14ac:dyDescent="0.25">
      <c r="A27" s="124" t="s">
        <v>280</v>
      </c>
      <c r="B27" s="122" t="s">
        <v>122</v>
      </c>
      <c r="C27" s="122" t="s">
        <v>136</v>
      </c>
      <c r="D27" s="134" t="s">
        <v>527</v>
      </c>
      <c r="E27" s="122"/>
      <c r="F27" s="122"/>
      <c r="G27" s="122"/>
      <c r="H27" s="122"/>
      <c r="I27" s="122"/>
      <c r="J27" s="122"/>
      <c r="K27" s="122"/>
      <c r="L27" s="122"/>
      <c r="M27" s="122"/>
      <c r="N27" s="122"/>
      <c r="O27" s="122"/>
      <c r="P27" s="122"/>
      <c r="Q27" s="122"/>
      <c r="R27" s="122"/>
      <c r="S27" s="122" t="s">
        <v>38</v>
      </c>
      <c r="T27" s="154" t="s">
        <v>723</v>
      </c>
      <c r="U27" s="120">
        <f>П4ВСР!Z28</f>
        <v>23680526.690000001</v>
      </c>
      <c r="V27" s="120">
        <f>П4ВСР!AA28</f>
        <v>26127935.120000001</v>
      </c>
      <c r="W27" s="120">
        <f>П4ВСР!AB28</f>
        <v>26127935.120000001</v>
      </c>
      <c r="X27" s="124" t="s">
        <v>280</v>
      </c>
    </row>
    <row r="28" spans="1:24" ht="59.25" customHeight="1" x14ac:dyDescent="0.25">
      <c r="A28" s="118" t="s">
        <v>281</v>
      </c>
      <c r="B28" s="122" t="s">
        <v>122</v>
      </c>
      <c r="C28" s="122" t="s">
        <v>136</v>
      </c>
      <c r="D28" s="134" t="s">
        <v>527</v>
      </c>
      <c r="E28" s="122"/>
      <c r="F28" s="122"/>
      <c r="G28" s="122"/>
      <c r="H28" s="122"/>
      <c r="I28" s="122"/>
      <c r="J28" s="122"/>
      <c r="K28" s="122"/>
      <c r="L28" s="122"/>
      <c r="M28" s="122"/>
      <c r="N28" s="122"/>
      <c r="O28" s="122"/>
      <c r="P28" s="122"/>
      <c r="Q28" s="122"/>
      <c r="R28" s="122"/>
      <c r="S28" s="122" t="s">
        <v>275</v>
      </c>
      <c r="T28" s="135" t="s">
        <v>565</v>
      </c>
      <c r="U28" s="120">
        <f>П4ВСР!Z29</f>
        <v>5164266.4800000004</v>
      </c>
      <c r="V28" s="120">
        <f>П4ВСР!AA29</f>
        <v>4393266.4799999995</v>
      </c>
      <c r="W28" s="120">
        <f>П4ВСР!AB29</f>
        <v>4393266.4799999995</v>
      </c>
      <c r="X28" s="118" t="s">
        <v>281</v>
      </c>
    </row>
    <row r="29" spans="1:24" ht="47.25" customHeight="1" x14ac:dyDescent="0.25">
      <c r="A29" s="118"/>
      <c r="B29" s="122" t="s">
        <v>122</v>
      </c>
      <c r="C29" s="122" t="s">
        <v>136</v>
      </c>
      <c r="D29" s="134" t="s">
        <v>527</v>
      </c>
      <c r="E29" s="122"/>
      <c r="F29" s="122"/>
      <c r="G29" s="122"/>
      <c r="H29" s="122"/>
      <c r="I29" s="122"/>
      <c r="J29" s="122"/>
      <c r="K29" s="122"/>
      <c r="L29" s="122"/>
      <c r="M29" s="122"/>
      <c r="N29" s="122"/>
      <c r="O29" s="122"/>
      <c r="P29" s="122"/>
      <c r="Q29" s="122"/>
      <c r="R29" s="122"/>
      <c r="S29" s="122" t="s">
        <v>393</v>
      </c>
      <c r="T29" s="135" t="s">
        <v>727</v>
      </c>
      <c r="U29" s="120">
        <f>П4ВСР!Z30</f>
        <v>13000</v>
      </c>
      <c r="V29" s="120">
        <f>П4ВСР!AA30</f>
        <v>10000</v>
      </c>
      <c r="W29" s="120">
        <f>П4ВСР!AB30</f>
        <v>10000</v>
      </c>
      <c r="X29" s="118"/>
    </row>
    <row r="30" spans="1:24" ht="27.75" customHeight="1" x14ac:dyDescent="0.25">
      <c r="A30" s="118" t="s">
        <v>282</v>
      </c>
      <c r="B30" s="122" t="s">
        <v>122</v>
      </c>
      <c r="C30" s="122" t="s">
        <v>136</v>
      </c>
      <c r="D30" s="134" t="s">
        <v>527</v>
      </c>
      <c r="E30" s="122"/>
      <c r="F30" s="122"/>
      <c r="G30" s="122"/>
      <c r="H30" s="122"/>
      <c r="I30" s="122"/>
      <c r="J30" s="122"/>
      <c r="K30" s="122"/>
      <c r="L30" s="122"/>
      <c r="M30" s="122"/>
      <c r="N30" s="122"/>
      <c r="O30" s="122"/>
      <c r="P30" s="122"/>
      <c r="Q30" s="122"/>
      <c r="R30" s="122"/>
      <c r="S30" s="122" t="s">
        <v>243</v>
      </c>
      <c r="T30" s="123" t="s">
        <v>760</v>
      </c>
      <c r="U30" s="120">
        <f>П4ВСР!Z31</f>
        <v>141051.19</v>
      </c>
      <c r="V30" s="120">
        <f>П4ВСР!AA31</f>
        <v>266051.19</v>
      </c>
      <c r="W30" s="120">
        <f>П4ВСР!AB31</f>
        <v>266051.19</v>
      </c>
      <c r="X30" s="118" t="s">
        <v>282</v>
      </c>
    </row>
    <row r="31" spans="1:24" s="271" customFormat="1" ht="83.25" hidden="1" customHeight="1" x14ac:dyDescent="0.25">
      <c r="A31" s="224"/>
      <c r="B31" s="136" t="s">
        <v>122</v>
      </c>
      <c r="C31" s="136" t="s">
        <v>136</v>
      </c>
      <c r="D31" s="230" t="s">
        <v>863</v>
      </c>
      <c r="E31" s="136"/>
      <c r="F31" s="136"/>
      <c r="G31" s="136"/>
      <c r="H31" s="136"/>
      <c r="I31" s="136"/>
      <c r="J31" s="136"/>
      <c r="K31" s="136"/>
      <c r="L31" s="136"/>
      <c r="M31" s="136"/>
      <c r="N31" s="136"/>
      <c r="O31" s="136"/>
      <c r="P31" s="136"/>
      <c r="Q31" s="136"/>
      <c r="R31" s="136"/>
      <c r="S31" s="136"/>
      <c r="T31" s="153" t="s">
        <v>864</v>
      </c>
      <c r="U31" s="219">
        <f>U32</f>
        <v>0</v>
      </c>
      <c r="V31" s="219">
        <f t="shared" ref="V31:W31" si="1">V32</f>
        <v>0</v>
      </c>
      <c r="W31" s="219">
        <f t="shared" si="1"/>
        <v>0</v>
      </c>
      <c r="X31" s="224"/>
    </row>
    <row r="32" spans="1:24" s="271" customFormat="1" ht="77.25" hidden="1" customHeight="1" x14ac:dyDescent="0.25">
      <c r="A32" s="224"/>
      <c r="B32" s="136" t="s">
        <v>122</v>
      </c>
      <c r="C32" s="136" t="s">
        <v>136</v>
      </c>
      <c r="D32" s="230" t="s">
        <v>863</v>
      </c>
      <c r="E32" s="136"/>
      <c r="F32" s="136"/>
      <c r="G32" s="136"/>
      <c r="H32" s="136"/>
      <c r="I32" s="136"/>
      <c r="J32" s="136"/>
      <c r="K32" s="136"/>
      <c r="L32" s="136"/>
      <c r="M32" s="136"/>
      <c r="N32" s="136"/>
      <c r="O32" s="136"/>
      <c r="P32" s="136"/>
      <c r="Q32" s="136"/>
      <c r="R32" s="136"/>
      <c r="S32" s="136" t="s">
        <v>275</v>
      </c>
      <c r="T32" s="135" t="s">
        <v>281</v>
      </c>
      <c r="U32" s="219">
        <f>П4ВСР!Z33</f>
        <v>0</v>
      </c>
      <c r="V32" s="219">
        <v>0</v>
      </c>
      <c r="W32" s="219">
        <v>0</v>
      </c>
      <c r="X32" s="224"/>
    </row>
    <row r="33" spans="1:24" ht="79.5" customHeight="1" x14ac:dyDescent="0.25">
      <c r="A33" s="118" t="s">
        <v>283</v>
      </c>
      <c r="B33" s="119" t="s">
        <v>122</v>
      </c>
      <c r="C33" s="119" t="s">
        <v>136</v>
      </c>
      <c r="D33" s="134" t="s">
        <v>528</v>
      </c>
      <c r="E33" s="119"/>
      <c r="F33" s="119"/>
      <c r="G33" s="119"/>
      <c r="H33" s="119"/>
      <c r="I33" s="119"/>
      <c r="J33" s="119"/>
      <c r="K33" s="119"/>
      <c r="L33" s="119"/>
      <c r="M33" s="119"/>
      <c r="N33" s="119"/>
      <c r="O33" s="119"/>
      <c r="P33" s="119"/>
      <c r="Q33" s="119"/>
      <c r="R33" s="119"/>
      <c r="S33" s="119"/>
      <c r="T33" s="118" t="s">
        <v>283</v>
      </c>
      <c r="U33" s="120">
        <f>U34+U35</f>
        <v>150000</v>
      </c>
      <c r="V33" s="120">
        <f>V34+V35</f>
        <v>150000</v>
      </c>
      <c r="W33" s="120">
        <f>W34+W35</f>
        <v>150000</v>
      </c>
      <c r="X33" s="118" t="s">
        <v>283</v>
      </c>
    </row>
    <row r="34" spans="1:24" ht="117" customHeight="1" x14ac:dyDescent="0.25">
      <c r="A34" s="124" t="s">
        <v>284</v>
      </c>
      <c r="B34" s="122" t="s">
        <v>122</v>
      </c>
      <c r="C34" s="122" t="s">
        <v>136</v>
      </c>
      <c r="D34" s="134" t="s">
        <v>528</v>
      </c>
      <c r="E34" s="122"/>
      <c r="F34" s="122"/>
      <c r="G34" s="122"/>
      <c r="H34" s="122"/>
      <c r="I34" s="122"/>
      <c r="J34" s="122"/>
      <c r="K34" s="122"/>
      <c r="L34" s="122"/>
      <c r="M34" s="122"/>
      <c r="N34" s="122"/>
      <c r="O34" s="122"/>
      <c r="P34" s="122"/>
      <c r="Q34" s="122"/>
      <c r="R34" s="122"/>
      <c r="S34" s="122" t="s">
        <v>38</v>
      </c>
      <c r="T34" s="154" t="s">
        <v>723</v>
      </c>
      <c r="U34" s="120">
        <f>П4ВСР!Z35</f>
        <v>100000</v>
      </c>
      <c r="V34" s="120">
        <f>П4ВСР!AA35</f>
        <v>100000</v>
      </c>
      <c r="W34" s="120">
        <f>П4ВСР!AB35</f>
        <v>100000</v>
      </c>
      <c r="X34" s="124" t="s">
        <v>284</v>
      </c>
    </row>
    <row r="35" spans="1:24" ht="46.5" customHeight="1" x14ac:dyDescent="0.25">
      <c r="A35" s="118" t="s">
        <v>285</v>
      </c>
      <c r="B35" s="122" t="s">
        <v>122</v>
      </c>
      <c r="C35" s="122" t="s">
        <v>136</v>
      </c>
      <c r="D35" s="134" t="s">
        <v>528</v>
      </c>
      <c r="E35" s="122"/>
      <c r="F35" s="122"/>
      <c r="G35" s="122"/>
      <c r="H35" s="122"/>
      <c r="I35" s="122"/>
      <c r="J35" s="122"/>
      <c r="K35" s="122"/>
      <c r="L35" s="122"/>
      <c r="M35" s="122"/>
      <c r="N35" s="122"/>
      <c r="O35" s="122"/>
      <c r="P35" s="122"/>
      <c r="Q35" s="122"/>
      <c r="R35" s="122"/>
      <c r="S35" s="122" t="s">
        <v>275</v>
      </c>
      <c r="T35" s="135" t="s">
        <v>565</v>
      </c>
      <c r="U35" s="120">
        <f>П4ВСР!Z36</f>
        <v>50000</v>
      </c>
      <c r="V35" s="120">
        <f>П4ВСР!AA36</f>
        <v>50000</v>
      </c>
      <c r="W35" s="120">
        <f>П4ВСР!AB36</f>
        <v>50000</v>
      </c>
      <c r="X35" s="118" t="s">
        <v>285</v>
      </c>
    </row>
    <row r="36" spans="1:24" ht="45.75" hidden="1" customHeight="1" x14ac:dyDescent="0.25">
      <c r="A36" s="118" t="s">
        <v>137</v>
      </c>
      <c r="B36" s="119" t="s">
        <v>122</v>
      </c>
      <c r="C36" s="119" t="s">
        <v>124</v>
      </c>
      <c r="D36" s="119"/>
      <c r="E36" s="119"/>
      <c r="F36" s="119"/>
      <c r="G36" s="119"/>
      <c r="H36" s="119"/>
      <c r="I36" s="119"/>
      <c r="J36" s="119"/>
      <c r="K36" s="119"/>
      <c r="L36" s="119"/>
      <c r="M36" s="119"/>
      <c r="N36" s="119"/>
      <c r="O36" s="119"/>
      <c r="P36" s="119"/>
      <c r="Q36" s="119"/>
      <c r="R36" s="119"/>
      <c r="S36" s="119"/>
      <c r="T36" s="116" t="s">
        <v>137</v>
      </c>
      <c r="U36" s="120">
        <f t="shared" ref="U36:W37" si="2">U37</f>
        <v>27892</v>
      </c>
      <c r="V36" s="120">
        <f t="shared" si="2"/>
        <v>29405</v>
      </c>
      <c r="W36" s="120">
        <f t="shared" si="2"/>
        <v>31153</v>
      </c>
      <c r="X36" s="118" t="s">
        <v>137</v>
      </c>
    </row>
    <row r="37" spans="1:24" ht="79.5" customHeight="1" x14ac:dyDescent="0.25">
      <c r="A37" s="118" t="s">
        <v>230</v>
      </c>
      <c r="B37" s="161" t="s">
        <v>122</v>
      </c>
      <c r="C37" s="161" t="s">
        <v>124</v>
      </c>
      <c r="D37" s="161" t="s">
        <v>645</v>
      </c>
      <c r="E37" s="161"/>
      <c r="F37" s="161"/>
      <c r="G37" s="161"/>
      <c r="H37" s="161"/>
      <c r="I37" s="161"/>
      <c r="J37" s="161"/>
      <c r="K37" s="161"/>
      <c r="L37" s="161"/>
      <c r="M37" s="161"/>
      <c r="N37" s="161"/>
      <c r="O37" s="161"/>
      <c r="P37" s="161"/>
      <c r="Q37" s="161"/>
      <c r="R37" s="161"/>
      <c r="S37" s="161"/>
      <c r="T37" s="291" t="s">
        <v>230</v>
      </c>
      <c r="U37" s="120">
        <f t="shared" si="2"/>
        <v>27892</v>
      </c>
      <c r="V37" s="120">
        <f t="shared" si="2"/>
        <v>29405</v>
      </c>
      <c r="W37" s="120">
        <f t="shared" si="2"/>
        <v>31153</v>
      </c>
      <c r="X37" s="118" t="s">
        <v>230</v>
      </c>
    </row>
    <row r="38" spans="1:24" ht="39" customHeight="1" x14ac:dyDescent="0.25">
      <c r="A38" s="118" t="s">
        <v>286</v>
      </c>
      <c r="B38" s="136" t="s">
        <v>122</v>
      </c>
      <c r="C38" s="136" t="s">
        <v>124</v>
      </c>
      <c r="D38" s="161" t="s">
        <v>645</v>
      </c>
      <c r="E38" s="136"/>
      <c r="F38" s="136"/>
      <c r="G38" s="136"/>
      <c r="H38" s="136"/>
      <c r="I38" s="136"/>
      <c r="J38" s="136"/>
      <c r="K38" s="136"/>
      <c r="L38" s="136"/>
      <c r="M38" s="136"/>
      <c r="N38" s="136"/>
      <c r="O38" s="136"/>
      <c r="P38" s="136"/>
      <c r="Q38" s="136"/>
      <c r="R38" s="136"/>
      <c r="S38" s="136" t="s">
        <v>275</v>
      </c>
      <c r="T38" s="339" t="s">
        <v>565</v>
      </c>
      <c r="U38" s="120">
        <f>П4ВСР!Z39</f>
        <v>27892</v>
      </c>
      <c r="V38" s="120">
        <f>П4ВСР!AA39</f>
        <v>29405</v>
      </c>
      <c r="W38" s="120">
        <f>П4ВСР!AB39</f>
        <v>31153</v>
      </c>
      <c r="X38" s="118" t="s">
        <v>286</v>
      </c>
    </row>
    <row r="39" spans="1:24" ht="77.25" customHeight="1" x14ac:dyDescent="0.25">
      <c r="A39" s="118" t="s">
        <v>250</v>
      </c>
      <c r="B39" s="175" t="s">
        <v>122</v>
      </c>
      <c r="C39" s="175" t="s">
        <v>125</v>
      </c>
      <c r="D39" s="175"/>
      <c r="E39" s="175"/>
      <c r="F39" s="175"/>
      <c r="G39" s="175"/>
      <c r="H39" s="175"/>
      <c r="I39" s="175"/>
      <c r="J39" s="175"/>
      <c r="K39" s="175"/>
      <c r="L39" s="175"/>
      <c r="M39" s="175"/>
      <c r="N39" s="175"/>
      <c r="O39" s="175"/>
      <c r="P39" s="175"/>
      <c r="Q39" s="175"/>
      <c r="R39" s="175"/>
      <c r="S39" s="175"/>
      <c r="T39" s="176" t="s">
        <v>250</v>
      </c>
      <c r="U39" s="170">
        <f>U40+U48+U50+U44+U52</f>
        <v>14263032.240000002</v>
      </c>
      <c r="V39" s="170">
        <f t="shared" ref="V39:W39" si="3">V40+V48+V50+V44+V52</f>
        <v>12727969.449999999</v>
      </c>
      <c r="W39" s="170">
        <f t="shared" si="3"/>
        <v>12728207.449999999</v>
      </c>
      <c r="X39" s="118" t="s">
        <v>250</v>
      </c>
    </row>
    <row r="40" spans="1:24" ht="159.75" customHeight="1" x14ac:dyDescent="0.25">
      <c r="A40" s="118" t="s">
        <v>415</v>
      </c>
      <c r="B40" s="161" t="s">
        <v>122</v>
      </c>
      <c r="C40" s="161" t="s">
        <v>125</v>
      </c>
      <c r="D40" s="161" t="s">
        <v>619</v>
      </c>
      <c r="E40" s="161"/>
      <c r="F40" s="161"/>
      <c r="G40" s="161"/>
      <c r="H40" s="161"/>
      <c r="I40" s="161"/>
      <c r="J40" s="161"/>
      <c r="K40" s="161"/>
      <c r="L40" s="161"/>
      <c r="M40" s="161"/>
      <c r="N40" s="161"/>
      <c r="O40" s="161"/>
      <c r="P40" s="161"/>
      <c r="Q40" s="161"/>
      <c r="R40" s="161"/>
      <c r="S40" s="161"/>
      <c r="T40" s="153" t="s">
        <v>1220</v>
      </c>
      <c r="U40" s="120">
        <f>U41+U42+U43+U47</f>
        <v>13043846.640000001</v>
      </c>
      <c r="V40" s="120">
        <f>V41+V42+V43+V47</f>
        <v>11581538.77</v>
      </c>
      <c r="W40" s="120">
        <f>W41+W42+W43+W47</f>
        <v>11581776.77</v>
      </c>
      <c r="X40" s="118" t="s">
        <v>415</v>
      </c>
    </row>
    <row r="41" spans="1:24" ht="121.5" customHeight="1" x14ac:dyDescent="0.25">
      <c r="A41" s="118" t="s">
        <v>416</v>
      </c>
      <c r="B41" s="136" t="s">
        <v>122</v>
      </c>
      <c r="C41" s="136" t="s">
        <v>125</v>
      </c>
      <c r="D41" s="161" t="s">
        <v>619</v>
      </c>
      <c r="E41" s="136"/>
      <c r="F41" s="136"/>
      <c r="G41" s="136"/>
      <c r="H41" s="136"/>
      <c r="I41" s="136"/>
      <c r="J41" s="136"/>
      <c r="K41" s="136"/>
      <c r="L41" s="136"/>
      <c r="M41" s="136"/>
      <c r="N41" s="136"/>
      <c r="O41" s="136"/>
      <c r="P41" s="136"/>
      <c r="Q41" s="136"/>
      <c r="R41" s="136"/>
      <c r="S41" s="136" t="s">
        <v>38</v>
      </c>
      <c r="T41" s="135" t="s">
        <v>723</v>
      </c>
      <c r="U41" s="120">
        <f>П4ВСР!Z370</f>
        <v>12344048.640000001</v>
      </c>
      <c r="V41" s="120">
        <f>П4ВСР!AA370</f>
        <v>10913959.77</v>
      </c>
      <c r="W41" s="120">
        <f>П4ВСР!AB370</f>
        <v>10913959.77</v>
      </c>
      <c r="X41" s="118" t="s">
        <v>416</v>
      </c>
    </row>
    <row r="42" spans="1:24" ht="50.25" customHeight="1" x14ac:dyDescent="0.25">
      <c r="A42" s="118" t="s">
        <v>417</v>
      </c>
      <c r="B42" s="136" t="s">
        <v>122</v>
      </c>
      <c r="C42" s="136" t="s">
        <v>125</v>
      </c>
      <c r="D42" s="161" t="s">
        <v>619</v>
      </c>
      <c r="E42" s="136"/>
      <c r="F42" s="136"/>
      <c r="G42" s="136"/>
      <c r="H42" s="136"/>
      <c r="I42" s="136"/>
      <c r="J42" s="136"/>
      <c r="K42" s="136"/>
      <c r="L42" s="136"/>
      <c r="M42" s="136"/>
      <c r="N42" s="136"/>
      <c r="O42" s="136"/>
      <c r="P42" s="136"/>
      <c r="Q42" s="136"/>
      <c r="R42" s="136"/>
      <c r="S42" s="136" t="s">
        <v>275</v>
      </c>
      <c r="T42" s="135" t="s">
        <v>565</v>
      </c>
      <c r="U42" s="120">
        <f>П4ВСР!Z371</f>
        <v>675292</v>
      </c>
      <c r="V42" s="120">
        <f>П4ВСР!AA371</f>
        <v>641492</v>
      </c>
      <c r="W42" s="120">
        <f>П4ВСР!AB371</f>
        <v>641492</v>
      </c>
      <c r="X42" s="118" t="s">
        <v>417</v>
      </c>
    </row>
    <row r="43" spans="1:24" ht="24" customHeight="1" x14ac:dyDescent="0.25">
      <c r="A43" s="118" t="s">
        <v>418</v>
      </c>
      <c r="B43" s="136" t="s">
        <v>122</v>
      </c>
      <c r="C43" s="136" t="s">
        <v>125</v>
      </c>
      <c r="D43" s="161" t="s">
        <v>619</v>
      </c>
      <c r="E43" s="136"/>
      <c r="F43" s="136"/>
      <c r="G43" s="136"/>
      <c r="H43" s="136"/>
      <c r="I43" s="136"/>
      <c r="J43" s="136"/>
      <c r="K43" s="136"/>
      <c r="L43" s="136"/>
      <c r="M43" s="136"/>
      <c r="N43" s="136"/>
      <c r="O43" s="136"/>
      <c r="P43" s="136"/>
      <c r="Q43" s="136"/>
      <c r="R43" s="136"/>
      <c r="S43" s="136" t="s">
        <v>243</v>
      </c>
      <c r="T43" s="135" t="s">
        <v>760</v>
      </c>
      <c r="U43" s="120">
        <f>П4ВСР!Z372</f>
        <v>700</v>
      </c>
      <c r="V43" s="120">
        <f>П4ВСР!AA372</f>
        <v>2000</v>
      </c>
      <c r="W43" s="120">
        <f>П4ВСР!AB372</f>
        <v>2000</v>
      </c>
      <c r="X43" s="118" t="s">
        <v>418</v>
      </c>
    </row>
    <row r="44" spans="1:24" ht="171" customHeight="1" x14ac:dyDescent="0.25">
      <c r="A44" s="118"/>
      <c r="B44" s="136" t="s">
        <v>122</v>
      </c>
      <c r="C44" s="136" t="s">
        <v>125</v>
      </c>
      <c r="D44" s="230" t="s">
        <v>1487</v>
      </c>
      <c r="E44" s="136"/>
      <c r="F44" s="136"/>
      <c r="G44" s="136"/>
      <c r="H44" s="136"/>
      <c r="I44" s="136"/>
      <c r="J44" s="136"/>
      <c r="K44" s="136"/>
      <c r="L44" s="136"/>
      <c r="M44" s="136"/>
      <c r="N44" s="136"/>
      <c r="O44" s="136"/>
      <c r="P44" s="136"/>
      <c r="Q44" s="136"/>
      <c r="R44" s="136"/>
      <c r="S44" s="136"/>
      <c r="T44" s="153" t="s">
        <v>1486</v>
      </c>
      <c r="U44" s="120">
        <f>U45</f>
        <v>1000</v>
      </c>
      <c r="V44" s="120">
        <v>0</v>
      </c>
      <c r="W44" s="120">
        <v>0</v>
      </c>
      <c r="X44" s="118"/>
    </row>
    <row r="45" spans="1:24" ht="102.75" customHeight="1" x14ac:dyDescent="0.25">
      <c r="A45" s="118"/>
      <c r="B45" s="136" t="s">
        <v>122</v>
      </c>
      <c r="C45" s="136" t="s">
        <v>125</v>
      </c>
      <c r="D45" s="230" t="s">
        <v>1487</v>
      </c>
      <c r="E45" s="136"/>
      <c r="F45" s="136"/>
      <c r="G45" s="136"/>
      <c r="H45" s="136"/>
      <c r="I45" s="136"/>
      <c r="J45" s="136"/>
      <c r="K45" s="136"/>
      <c r="L45" s="136"/>
      <c r="M45" s="136"/>
      <c r="N45" s="136"/>
      <c r="O45" s="136"/>
      <c r="P45" s="136"/>
      <c r="Q45" s="136"/>
      <c r="R45" s="136"/>
      <c r="S45" s="136" t="s">
        <v>38</v>
      </c>
      <c r="T45" s="135" t="s">
        <v>1488</v>
      </c>
      <c r="U45" s="120">
        <f>П4ВСР!Z374</f>
        <v>1000</v>
      </c>
      <c r="V45" s="120">
        <v>0</v>
      </c>
      <c r="W45" s="120">
        <v>0</v>
      </c>
      <c r="X45" s="118"/>
    </row>
    <row r="46" spans="1:24" ht="204.75" customHeight="1" x14ac:dyDescent="0.25">
      <c r="A46" s="118"/>
      <c r="B46" s="136" t="s">
        <v>122</v>
      </c>
      <c r="C46" s="136" t="s">
        <v>125</v>
      </c>
      <c r="D46" s="230" t="s">
        <v>1092</v>
      </c>
      <c r="E46" s="136"/>
      <c r="F46" s="136"/>
      <c r="G46" s="136"/>
      <c r="H46" s="136"/>
      <c r="I46" s="136"/>
      <c r="J46" s="136"/>
      <c r="K46" s="136"/>
      <c r="L46" s="136"/>
      <c r="M46" s="136"/>
      <c r="N46" s="136"/>
      <c r="O46" s="136"/>
      <c r="P46" s="136"/>
      <c r="Q46" s="136"/>
      <c r="R46" s="136"/>
      <c r="S46" s="136"/>
      <c r="T46" s="155" t="s">
        <v>1312</v>
      </c>
      <c r="U46" s="120">
        <f>U47</f>
        <v>23806</v>
      </c>
      <c r="V46" s="120">
        <f>V47</f>
        <v>24087</v>
      </c>
      <c r="W46" s="120">
        <f>W47</f>
        <v>24325</v>
      </c>
      <c r="X46" s="118"/>
    </row>
    <row r="47" spans="1:24" ht="114.75" customHeight="1" x14ac:dyDescent="0.25">
      <c r="A47" s="118"/>
      <c r="B47" s="136" t="s">
        <v>122</v>
      </c>
      <c r="C47" s="136" t="s">
        <v>125</v>
      </c>
      <c r="D47" s="230" t="s">
        <v>1092</v>
      </c>
      <c r="E47" s="136"/>
      <c r="F47" s="136"/>
      <c r="G47" s="136"/>
      <c r="H47" s="136"/>
      <c r="I47" s="136"/>
      <c r="J47" s="136"/>
      <c r="K47" s="136"/>
      <c r="L47" s="136"/>
      <c r="M47" s="136"/>
      <c r="N47" s="136"/>
      <c r="O47" s="136"/>
      <c r="P47" s="136"/>
      <c r="Q47" s="136"/>
      <c r="R47" s="136"/>
      <c r="S47" s="136" t="s">
        <v>38</v>
      </c>
      <c r="T47" s="135" t="s">
        <v>723</v>
      </c>
      <c r="U47" s="120">
        <f>П4ВСР!Z376</f>
        <v>23806</v>
      </c>
      <c r="V47" s="120">
        <f>П4ВСР!AA376</f>
        <v>24087</v>
      </c>
      <c r="W47" s="120">
        <f>П4ВСР!AB376</f>
        <v>24325</v>
      </c>
      <c r="X47" s="118"/>
    </row>
    <row r="48" spans="1:24" ht="206.25" customHeight="1" x14ac:dyDescent="0.25">
      <c r="A48" s="118" t="s">
        <v>419</v>
      </c>
      <c r="B48" s="161" t="s">
        <v>122</v>
      </c>
      <c r="C48" s="161" t="s">
        <v>125</v>
      </c>
      <c r="D48" s="161" t="s">
        <v>620</v>
      </c>
      <c r="E48" s="161"/>
      <c r="F48" s="161"/>
      <c r="G48" s="161"/>
      <c r="H48" s="161"/>
      <c r="I48" s="161"/>
      <c r="J48" s="161"/>
      <c r="K48" s="161"/>
      <c r="L48" s="161"/>
      <c r="M48" s="161"/>
      <c r="N48" s="161"/>
      <c r="O48" s="161"/>
      <c r="P48" s="161"/>
      <c r="Q48" s="161"/>
      <c r="R48" s="161"/>
      <c r="S48" s="161"/>
      <c r="T48" s="153" t="s">
        <v>1291</v>
      </c>
      <c r="U48" s="120">
        <f>U49</f>
        <v>707638.46</v>
      </c>
      <c r="V48" s="120">
        <f>V49</f>
        <v>576000</v>
      </c>
      <c r="W48" s="120">
        <f>W49</f>
        <v>576000</v>
      </c>
      <c r="X48" s="118" t="s">
        <v>419</v>
      </c>
    </row>
    <row r="49" spans="1:24" ht="123.75" customHeight="1" x14ac:dyDescent="0.25">
      <c r="A49" s="124" t="s">
        <v>420</v>
      </c>
      <c r="B49" s="136" t="s">
        <v>122</v>
      </c>
      <c r="C49" s="136" t="s">
        <v>125</v>
      </c>
      <c r="D49" s="161" t="s">
        <v>620</v>
      </c>
      <c r="E49" s="136"/>
      <c r="F49" s="136"/>
      <c r="G49" s="136"/>
      <c r="H49" s="136"/>
      <c r="I49" s="136"/>
      <c r="J49" s="136"/>
      <c r="K49" s="136"/>
      <c r="L49" s="136"/>
      <c r="M49" s="136"/>
      <c r="N49" s="136"/>
      <c r="O49" s="136"/>
      <c r="P49" s="136"/>
      <c r="Q49" s="136"/>
      <c r="R49" s="136"/>
      <c r="S49" s="136" t="s">
        <v>38</v>
      </c>
      <c r="T49" s="154" t="s">
        <v>723</v>
      </c>
      <c r="U49" s="120">
        <f>П4ВСР!Z378</f>
        <v>707638.46</v>
      </c>
      <c r="V49" s="120">
        <f>П4ВСР!AA378</f>
        <v>576000</v>
      </c>
      <c r="W49" s="120">
        <f>П4ВСР!AB378</f>
        <v>576000</v>
      </c>
      <c r="X49" s="124" t="s">
        <v>420</v>
      </c>
    </row>
    <row r="50" spans="1:24" ht="74.45" customHeight="1" x14ac:dyDescent="0.25">
      <c r="A50" s="118" t="s">
        <v>239</v>
      </c>
      <c r="B50" s="119" t="s">
        <v>122</v>
      </c>
      <c r="C50" s="119" t="s">
        <v>125</v>
      </c>
      <c r="D50" s="134" t="s">
        <v>529</v>
      </c>
      <c r="E50" s="119"/>
      <c r="F50" s="119"/>
      <c r="G50" s="119"/>
      <c r="H50" s="119"/>
      <c r="I50" s="119"/>
      <c r="J50" s="119"/>
      <c r="K50" s="119"/>
      <c r="L50" s="119"/>
      <c r="M50" s="119"/>
      <c r="N50" s="119"/>
      <c r="O50" s="119"/>
      <c r="P50" s="119"/>
      <c r="Q50" s="119"/>
      <c r="R50" s="119"/>
      <c r="S50" s="119"/>
      <c r="T50" s="118" t="s">
        <v>239</v>
      </c>
      <c r="U50" s="120">
        <f>U51</f>
        <v>285199.07000000007</v>
      </c>
      <c r="V50" s="120">
        <f>V51</f>
        <v>570430.68000000005</v>
      </c>
      <c r="W50" s="120">
        <f>W51</f>
        <v>570430.68000000005</v>
      </c>
      <c r="X50" s="118" t="s">
        <v>239</v>
      </c>
    </row>
    <row r="51" spans="1:24" ht="111" customHeight="1" x14ac:dyDescent="0.25">
      <c r="A51" s="124" t="s">
        <v>287</v>
      </c>
      <c r="B51" s="122" t="s">
        <v>122</v>
      </c>
      <c r="C51" s="122" t="s">
        <v>125</v>
      </c>
      <c r="D51" s="134" t="s">
        <v>529</v>
      </c>
      <c r="E51" s="122"/>
      <c r="F51" s="122"/>
      <c r="G51" s="122"/>
      <c r="H51" s="122"/>
      <c r="I51" s="122"/>
      <c r="J51" s="122"/>
      <c r="K51" s="122"/>
      <c r="L51" s="122"/>
      <c r="M51" s="122"/>
      <c r="N51" s="122"/>
      <c r="O51" s="122"/>
      <c r="P51" s="122"/>
      <c r="Q51" s="122"/>
      <c r="R51" s="122"/>
      <c r="S51" s="122" t="s">
        <v>38</v>
      </c>
      <c r="T51" s="958" t="s">
        <v>723</v>
      </c>
      <c r="U51" s="120">
        <f>П4ВСР!Z42</f>
        <v>285199.07000000007</v>
      </c>
      <c r="V51" s="120">
        <f>П4ВСР!AA42</f>
        <v>570430.68000000005</v>
      </c>
      <c r="W51" s="120">
        <f>П4ВСР!AB42</f>
        <v>570430.68000000005</v>
      </c>
      <c r="X51" s="124" t="s">
        <v>287</v>
      </c>
    </row>
    <row r="52" spans="1:24" s="18" customFormat="1" ht="114" customHeight="1" x14ac:dyDescent="0.25">
      <c r="A52" s="124"/>
      <c r="B52" s="161" t="s">
        <v>122</v>
      </c>
      <c r="C52" s="161" t="s">
        <v>125</v>
      </c>
      <c r="D52" s="230" t="s">
        <v>1519</v>
      </c>
      <c r="E52" s="161"/>
      <c r="F52" s="161"/>
      <c r="G52" s="161"/>
      <c r="H52" s="161"/>
      <c r="I52" s="161"/>
      <c r="J52" s="161"/>
      <c r="K52" s="161"/>
      <c r="L52" s="161"/>
      <c r="M52" s="161"/>
      <c r="N52" s="161"/>
      <c r="O52" s="161"/>
      <c r="P52" s="161"/>
      <c r="Q52" s="161"/>
      <c r="R52" s="161"/>
      <c r="S52" s="1000"/>
      <c r="T52" s="1001" t="s">
        <v>1518</v>
      </c>
      <c r="U52" s="485">
        <f>U53+U54</f>
        <v>225348.07</v>
      </c>
      <c r="V52" s="219">
        <f t="shared" ref="V52:W52" si="4">V53+V54</f>
        <v>0</v>
      </c>
      <c r="W52" s="219">
        <f t="shared" si="4"/>
        <v>0</v>
      </c>
      <c r="X52" s="124"/>
    </row>
    <row r="53" spans="1:24" ht="101.25" customHeight="1" x14ac:dyDescent="0.25">
      <c r="A53" s="124"/>
      <c r="B53" s="136" t="s">
        <v>122</v>
      </c>
      <c r="C53" s="136" t="s">
        <v>125</v>
      </c>
      <c r="D53" s="230" t="s">
        <v>1519</v>
      </c>
      <c r="E53" s="136"/>
      <c r="F53" s="136"/>
      <c r="G53" s="136"/>
      <c r="H53" s="136"/>
      <c r="I53" s="136"/>
      <c r="J53" s="136"/>
      <c r="K53" s="136"/>
      <c r="L53" s="136"/>
      <c r="M53" s="136"/>
      <c r="N53" s="136"/>
      <c r="O53" s="136"/>
      <c r="P53" s="136"/>
      <c r="Q53" s="136"/>
      <c r="R53" s="136"/>
      <c r="S53" s="443" t="s">
        <v>38</v>
      </c>
      <c r="T53" s="1002" t="s">
        <v>723</v>
      </c>
      <c r="U53" s="485">
        <v>221174.91</v>
      </c>
      <c r="V53" s="219">
        <v>0</v>
      </c>
      <c r="W53" s="219">
        <v>0</v>
      </c>
      <c r="X53" s="124"/>
    </row>
    <row r="54" spans="1:24" ht="46.5" customHeight="1" x14ac:dyDescent="0.25">
      <c r="A54" s="124"/>
      <c r="B54" s="136" t="s">
        <v>122</v>
      </c>
      <c r="C54" s="136" t="s">
        <v>125</v>
      </c>
      <c r="D54" s="230" t="s">
        <v>1519</v>
      </c>
      <c r="E54" s="136"/>
      <c r="F54" s="136"/>
      <c r="G54" s="136"/>
      <c r="H54" s="136"/>
      <c r="I54" s="136"/>
      <c r="J54" s="136"/>
      <c r="K54" s="136"/>
      <c r="L54" s="136"/>
      <c r="M54" s="136"/>
      <c r="N54" s="136"/>
      <c r="O54" s="136"/>
      <c r="P54" s="136"/>
      <c r="Q54" s="136"/>
      <c r="R54" s="136"/>
      <c r="S54" s="443" t="s">
        <v>275</v>
      </c>
      <c r="T54" s="1002" t="s">
        <v>565</v>
      </c>
      <c r="U54" s="485">
        <v>4173.16</v>
      </c>
      <c r="V54" s="219">
        <v>0</v>
      </c>
      <c r="W54" s="219">
        <v>0</v>
      </c>
      <c r="X54" s="124"/>
    </row>
    <row r="55" spans="1:24" ht="169.5" customHeight="1" x14ac:dyDescent="0.25">
      <c r="A55" s="124"/>
      <c r="B55" s="166" t="s">
        <v>122</v>
      </c>
      <c r="C55" s="166" t="s">
        <v>138</v>
      </c>
      <c r="D55" s="134" t="s">
        <v>710</v>
      </c>
      <c r="E55" s="122"/>
      <c r="F55" s="122"/>
      <c r="G55" s="122"/>
      <c r="H55" s="122"/>
      <c r="I55" s="122"/>
      <c r="J55" s="122"/>
      <c r="K55" s="122"/>
      <c r="L55" s="122"/>
      <c r="M55" s="122"/>
      <c r="N55" s="122"/>
      <c r="O55" s="122"/>
      <c r="P55" s="122"/>
      <c r="Q55" s="122"/>
      <c r="R55" s="122"/>
      <c r="S55" s="122"/>
      <c r="T55" s="280" t="s">
        <v>1221</v>
      </c>
      <c r="U55" s="120">
        <f>U56</f>
        <v>2300839.5499999998</v>
      </c>
      <c r="V55" s="120">
        <f>V56</f>
        <v>0</v>
      </c>
      <c r="W55" s="120">
        <f>W56</f>
        <v>0</v>
      </c>
      <c r="X55" s="124"/>
    </row>
    <row r="56" spans="1:24" ht="29.25" customHeight="1" x14ac:dyDescent="0.25">
      <c r="A56" s="124"/>
      <c r="B56" s="166" t="s">
        <v>122</v>
      </c>
      <c r="C56" s="166" t="s">
        <v>138</v>
      </c>
      <c r="D56" s="134" t="s">
        <v>710</v>
      </c>
      <c r="E56" s="122"/>
      <c r="F56" s="122"/>
      <c r="G56" s="122"/>
      <c r="H56" s="122"/>
      <c r="I56" s="122"/>
      <c r="J56" s="122"/>
      <c r="K56" s="122"/>
      <c r="L56" s="122"/>
      <c r="M56" s="122"/>
      <c r="N56" s="122"/>
      <c r="O56" s="122"/>
      <c r="P56" s="122"/>
      <c r="Q56" s="122"/>
      <c r="R56" s="122"/>
      <c r="S56" s="167" t="s">
        <v>243</v>
      </c>
      <c r="T56" s="121" t="s">
        <v>721</v>
      </c>
      <c r="U56" s="120">
        <f>П4ВСР!Z45</f>
        <v>2300839.5499999998</v>
      </c>
      <c r="V56" s="120">
        <f>П4ВСР!AA45</f>
        <v>0</v>
      </c>
      <c r="W56" s="120">
        <f>П4ВСР!AB45</f>
        <v>0</v>
      </c>
      <c r="X56" s="124"/>
    </row>
    <row r="57" spans="1:24" ht="18.600000000000001" customHeight="1" x14ac:dyDescent="0.25">
      <c r="A57" s="118" t="s">
        <v>140</v>
      </c>
      <c r="B57" s="178" t="s">
        <v>122</v>
      </c>
      <c r="C57" s="178" t="s">
        <v>128</v>
      </c>
      <c r="D57" s="178"/>
      <c r="E57" s="178"/>
      <c r="F57" s="178"/>
      <c r="G57" s="178"/>
      <c r="H57" s="178"/>
      <c r="I57" s="178"/>
      <c r="J57" s="178"/>
      <c r="K57" s="178"/>
      <c r="L57" s="178"/>
      <c r="M57" s="178"/>
      <c r="N57" s="178"/>
      <c r="O57" s="178"/>
      <c r="P57" s="178"/>
      <c r="Q57" s="178"/>
      <c r="R57" s="178"/>
      <c r="S57" s="178"/>
      <c r="T57" s="176" t="s">
        <v>140</v>
      </c>
      <c r="U57" s="170">
        <f t="shared" ref="U57:W58" si="5">U58</f>
        <v>351931</v>
      </c>
      <c r="V57" s="170">
        <f t="shared" si="5"/>
        <v>351931</v>
      </c>
      <c r="W57" s="170">
        <f t="shared" si="5"/>
        <v>351931</v>
      </c>
      <c r="X57" s="118" t="s">
        <v>140</v>
      </c>
    </row>
    <row r="58" spans="1:24" ht="156.75" customHeight="1" x14ac:dyDescent="0.25">
      <c r="A58" s="118" t="s">
        <v>288</v>
      </c>
      <c r="B58" s="119" t="s">
        <v>122</v>
      </c>
      <c r="C58" s="119" t="s">
        <v>128</v>
      </c>
      <c r="D58" s="134" t="s">
        <v>530</v>
      </c>
      <c r="E58" s="119"/>
      <c r="F58" s="119"/>
      <c r="G58" s="119"/>
      <c r="H58" s="119"/>
      <c r="I58" s="119"/>
      <c r="J58" s="119"/>
      <c r="K58" s="119"/>
      <c r="L58" s="119"/>
      <c r="M58" s="119"/>
      <c r="N58" s="119"/>
      <c r="O58" s="119"/>
      <c r="P58" s="119"/>
      <c r="Q58" s="119"/>
      <c r="R58" s="119"/>
      <c r="S58" s="119"/>
      <c r="T58" s="153" t="s">
        <v>1327</v>
      </c>
      <c r="U58" s="120">
        <f t="shared" si="5"/>
        <v>351931</v>
      </c>
      <c r="V58" s="120">
        <f t="shared" si="5"/>
        <v>351931</v>
      </c>
      <c r="W58" s="120">
        <f t="shared" si="5"/>
        <v>351931</v>
      </c>
      <c r="X58" s="118" t="s">
        <v>288</v>
      </c>
    </row>
    <row r="59" spans="1:24" ht="30" customHeight="1" x14ac:dyDescent="0.25">
      <c r="A59" s="118" t="s">
        <v>289</v>
      </c>
      <c r="B59" s="122" t="s">
        <v>122</v>
      </c>
      <c r="C59" s="122" t="s">
        <v>128</v>
      </c>
      <c r="D59" s="134" t="s">
        <v>530</v>
      </c>
      <c r="E59" s="122"/>
      <c r="F59" s="122"/>
      <c r="G59" s="122"/>
      <c r="H59" s="122"/>
      <c r="I59" s="122"/>
      <c r="J59" s="122"/>
      <c r="K59" s="122"/>
      <c r="L59" s="122"/>
      <c r="M59" s="122"/>
      <c r="N59" s="122"/>
      <c r="O59" s="122"/>
      <c r="P59" s="122"/>
      <c r="Q59" s="122"/>
      <c r="R59" s="122"/>
      <c r="S59" s="122" t="s">
        <v>243</v>
      </c>
      <c r="T59" s="135" t="s">
        <v>760</v>
      </c>
      <c r="U59" s="120">
        <f>П4ВСР!Z48</f>
        <v>351931</v>
      </c>
      <c r="V59" s="120">
        <f>П4ВСР!AA48</f>
        <v>351931</v>
      </c>
      <c r="W59" s="120">
        <f>П4ВСР!AB48</f>
        <v>351931</v>
      </c>
      <c r="X59" s="118" t="s">
        <v>289</v>
      </c>
    </row>
    <row r="60" spans="1:24" ht="33" customHeight="1" x14ac:dyDescent="0.25">
      <c r="A60" s="118" t="s">
        <v>141</v>
      </c>
      <c r="B60" s="178" t="s">
        <v>122</v>
      </c>
      <c r="C60" s="178" t="s">
        <v>130</v>
      </c>
      <c r="D60" s="178"/>
      <c r="E60" s="178"/>
      <c r="F60" s="178"/>
      <c r="G60" s="178"/>
      <c r="H60" s="178"/>
      <c r="I60" s="178"/>
      <c r="J60" s="178"/>
      <c r="K60" s="178"/>
      <c r="L60" s="178"/>
      <c r="M60" s="178"/>
      <c r="N60" s="178"/>
      <c r="O60" s="178"/>
      <c r="P60" s="178"/>
      <c r="Q60" s="178"/>
      <c r="R60" s="178"/>
      <c r="S60" s="178"/>
      <c r="T60" s="727" t="s">
        <v>141</v>
      </c>
      <c r="U60" s="170">
        <f>U63+U65+U71+U82+U126+U131+U88+U135+U84+U129+U86+U117+U123+U80+U90+U92+U96+U111+U61+U106+U113+U100+U102+U108+U76+U104+U69+U120+U78+U74+U115+U133</f>
        <v>102855705.73999999</v>
      </c>
      <c r="V60" s="170">
        <f>V63+V65+V71+V82+V126+V131+V88+V135+V84+V129+V86+V117+V123+V80+V90+V92+V96+V111+V61+V106+V113+V100+V69+V120</f>
        <v>51793386.300000019</v>
      </c>
      <c r="W60" s="170">
        <f>W63+W65+W71+W82+W126+W131+W88+W135+W84+W129+W86+W117+W123+W80+W90+W92+W96+W111+W61+W106+W113+W100+W69+W120</f>
        <v>51439422.63000001</v>
      </c>
      <c r="X60" s="118" t="s">
        <v>141</v>
      </c>
    </row>
    <row r="61" spans="1:24" ht="199.5" customHeight="1" x14ac:dyDescent="0.25">
      <c r="A61" s="118"/>
      <c r="B61" s="119" t="s">
        <v>122</v>
      </c>
      <c r="C61" s="119" t="s">
        <v>130</v>
      </c>
      <c r="D61" s="230" t="s">
        <v>640</v>
      </c>
      <c r="E61" s="218"/>
      <c r="F61" s="218"/>
      <c r="G61" s="218"/>
      <c r="H61" s="218"/>
      <c r="I61" s="218"/>
      <c r="J61" s="218"/>
      <c r="K61" s="218"/>
      <c r="L61" s="218"/>
      <c r="M61" s="218"/>
      <c r="N61" s="218"/>
      <c r="O61" s="218"/>
      <c r="P61" s="218"/>
      <c r="Q61" s="218"/>
      <c r="R61" s="218"/>
      <c r="S61" s="726"/>
      <c r="T61" s="725" t="s">
        <v>1223</v>
      </c>
      <c r="U61" s="180">
        <f>U62</f>
        <v>500000</v>
      </c>
      <c r="V61" s="120">
        <v>0</v>
      </c>
      <c r="W61" s="120">
        <v>0</v>
      </c>
      <c r="X61" s="118"/>
    </row>
    <row r="62" spans="1:24" ht="45" customHeight="1" x14ac:dyDescent="0.25">
      <c r="A62" s="118"/>
      <c r="B62" s="119" t="s">
        <v>122</v>
      </c>
      <c r="C62" s="119" t="s">
        <v>130</v>
      </c>
      <c r="D62" s="230" t="s">
        <v>640</v>
      </c>
      <c r="E62" s="218"/>
      <c r="F62" s="218"/>
      <c r="G62" s="218"/>
      <c r="H62" s="218"/>
      <c r="I62" s="218"/>
      <c r="J62" s="218"/>
      <c r="K62" s="218"/>
      <c r="L62" s="218"/>
      <c r="M62" s="218"/>
      <c r="N62" s="218"/>
      <c r="O62" s="218"/>
      <c r="P62" s="218"/>
      <c r="Q62" s="218"/>
      <c r="R62" s="218"/>
      <c r="S62" s="889" t="s">
        <v>427</v>
      </c>
      <c r="T62" s="778" t="s">
        <v>1167</v>
      </c>
      <c r="U62" s="180">
        <f>П4ВСР!Z411</f>
        <v>500000</v>
      </c>
      <c r="V62" s="120">
        <v>0</v>
      </c>
      <c r="W62" s="120">
        <v>0</v>
      </c>
      <c r="X62" s="118"/>
    </row>
    <row r="63" spans="1:24" ht="172.5" customHeight="1" x14ac:dyDescent="0.25">
      <c r="A63" s="118" t="s">
        <v>290</v>
      </c>
      <c r="B63" s="119" t="s">
        <v>122</v>
      </c>
      <c r="C63" s="119" t="s">
        <v>130</v>
      </c>
      <c r="D63" s="230" t="s">
        <v>986</v>
      </c>
      <c r="E63" s="119"/>
      <c r="F63" s="119"/>
      <c r="G63" s="119"/>
      <c r="H63" s="119"/>
      <c r="I63" s="119"/>
      <c r="J63" s="119"/>
      <c r="K63" s="119"/>
      <c r="L63" s="119"/>
      <c r="M63" s="119"/>
      <c r="N63" s="119"/>
      <c r="O63" s="119"/>
      <c r="P63" s="119"/>
      <c r="Q63" s="119"/>
      <c r="R63" s="119"/>
      <c r="S63" s="119"/>
      <c r="T63" s="723" t="s">
        <v>1417</v>
      </c>
      <c r="U63" s="120">
        <f>U64</f>
        <v>3190451.22</v>
      </c>
      <c r="V63" s="120">
        <f>V64</f>
        <v>0</v>
      </c>
      <c r="W63" s="120">
        <f>W64</f>
        <v>0</v>
      </c>
      <c r="X63" s="118" t="s">
        <v>290</v>
      </c>
    </row>
    <row r="64" spans="1:24" ht="37.5" customHeight="1" x14ac:dyDescent="0.25">
      <c r="A64" s="118" t="s">
        <v>291</v>
      </c>
      <c r="B64" s="119" t="s">
        <v>122</v>
      </c>
      <c r="C64" s="119" t="s">
        <v>130</v>
      </c>
      <c r="D64" s="230" t="s">
        <v>986</v>
      </c>
      <c r="E64" s="122"/>
      <c r="F64" s="122"/>
      <c r="G64" s="122"/>
      <c r="H64" s="122"/>
      <c r="I64" s="122"/>
      <c r="J64" s="122"/>
      <c r="K64" s="122"/>
      <c r="L64" s="122"/>
      <c r="M64" s="122"/>
      <c r="N64" s="122"/>
      <c r="O64" s="122"/>
      <c r="P64" s="122"/>
      <c r="Q64" s="122"/>
      <c r="R64" s="122"/>
      <c r="S64" s="122" t="s">
        <v>427</v>
      </c>
      <c r="T64" s="154" t="s">
        <v>1167</v>
      </c>
      <c r="U64" s="120">
        <f>П4ВСР!Z405</f>
        <v>3190451.22</v>
      </c>
      <c r="V64" s="120">
        <f>П4ВСР!AA51</f>
        <v>0</v>
      </c>
      <c r="W64" s="120">
        <f>П4ВСР!AB51</f>
        <v>0</v>
      </c>
      <c r="X64" s="118" t="s">
        <v>291</v>
      </c>
    </row>
    <row r="65" spans="1:24" ht="190.5" customHeight="1" x14ac:dyDescent="0.25">
      <c r="A65" s="118" t="s">
        <v>479</v>
      </c>
      <c r="B65" s="161" t="s">
        <v>122</v>
      </c>
      <c r="C65" s="161" t="s">
        <v>130</v>
      </c>
      <c r="D65" s="161" t="s">
        <v>639</v>
      </c>
      <c r="E65" s="161"/>
      <c r="F65" s="161"/>
      <c r="G65" s="161"/>
      <c r="H65" s="161"/>
      <c r="I65" s="161"/>
      <c r="J65" s="161"/>
      <c r="K65" s="161"/>
      <c r="L65" s="161"/>
      <c r="M65" s="161"/>
      <c r="N65" s="161"/>
      <c r="O65" s="161"/>
      <c r="P65" s="161"/>
      <c r="Q65" s="161"/>
      <c r="R65" s="161"/>
      <c r="S65" s="161"/>
      <c r="T65" s="153" t="s">
        <v>1222</v>
      </c>
      <c r="U65" s="120">
        <f>U66+U67+U68</f>
        <v>6875959.2400000002</v>
      </c>
      <c r="V65" s="120">
        <f>V66+V67+V68</f>
        <v>5978822.0899999999</v>
      </c>
      <c r="W65" s="120">
        <f>W66+W67+W68</f>
        <v>5824792.2800000003</v>
      </c>
      <c r="X65" s="118" t="s">
        <v>479</v>
      </c>
    </row>
    <row r="66" spans="1:24" ht="105" customHeight="1" x14ac:dyDescent="0.25">
      <c r="A66" s="124" t="s">
        <v>480</v>
      </c>
      <c r="B66" s="136" t="s">
        <v>122</v>
      </c>
      <c r="C66" s="136" t="s">
        <v>130</v>
      </c>
      <c r="D66" s="161" t="s">
        <v>639</v>
      </c>
      <c r="E66" s="136"/>
      <c r="F66" s="136"/>
      <c r="G66" s="136"/>
      <c r="H66" s="136"/>
      <c r="I66" s="136"/>
      <c r="J66" s="136"/>
      <c r="K66" s="136"/>
      <c r="L66" s="136"/>
      <c r="M66" s="136"/>
      <c r="N66" s="136"/>
      <c r="O66" s="136"/>
      <c r="P66" s="136"/>
      <c r="Q66" s="136"/>
      <c r="R66" s="136"/>
      <c r="S66" s="136" t="s">
        <v>38</v>
      </c>
      <c r="T66" s="154" t="s">
        <v>723</v>
      </c>
      <c r="U66" s="120">
        <f>П4ВСР!Z722</f>
        <v>6158404.2400000002</v>
      </c>
      <c r="V66" s="120">
        <f>П4ВСР!AA722</f>
        <v>5740567.0899999999</v>
      </c>
      <c r="W66" s="120">
        <f>П4ВСР!AB722</f>
        <v>5586537.2800000003</v>
      </c>
      <c r="X66" s="124" t="s">
        <v>480</v>
      </c>
    </row>
    <row r="67" spans="1:24" ht="52.5" customHeight="1" x14ac:dyDescent="0.25">
      <c r="A67" s="118" t="s">
        <v>481</v>
      </c>
      <c r="B67" s="136" t="s">
        <v>122</v>
      </c>
      <c r="C67" s="136" t="s">
        <v>130</v>
      </c>
      <c r="D67" s="161" t="s">
        <v>639</v>
      </c>
      <c r="E67" s="136"/>
      <c r="F67" s="136"/>
      <c r="G67" s="136"/>
      <c r="H67" s="136"/>
      <c r="I67" s="136"/>
      <c r="J67" s="136"/>
      <c r="K67" s="136"/>
      <c r="L67" s="136"/>
      <c r="M67" s="136"/>
      <c r="N67" s="136"/>
      <c r="O67" s="136"/>
      <c r="P67" s="136"/>
      <c r="Q67" s="136"/>
      <c r="R67" s="136"/>
      <c r="S67" s="136" t="s">
        <v>275</v>
      </c>
      <c r="T67" s="135" t="s">
        <v>565</v>
      </c>
      <c r="U67" s="120">
        <f>П4ВСР!Z723</f>
        <v>714174</v>
      </c>
      <c r="V67" s="120">
        <f>П4ВСР!AA723</f>
        <v>234874</v>
      </c>
      <c r="W67" s="120">
        <f>П4ВСР!AB723</f>
        <v>234874</v>
      </c>
      <c r="X67" s="118" t="s">
        <v>481</v>
      </c>
    </row>
    <row r="68" spans="1:24" ht="26.25" customHeight="1" x14ac:dyDescent="0.25">
      <c r="A68" s="118" t="s">
        <v>482</v>
      </c>
      <c r="B68" s="136" t="s">
        <v>122</v>
      </c>
      <c r="C68" s="136" t="s">
        <v>130</v>
      </c>
      <c r="D68" s="161" t="s">
        <v>639</v>
      </c>
      <c r="E68" s="136"/>
      <c r="F68" s="136"/>
      <c r="G68" s="136"/>
      <c r="H68" s="136"/>
      <c r="I68" s="136"/>
      <c r="J68" s="136"/>
      <c r="K68" s="136"/>
      <c r="L68" s="136"/>
      <c r="M68" s="136"/>
      <c r="N68" s="136"/>
      <c r="O68" s="136"/>
      <c r="P68" s="136"/>
      <c r="Q68" s="136"/>
      <c r="R68" s="136"/>
      <c r="S68" s="136" t="s">
        <v>243</v>
      </c>
      <c r="T68" s="135" t="s">
        <v>760</v>
      </c>
      <c r="U68" s="120">
        <f>П4ВСР!Z724</f>
        <v>3381</v>
      </c>
      <c r="V68" s="120">
        <f>П4ВСР!AA724</f>
        <v>3381</v>
      </c>
      <c r="W68" s="120">
        <f>П4ВСР!AB724</f>
        <v>3381</v>
      </c>
      <c r="X68" s="118" t="s">
        <v>482</v>
      </c>
    </row>
    <row r="69" spans="1:24" ht="184.5" customHeight="1" x14ac:dyDescent="0.25">
      <c r="A69" s="118"/>
      <c r="B69" s="136" t="s">
        <v>122</v>
      </c>
      <c r="C69" s="136" t="s">
        <v>130</v>
      </c>
      <c r="D69" s="161" t="s">
        <v>1496</v>
      </c>
      <c r="E69" s="136"/>
      <c r="F69" s="136"/>
      <c r="G69" s="136"/>
      <c r="H69" s="136"/>
      <c r="I69" s="136"/>
      <c r="J69" s="136"/>
      <c r="K69" s="136"/>
      <c r="L69" s="136"/>
      <c r="M69" s="136"/>
      <c r="N69" s="136"/>
      <c r="O69" s="136"/>
      <c r="P69" s="136"/>
      <c r="Q69" s="136"/>
      <c r="R69" s="136"/>
      <c r="S69" s="136"/>
      <c r="T69" s="153" t="s">
        <v>1497</v>
      </c>
      <c r="U69" s="120">
        <f>U70</f>
        <v>31.49</v>
      </c>
      <c r="V69" s="120">
        <f>V70</f>
        <v>41.99</v>
      </c>
      <c r="W69" s="120">
        <f>W70</f>
        <v>41.99</v>
      </c>
      <c r="X69" s="118"/>
    </row>
    <row r="70" spans="1:24" ht="107.25" customHeight="1" x14ac:dyDescent="0.25">
      <c r="A70" s="118"/>
      <c r="B70" s="136" t="s">
        <v>122</v>
      </c>
      <c r="C70" s="136" t="s">
        <v>130</v>
      </c>
      <c r="D70" s="161" t="s">
        <v>1496</v>
      </c>
      <c r="E70" s="136"/>
      <c r="F70" s="136"/>
      <c r="G70" s="136"/>
      <c r="H70" s="136"/>
      <c r="I70" s="136"/>
      <c r="J70" s="136"/>
      <c r="K70" s="136"/>
      <c r="L70" s="136"/>
      <c r="M70" s="136"/>
      <c r="N70" s="136"/>
      <c r="O70" s="136"/>
      <c r="P70" s="136"/>
      <c r="Q70" s="136"/>
      <c r="R70" s="136"/>
      <c r="S70" s="136" t="s">
        <v>38</v>
      </c>
      <c r="T70" s="154" t="s">
        <v>723</v>
      </c>
      <c r="U70" s="120">
        <f>П4ВСР!Z725</f>
        <v>31.49</v>
      </c>
      <c r="V70" s="120">
        <f>П4ВСР!AA725</f>
        <v>41.99</v>
      </c>
      <c r="W70" s="120">
        <f>П4ВСР!AB725</f>
        <v>41.99</v>
      </c>
      <c r="X70" s="118"/>
    </row>
    <row r="71" spans="1:24" ht="204.75" customHeight="1" x14ac:dyDescent="0.25">
      <c r="A71" s="118" t="s">
        <v>483</v>
      </c>
      <c r="B71" s="161" t="s">
        <v>122</v>
      </c>
      <c r="C71" s="161" t="s">
        <v>130</v>
      </c>
      <c r="D71" s="161" t="s">
        <v>640</v>
      </c>
      <c r="E71" s="161"/>
      <c r="F71" s="161"/>
      <c r="G71" s="161"/>
      <c r="H71" s="161"/>
      <c r="I71" s="161"/>
      <c r="J71" s="161"/>
      <c r="K71" s="161"/>
      <c r="L71" s="161"/>
      <c r="M71" s="161"/>
      <c r="N71" s="161"/>
      <c r="O71" s="161"/>
      <c r="P71" s="161"/>
      <c r="Q71" s="161"/>
      <c r="R71" s="161"/>
      <c r="S71" s="161"/>
      <c r="T71" s="153" t="s">
        <v>1223</v>
      </c>
      <c r="U71" s="120">
        <f>U72+U73</f>
        <v>4257865.1399999987</v>
      </c>
      <c r="V71" s="120">
        <f>V72+V73</f>
        <v>3541989.53</v>
      </c>
      <c r="W71" s="120">
        <f>W72+W73</f>
        <v>3541989.53</v>
      </c>
      <c r="X71" s="118" t="s">
        <v>483</v>
      </c>
    </row>
    <row r="72" spans="1:24" ht="46.5" customHeight="1" x14ac:dyDescent="0.25">
      <c r="A72" s="118" t="s">
        <v>484</v>
      </c>
      <c r="B72" s="136" t="s">
        <v>122</v>
      </c>
      <c r="C72" s="136" t="s">
        <v>130</v>
      </c>
      <c r="D72" s="161" t="s">
        <v>640</v>
      </c>
      <c r="E72" s="136"/>
      <c r="F72" s="136"/>
      <c r="G72" s="136"/>
      <c r="H72" s="136"/>
      <c r="I72" s="136"/>
      <c r="J72" s="136"/>
      <c r="K72" s="136"/>
      <c r="L72" s="136"/>
      <c r="M72" s="136"/>
      <c r="N72" s="136"/>
      <c r="O72" s="136"/>
      <c r="P72" s="136"/>
      <c r="Q72" s="136"/>
      <c r="R72" s="136"/>
      <c r="S72" s="136" t="s">
        <v>275</v>
      </c>
      <c r="T72" s="162" t="s">
        <v>565</v>
      </c>
      <c r="U72" s="120">
        <f>П4ВСР!Z728</f>
        <v>4256865.1399999987</v>
      </c>
      <c r="V72" s="120">
        <f>П4ВСР!AA728</f>
        <v>3493863.53</v>
      </c>
      <c r="W72" s="120">
        <f>П4ВСР!AB728</f>
        <v>3493863.53</v>
      </c>
      <c r="X72" s="118" t="s">
        <v>484</v>
      </c>
    </row>
    <row r="73" spans="1:24" ht="28.5" customHeight="1" x14ac:dyDescent="0.25">
      <c r="A73" s="118"/>
      <c r="B73" s="136" t="s">
        <v>122</v>
      </c>
      <c r="C73" s="136" t="s">
        <v>130</v>
      </c>
      <c r="D73" s="161" t="s">
        <v>640</v>
      </c>
      <c r="E73" s="136"/>
      <c r="F73" s="136"/>
      <c r="G73" s="136"/>
      <c r="H73" s="136"/>
      <c r="I73" s="136"/>
      <c r="J73" s="136"/>
      <c r="K73" s="136"/>
      <c r="L73" s="136"/>
      <c r="M73" s="136"/>
      <c r="N73" s="136"/>
      <c r="O73" s="136"/>
      <c r="P73" s="136"/>
      <c r="Q73" s="136"/>
      <c r="R73" s="136"/>
      <c r="S73" s="443" t="s">
        <v>243</v>
      </c>
      <c r="T73" s="260" t="s">
        <v>760</v>
      </c>
      <c r="U73" s="180">
        <f>П4ВСР!Z729</f>
        <v>1000</v>
      </c>
      <c r="V73" s="120">
        <f>П4ВСР!AA729</f>
        <v>48126</v>
      </c>
      <c r="W73" s="120">
        <f>П4ВСР!AB729</f>
        <v>48126</v>
      </c>
      <c r="X73" s="118"/>
    </row>
    <row r="74" spans="1:24" ht="161.25" customHeight="1" x14ac:dyDescent="0.25">
      <c r="A74" s="118"/>
      <c r="B74" s="136" t="s">
        <v>122</v>
      </c>
      <c r="C74" s="136" t="s">
        <v>130</v>
      </c>
      <c r="D74" s="161" t="s">
        <v>768</v>
      </c>
      <c r="E74" s="136"/>
      <c r="F74" s="136"/>
      <c r="G74" s="136"/>
      <c r="H74" s="136"/>
      <c r="I74" s="136"/>
      <c r="J74" s="136"/>
      <c r="K74" s="136"/>
      <c r="L74" s="136"/>
      <c r="M74" s="136"/>
      <c r="N74" s="136"/>
      <c r="O74" s="136"/>
      <c r="P74" s="136"/>
      <c r="Q74" s="136"/>
      <c r="R74" s="136"/>
      <c r="S74" s="443"/>
      <c r="T74" s="988" t="s">
        <v>1536</v>
      </c>
      <c r="U74" s="180">
        <f>U75</f>
        <v>87182</v>
      </c>
      <c r="V74" s="120">
        <v>0</v>
      </c>
      <c r="W74" s="120">
        <v>0</v>
      </c>
      <c r="X74" s="118"/>
    </row>
    <row r="75" spans="1:24" ht="28.5" customHeight="1" x14ac:dyDescent="0.25">
      <c r="A75" s="118"/>
      <c r="B75" s="136" t="s">
        <v>122</v>
      </c>
      <c r="C75" s="136" t="s">
        <v>130</v>
      </c>
      <c r="D75" s="161" t="s">
        <v>768</v>
      </c>
      <c r="E75" s="136"/>
      <c r="F75" s="136"/>
      <c r="G75" s="136"/>
      <c r="H75" s="136"/>
      <c r="I75" s="136"/>
      <c r="J75" s="136"/>
      <c r="K75" s="136"/>
      <c r="L75" s="136"/>
      <c r="M75" s="136"/>
      <c r="N75" s="136"/>
      <c r="O75" s="136"/>
      <c r="P75" s="136"/>
      <c r="Q75" s="136"/>
      <c r="R75" s="136"/>
      <c r="S75" s="443" t="s">
        <v>243</v>
      </c>
      <c r="T75" s="738" t="s">
        <v>760</v>
      </c>
      <c r="U75" s="180">
        <f>П4ВСР!Z730</f>
        <v>87182</v>
      </c>
      <c r="V75" s="120">
        <v>0</v>
      </c>
      <c r="W75" s="120">
        <v>0</v>
      </c>
      <c r="X75" s="118"/>
    </row>
    <row r="76" spans="1:24" ht="170.25" customHeight="1" x14ac:dyDescent="0.25">
      <c r="A76" s="118"/>
      <c r="B76" s="136" t="s">
        <v>122</v>
      </c>
      <c r="C76" s="136" t="s">
        <v>130</v>
      </c>
      <c r="D76" s="244" t="s">
        <v>1494</v>
      </c>
      <c r="E76" s="136"/>
      <c r="F76" s="136"/>
      <c r="G76" s="136"/>
      <c r="H76" s="136"/>
      <c r="I76" s="136"/>
      <c r="J76" s="136"/>
      <c r="K76" s="136"/>
      <c r="L76" s="136"/>
      <c r="M76" s="136"/>
      <c r="N76" s="136"/>
      <c r="O76" s="136"/>
      <c r="P76" s="136"/>
      <c r="Q76" s="136"/>
      <c r="R76" s="136"/>
      <c r="S76" s="136"/>
      <c r="T76" s="262" t="s">
        <v>1495</v>
      </c>
      <c r="U76" s="120">
        <f>U77</f>
        <v>0</v>
      </c>
      <c r="V76" s="120">
        <v>0</v>
      </c>
      <c r="W76" s="120">
        <v>0</v>
      </c>
      <c r="X76" s="118"/>
    </row>
    <row r="77" spans="1:24" ht="34.5" customHeight="1" x14ac:dyDescent="0.25">
      <c r="A77" s="118"/>
      <c r="B77" s="136" t="s">
        <v>122</v>
      </c>
      <c r="C77" s="136" t="s">
        <v>130</v>
      </c>
      <c r="D77" s="244" t="s">
        <v>1494</v>
      </c>
      <c r="E77" s="136"/>
      <c r="F77" s="136"/>
      <c r="G77" s="136"/>
      <c r="H77" s="136"/>
      <c r="I77" s="136"/>
      <c r="J77" s="136"/>
      <c r="K77" s="136"/>
      <c r="L77" s="136"/>
      <c r="M77" s="136"/>
      <c r="N77" s="136"/>
      <c r="O77" s="136"/>
      <c r="P77" s="136"/>
      <c r="Q77" s="136"/>
      <c r="R77" s="136"/>
      <c r="S77" s="136" t="s">
        <v>427</v>
      </c>
      <c r="T77" s="154" t="s">
        <v>1167</v>
      </c>
      <c r="U77" s="120">
        <f>П4ВСР!Z387</f>
        <v>0</v>
      </c>
      <c r="V77" s="120">
        <v>0</v>
      </c>
      <c r="W77" s="120">
        <v>0</v>
      </c>
      <c r="X77" s="118"/>
    </row>
    <row r="78" spans="1:24" ht="180" customHeight="1" x14ac:dyDescent="0.25">
      <c r="A78" s="118"/>
      <c r="B78" s="136" t="s">
        <v>122</v>
      </c>
      <c r="C78" s="136" t="s">
        <v>130</v>
      </c>
      <c r="D78" s="230" t="s">
        <v>1531</v>
      </c>
      <c r="E78" s="136"/>
      <c r="F78" s="136"/>
      <c r="G78" s="136"/>
      <c r="H78" s="136"/>
      <c r="I78" s="136"/>
      <c r="J78" s="136"/>
      <c r="K78" s="136"/>
      <c r="L78" s="136"/>
      <c r="M78" s="136"/>
      <c r="N78" s="136"/>
      <c r="O78" s="136"/>
      <c r="P78" s="136"/>
      <c r="Q78" s="136"/>
      <c r="R78" s="136"/>
      <c r="S78" s="136"/>
      <c r="T78" s="979" t="s">
        <v>1530</v>
      </c>
      <c r="U78" s="120">
        <f>U79</f>
        <v>11000000</v>
      </c>
      <c r="V78" s="120">
        <v>0</v>
      </c>
      <c r="W78" s="120">
        <v>0</v>
      </c>
      <c r="X78" s="118"/>
    </row>
    <row r="79" spans="1:24" ht="40.5" customHeight="1" x14ac:dyDescent="0.25">
      <c r="A79" s="118"/>
      <c r="B79" s="136" t="s">
        <v>122</v>
      </c>
      <c r="C79" s="136" t="s">
        <v>130</v>
      </c>
      <c r="D79" s="230" t="s">
        <v>1531</v>
      </c>
      <c r="E79" s="136"/>
      <c r="F79" s="136"/>
      <c r="G79" s="136"/>
      <c r="H79" s="136"/>
      <c r="I79" s="136"/>
      <c r="J79" s="136"/>
      <c r="K79" s="136"/>
      <c r="L79" s="136"/>
      <c r="M79" s="136"/>
      <c r="N79" s="136"/>
      <c r="O79" s="136"/>
      <c r="P79" s="136"/>
      <c r="Q79" s="136"/>
      <c r="R79" s="136"/>
      <c r="S79" s="136" t="s">
        <v>427</v>
      </c>
      <c r="T79" s="724" t="s">
        <v>1167</v>
      </c>
      <c r="U79" s="120">
        <f>П4ВСР!Z392</f>
        <v>11000000</v>
      </c>
      <c r="V79" s="120">
        <v>0</v>
      </c>
      <c r="W79" s="120">
        <v>0</v>
      </c>
      <c r="X79" s="118"/>
    </row>
    <row r="80" spans="1:24" ht="177.75" customHeight="1" x14ac:dyDescent="0.25">
      <c r="A80" s="118"/>
      <c r="B80" s="136" t="s">
        <v>122</v>
      </c>
      <c r="C80" s="136" t="s">
        <v>130</v>
      </c>
      <c r="D80" s="230" t="s">
        <v>1094</v>
      </c>
      <c r="E80" s="136"/>
      <c r="F80" s="136"/>
      <c r="G80" s="136"/>
      <c r="H80" s="136"/>
      <c r="I80" s="136"/>
      <c r="J80" s="136"/>
      <c r="K80" s="136"/>
      <c r="L80" s="136"/>
      <c r="M80" s="136"/>
      <c r="N80" s="136"/>
      <c r="O80" s="136"/>
      <c r="P80" s="136"/>
      <c r="Q80" s="136"/>
      <c r="R80" s="136"/>
      <c r="S80" s="136"/>
      <c r="T80" s="155" t="s">
        <v>1313</v>
      </c>
      <c r="U80" s="120">
        <f>U81</f>
        <v>23076255.629999999</v>
      </c>
      <c r="V80" s="120">
        <f>V81</f>
        <v>21986350.640000001</v>
      </c>
      <c r="W80" s="120">
        <f>W81</f>
        <v>21986350.640000001</v>
      </c>
      <c r="X80" s="118"/>
    </row>
    <row r="81" spans="1:24" ht="62.25" customHeight="1" x14ac:dyDescent="0.25">
      <c r="A81" s="118"/>
      <c r="B81" s="136" t="s">
        <v>122</v>
      </c>
      <c r="C81" s="136" t="s">
        <v>130</v>
      </c>
      <c r="D81" s="230" t="s">
        <v>1094</v>
      </c>
      <c r="E81" s="136"/>
      <c r="F81" s="136"/>
      <c r="G81" s="136"/>
      <c r="H81" s="136"/>
      <c r="I81" s="136"/>
      <c r="J81" s="136"/>
      <c r="K81" s="136"/>
      <c r="L81" s="136"/>
      <c r="M81" s="136"/>
      <c r="N81" s="136"/>
      <c r="O81" s="136"/>
      <c r="P81" s="136"/>
      <c r="Q81" s="136"/>
      <c r="R81" s="136"/>
      <c r="S81" s="136" t="s">
        <v>294</v>
      </c>
      <c r="T81" s="135" t="s">
        <v>708</v>
      </c>
      <c r="U81" s="120">
        <f>П4ВСР!Z52</f>
        <v>23076255.629999999</v>
      </c>
      <c r="V81" s="120">
        <f>П4ВСР!AA52</f>
        <v>21986350.640000001</v>
      </c>
      <c r="W81" s="120">
        <f>П4ВСР!AB52</f>
        <v>21986350.640000001</v>
      </c>
      <c r="X81" s="118"/>
    </row>
    <row r="82" spans="1:24" ht="189.75" customHeight="1" x14ac:dyDescent="0.25">
      <c r="A82" s="118" t="s">
        <v>292</v>
      </c>
      <c r="B82" s="119" t="s">
        <v>122</v>
      </c>
      <c r="C82" s="119" t="s">
        <v>130</v>
      </c>
      <c r="D82" s="134" t="s">
        <v>532</v>
      </c>
      <c r="E82" s="119"/>
      <c r="F82" s="119"/>
      <c r="G82" s="119"/>
      <c r="H82" s="119"/>
      <c r="I82" s="119"/>
      <c r="J82" s="119"/>
      <c r="K82" s="119"/>
      <c r="L82" s="119"/>
      <c r="M82" s="119"/>
      <c r="N82" s="119"/>
      <c r="O82" s="119"/>
      <c r="P82" s="119"/>
      <c r="Q82" s="119"/>
      <c r="R82" s="119"/>
      <c r="S82" s="119"/>
      <c r="T82" s="153" t="s">
        <v>1402</v>
      </c>
      <c r="U82" s="120">
        <f>U83</f>
        <v>4750000</v>
      </c>
      <c r="V82" s="120">
        <f>V83</f>
        <v>300000</v>
      </c>
      <c r="W82" s="120">
        <f>W83</f>
        <v>0</v>
      </c>
      <c r="X82" s="118" t="s">
        <v>292</v>
      </c>
    </row>
    <row r="83" spans="1:24" ht="54.75" customHeight="1" x14ac:dyDescent="0.25">
      <c r="A83" s="124" t="s">
        <v>293</v>
      </c>
      <c r="B83" s="122" t="s">
        <v>122</v>
      </c>
      <c r="C83" s="122" t="s">
        <v>130</v>
      </c>
      <c r="D83" s="230" t="s">
        <v>532</v>
      </c>
      <c r="E83" s="122"/>
      <c r="F83" s="122"/>
      <c r="G83" s="122"/>
      <c r="H83" s="122"/>
      <c r="I83" s="122"/>
      <c r="J83" s="122"/>
      <c r="K83" s="122"/>
      <c r="L83" s="122"/>
      <c r="M83" s="122"/>
      <c r="N83" s="122"/>
      <c r="O83" s="122"/>
      <c r="P83" s="122"/>
      <c r="Q83" s="122"/>
      <c r="R83" s="122"/>
      <c r="S83" s="122" t="s">
        <v>294</v>
      </c>
      <c r="T83" s="154" t="s">
        <v>708</v>
      </c>
      <c r="U83" s="120">
        <f>П4ВСР!Z55</f>
        <v>4750000</v>
      </c>
      <c r="V83" s="120">
        <f>П4ВСР!AA55</f>
        <v>300000</v>
      </c>
      <c r="W83" s="120">
        <f>П4ВСР!AB55</f>
        <v>0</v>
      </c>
      <c r="X83" s="124" t="s">
        <v>293</v>
      </c>
    </row>
    <row r="84" spans="1:24" ht="40.5" hidden="1" customHeight="1" x14ac:dyDescent="0.25">
      <c r="A84" s="124"/>
      <c r="B84" s="122" t="s">
        <v>122</v>
      </c>
      <c r="C84" s="122" t="s">
        <v>130</v>
      </c>
      <c r="D84" s="230" t="s">
        <v>768</v>
      </c>
      <c r="E84" s="122"/>
      <c r="F84" s="122"/>
      <c r="G84" s="122"/>
      <c r="H84" s="122"/>
      <c r="I84" s="122"/>
      <c r="J84" s="122"/>
      <c r="K84" s="122"/>
      <c r="L84" s="122"/>
      <c r="M84" s="122"/>
      <c r="N84" s="122"/>
      <c r="O84" s="122"/>
      <c r="P84" s="122"/>
      <c r="Q84" s="122"/>
      <c r="R84" s="122"/>
      <c r="S84" s="122"/>
      <c r="T84" s="285" t="s">
        <v>767</v>
      </c>
      <c r="U84" s="120">
        <v>0</v>
      </c>
      <c r="V84" s="120">
        <f>V85</f>
        <v>0</v>
      </c>
      <c r="W84" s="120">
        <f>W85</f>
        <v>0</v>
      </c>
      <c r="X84" s="124"/>
    </row>
    <row r="85" spans="1:24" ht="43.5" hidden="1" customHeight="1" x14ac:dyDescent="0.25">
      <c r="A85" s="124"/>
      <c r="B85" s="122" t="s">
        <v>122</v>
      </c>
      <c r="C85" s="122" t="s">
        <v>130</v>
      </c>
      <c r="D85" s="230" t="s">
        <v>768</v>
      </c>
      <c r="E85" s="122"/>
      <c r="F85" s="122"/>
      <c r="G85" s="122"/>
      <c r="H85" s="122"/>
      <c r="I85" s="122"/>
      <c r="J85" s="122"/>
      <c r="K85" s="122"/>
      <c r="L85" s="122"/>
      <c r="M85" s="122"/>
      <c r="N85" s="122"/>
      <c r="O85" s="122"/>
      <c r="P85" s="122"/>
      <c r="Q85" s="122"/>
      <c r="R85" s="122"/>
      <c r="S85" s="122" t="s">
        <v>243</v>
      </c>
      <c r="T85" s="135" t="s">
        <v>769</v>
      </c>
      <c r="U85" s="120">
        <v>0</v>
      </c>
      <c r="V85" s="120">
        <v>0</v>
      </c>
      <c r="W85" s="120">
        <v>0</v>
      </c>
      <c r="X85" s="124"/>
    </row>
    <row r="86" spans="1:24" ht="37.5" hidden="1" customHeight="1" x14ac:dyDescent="0.25">
      <c r="A86" s="124"/>
      <c r="B86" s="122" t="s">
        <v>122</v>
      </c>
      <c r="C86" s="122" t="s">
        <v>130</v>
      </c>
      <c r="D86" s="230" t="s">
        <v>798</v>
      </c>
      <c r="E86" s="122"/>
      <c r="F86" s="122"/>
      <c r="G86" s="122"/>
      <c r="H86" s="122"/>
      <c r="I86" s="122"/>
      <c r="J86" s="122"/>
      <c r="K86" s="122"/>
      <c r="L86" s="122"/>
      <c r="M86" s="122"/>
      <c r="N86" s="122"/>
      <c r="O86" s="122"/>
      <c r="P86" s="122"/>
      <c r="Q86" s="122"/>
      <c r="R86" s="122"/>
      <c r="S86" s="122"/>
      <c r="T86" s="254" t="s">
        <v>796</v>
      </c>
      <c r="U86" s="120">
        <f>U87</f>
        <v>0</v>
      </c>
      <c r="V86" s="120">
        <v>0</v>
      </c>
      <c r="W86" s="120">
        <v>0</v>
      </c>
      <c r="X86" s="124"/>
    </row>
    <row r="87" spans="1:24" ht="30.75" hidden="1" customHeight="1" x14ac:dyDescent="0.25">
      <c r="A87" s="124"/>
      <c r="B87" s="122" t="s">
        <v>122</v>
      </c>
      <c r="C87" s="122" t="s">
        <v>130</v>
      </c>
      <c r="D87" s="230" t="s">
        <v>798</v>
      </c>
      <c r="E87" s="122"/>
      <c r="F87" s="122"/>
      <c r="G87" s="122"/>
      <c r="H87" s="122"/>
      <c r="I87" s="122"/>
      <c r="J87" s="122"/>
      <c r="K87" s="122"/>
      <c r="L87" s="122"/>
      <c r="M87" s="122"/>
      <c r="N87" s="122"/>
      <c r="O87" s="122"/>
      <c r="P87" s="122"/>
      <c r="Q87" s="122"/>
      <c r="R87" s="122"/>
      <c r="S87" s="122" t="s">
        <v>243</v>
      </c>
      <c r="T87" s="154" t="s">
        <v>797</v>
      </c>
      <c r="U87" s="120">
        <f>П4ВСР!Z57</f>
        <v>0</v>
      </c>
      <c r="V87" s="120">
        <v>0</v>
      </c>
      <c r="W87" s="120">
        <v>0</v>
      </c>
      <c r="X87" s="124"/>
    </row>
    <row r="88" spans="1:24" ht="42" hidden="1" customHeight="1" x14ac:dyDescent="0.25">
      <c r="A88" s="124"/>
      <c r="B88" s="167" t="s">
        <v>122</v>
      </c>
      <c r="C88" s="167" t="s">
        <v>130</v>
      </c>
      <c r="D88" s="230" t="s">
        <v>752</v>
      </c>
      <c r="E88" s="122"/>
      <c r="F88" s="122"/>
      <c r="G88" s="122"/>
      <c r="H88" s="122"/>
      <c r="I88" s="122"/>
      <c r="J88" s="122"/>
      <c r="K88" s="122"/>
      <c r="L88" s="122"/>
      <c r="M88" s="122"/>
      <c r="N88" s="122"/>
      <c r="O88" s="122"/>
      <c r="P88" s="122"/>
      <c r="Q88" s="122"/>
      <c r="R88" s="122"/>
      <c r="S88" s="122"/>
      <c r="T88" s="155" t="s">
        <v>754</v>
      </c>
      <c r="U88" s="120">
        <f>U89</f>
        <v>0</v>
      </c>
      <c r="V88" s="120">
        <f>V89</f>
        <v>0</v>
      </c>
      <c r="W88" s="120">
        <f>W89</f>
        <v>0</v>
      </c>
      <c r="X88" s="124"/>
    </row>
    <row r="89" spans="1:24" ht="0.75" hidden="1" customHeight="1" x14ac:dyDescent="0.25">
      <c r="A89" s="124"/>
      <c r="B89" s="167" t="s">
        <v>122</v>
      </c>
      <c r="C89" s="167" t="s">
        <v>130</v>
      </c>
      <c r="D89" s="230" t="s">
        <v>752</v>
      </c>
      <c r="E89" s="122"/>
      <c r="F89" s="122"/>
      <c r="G89" s="122"/>
      <c r="H89" s="122"/>
      <c r="I89" s="122"/>
      <c r="J89" s="122"/>
      <c r="K89" s="122"/>
      <c r="L89" s="122"/>
      <c r="M89" s="122"/>
      <c r="N89" s="122"/>
      <c r="O89" s="122"/>
      <c r="P89" s="122"/>
      <c r="Q89" s="122"/>
      <c r="R89" s="122"/>
      <c r="S89" s="167" t="s">
        <v>294</v>
      </c>
      <c r="T89" s="749" t="s">
        <v>755</v>
      </c>
      <c r="U89" s="120">
        <f>П4ВСР!Z59</f>
        <v>0</v>
      </c>
      <c r="V89" s="120">
        <v>0</v>
      </c>
      <c r="W89" s="120">
        <v>0</v>
      </c>
      <c r="X89" s="124"/>
    </row>
    <row r="90" spans="1:24" ht="150.75" customHeight="1" x14ac:dyDescent="0.25">
      <c r="A90" s="124"/>
      <c r="B90" s="136" t="s">
        <v>122</v>
      </c>
      <c r="C90" s="136" t="s">
        <v>130</v>
      </c>
      <c r="D90" s="230" t="s">
        <v>1370</v>
      </c>
      <c r="E90" s="122"/>
      <c r="F90" s="122"/>
      <c r="G90" s="122"/>
      <c r="H90" s="122"/>
      <c r="I90" s="122"/>
      <c r="J90" s="122"/>
      <c r="K90" s="122"/>
      <c r="L90" s="122"/>
      <c r="M90" s="122"/>
      <c r="N90" s="122"/>
      <c r="O90" s="122"/>
      <c r="P90" s="122"/>
      <c r="Q90" s="122"/>
      <c r="R90" s="122"/>
      <c r="S90" s="989"/>
      <c r="T90" s="867" t="s">
        <v>1386</v>
      </c>
      <c r="U90" s="180">
        <f>U91</f>
        <v>2348310.9699999997</v>
      </c>
      <c r="V90" s="120">
        <f>V91</f>
        <v>3489834.84</v>
      </c>
      <c r="W90" s="120">
        <f>W91</f>
        <v>3489834.84</v>
      </c>
      <c r="X90" s="124"/>
    </row>
    <row r="91" spans="1:24" ht="57.75" customHeight="1" x14ac:dyDescent="0.25">
      <c r="A91" s="124"/>
      <c r="B91" s="136" t="s">
        <v>122</v>
      </c>
      <c r="C91" s="136" t="s">
        <v>130</v>
      </c>
      <c r="D91" s="230" t="s">
        <v>1370</v>
      </c>
      <c r="E91" s="122"/>
      <c r="F91" s="122"/>
      <c r="G91" s="122"/>
      <c r="H91" s="122"/>
      <c r="I91" s="122"/>
      <c r="J91" s="122"/>
      <c r="K91" s="122"/>
      <c r="L91" s="122"/>
      <c r="M91" s="122"/>
      <c r="N91" s="122"/>
      <c r="O91" s="122"/>
      <c r="P91" s="122"/>
      <c r="Q91" s="122"/>
      <c r="R91" s="122"/>
      <c r="S91" s="122" t="s">
        <v>294</v>
      </c>
      <c r="T91" s="738" t="s">
        <v>708</v>
      </c>
      <c r="U91" s="120">
        <f>П4ВСР!Z61</f>
        <v>2348310.9699999997</v>
      </c>
      <c r="V91" s="120">
        <f>П4ВСР!AA60</f>
        <v>3489834.84</v>
      </c>
      <c r="W91" s="120">
        <f>П4ВСР!AB60</f>
        <v>3489834.84</v>
      </c>
      <c r="X91" s="124"/>
    </row>
    <row r="92" spans="1:24" ht="161.25" customHeight="1" x14ac:dyDescent="0.25">
      <c r="A92" s="124"/>
      <c r="B92" s="136" t="s">
        <v>122</v>
      </c>
      <c r="C92" s="136" t="s">
        <v>130</v>
      </c>
      <c r="D92" s="230" t="s">
        <v>1371</v>
      </c>
      <c r="E92" s="122"/>
      <c r="F92" s="122"/>
      <c r="G92" s="122"/>
      <c r="H92" s="122"/>
      <c r="I92" s="122"/>
      <c r="J92" s="122"/>
      <c r="K92" s="122"/>
      <c r="L92" s="122"/>
      <c r="M92" s="122"/>
      <c r="N92" s="122"/>
      <c r="O92" s="122"/>
      <c r="P92" s="122"/>
      <c r="Q92" s="122"/>
      <c r="R92" s="122"/>
      <c r="S92" s="167"/>
      <c r="T92" s="486" t="s">
        <v>1387</v>
      </c>
      <c r="U92" s="120">
        <f>U93+U94+U95</f>
        <v>10020956.779999999</v>
      </c>
      <c r="V92" s="120">
        <f>V93+V94</f>
        <v>8281043.8099999996</v>
      </c>
      <c r="W92" s="120">
        <f>W93+W94</f>
        <v>8281043.8099999996</v>
      </c>
      <c r="X92" s="124"/>
    </row>
    <row r="93" spans="1:24" ht="96" customHeight="1" x14ac:dyDescent="0.25">
      <c r="A93" s="124"/>
      <c r="B93" s="136" t="s">
        <v>122</v>
      </c>
      <c r="C93" s="136" t="s">
        <v>130</v>
      </c>
      <c r="D93" s="230" t="s">
        <v>1371</v>
      </c>
      <c r="E93" s="122"/>
      <c r="F93" s="122"/>
      <c r="G93" s="122"/>
      <c r="H93" s="122"/>
      <c r="I93" s="122"/>
      <c r="J93" s="122"/>
      <c r="K93" s="122"/>
      <c r="L93" s="122"/>
      <c r="M93" s="122"/>
      <c r="N93" s="122"/>
      <c r="O93" s="122"/>
      <c r="P93" s="122"/>
      <c r="Q93" s="122"/>
      <c r="R93" s="122"/>
      <c r="S93" s="122" t="s">
        <v>38</v>
      </c>
      <c r="T93" s="154" t="s">
        <v>723</v>
      </c>
      <c r="U93" s="120">
        <f>П4ВСР!Z63</f>
        <v>8394875.9899999984</v>
      </c>
      <c r="V93" s="120">
        <f>П4ВСР!AA63</f>
        <v>8181043.8099999996</v>
      </c>
      <c r="W93" s="120">
        <f>П4ВСР!AB63</f>
        <v>8181043.8099999996</v>
      </c>
      <c r="X93" s="124"/>
    </row>
    <row r="94" spans="1:24" ht="54" customHeight="1" x14ac:dyDescent="0.25">
      <c r="A94" s="124"/>
      <c r="B94" s="136" t="s">
        <v>122</v>
      </c>
      <c r="C94" s="136" t="s">
        <v>130</v>
      </c>
      <c r="D94" s="230" t="s">
        <v>1371</v>
      </c>
      <c r="E94" s="122"/>
      <c r="F94" s="122"/>
      <c r="G94" s="122"/>
      <c r="H94" s="122"/>
      <c r="I94" s="122"/>
      <c r="J94" s="122"/>
      <c r="K94" s="122"/>
      <c r="L94" s="122"/>
      <c r="M94" s="122"/>
      <c r="N94" s="122"/>
      <c r="O94" s="122"/>
      <c r="P94" s="122"/>
      <c r="Q94" s="122"/>
      <c r="R94" s="122"/>
      <c r="S94" s="122" t="s">
        <v>275</v>
      </c>
      <c r="T94" s="749" t="s">
        <v>565</v>
      </c>
      <c r="U94" s="120">
        <f>П4ВСР!Z64</f>
        <v>1625013.55</v>
      </c>
      <c r="V94" s="120">
        <f>П4ВСР!AA64</f>
        <v>100000</v>
      </c>
      <c r="W94" s="120">
        <f>П4ВСР!AB64</f>
        <v>100000</v>
      </c>
      <c r="X94" s="124"/>
    </row>
    <row r="95" spans="1:24" ht="36.75" customHeight="1" x14ac:dyDescent="0.25">
      <c r="A95" s="124"/>
      <c r="B95" s="136" t="s">
        <v>122</v>
      </c>
      <c r="C95" s="136" t="s">
        <v>130</v>
      </c>
      <c r="D95" s="230" t="s">
        <v>1371</v>
      </c>
      <c r="E95" s="122"/>
      <c r="F95" s="122"/>
      <c r="G95" s="122"/>
      <c r="H95" s="122"/>
      <c r="I95" s="122"/>
      <c r="J95" s="122"/>
      <c r="K95" s="122"/>
      <c r="L95" s="122"/>
      <c r="M95" s="122"/>
      <c r="N95" s="122"/>
      <c r="O95" s="122"/>
      <c r="P95" s="122"/>
      <c r="Q95" s="122"/>
      <c r="R95" s="122"/>
      <c r="S95" s="255" t="s">
        <v>243</v>
      </c>
      <c r="T95" s="135" t="s">
        <v>760</v>
      </c>
      <c r="U95" s="180">
        <f>П4ВСР!Z65</f>
        <v>1067.24</v>
      </c>
      <c r="V95" s="120">
        <v>0</v>
      </c>
      <c r="W95" s="120">
        <v>0</v>
      </c>
      <c r="X95" s="124"/>
    </row>
    <row r="96" spans="1:24" ht="163.5" customHeight="1" x14ac:dyDescent="0.25">
      <c r="A96" s="124"/>
      <c r="B96" s="136" t="s">
        <v>122</v>
      </c>
      <c r="C96" s="136" t="s">
        <v>130</v>
      </c>
      <c r="D96" s="230" t="s">
        <v>1372</v>
      </c>
      <c r="E96" s="122"/>
      <c r="F96" s="122"/>
      <c r="G96" s="122"/>
      <c r="H96" s="122"/>
      <c r="I96" s="122"/>
      <c r="J96" s="122"/>
      <c r="K96" s="122"/>
      <c r="L96" s="122"/>
      <c r="M96" s="122"/>
      <c r="N96" s="122"/>
      <c r="O96" s="122"/>
      <c r="P96" s="122"/>
      <c r="Q96" s="122"/>
      <c r="R96" s="122"/>
      <c r="S96" s="167"/>
      <c r="T96" s="486" t="s">
        <v>1388</v>
      </c>
      <c r="U96" s="120">
        <f>U97+U98+U99</f>
        <v>5293081.6399999997</v>
      </c>
      <c r="V96" s="120">
        <f>V97+V98</f>
        <v>5431834.3799999999</v>
      </c>
      <c r="W96" s="120">
        <f>W97+W98</f>
        <v>5431834.3799999999</v>
      </c>
      <c r="X96" s="124"/>
    </row>
    <row r="97" spans="1:24" ht="103.5" customHeight="1" x14ac:dyDescent="0.25">
      <c r="A97" s="124"/>
      <c r="B97" s="136" t="s">
        <v>122</v>
      </c>
      <c r="C97" s="136" t="s">
        <v>130</v>
      </c>
      <c r="D97" s="230" t="s">
        <v>1372</v>
      </c>
      <c r="E97" s="122"/>
      <c r="F97" s="122"/>
      <c r="G97" s="122"/>
      <c r="H97" s="122"/>
      <c r="I97" s="122"/>
      <c r="J97" s="122"/>
      <c r="K97" s="122"/>
      <c r="L97" s="122"/>
      <c r="M97" s="122"/>
      <c r="N97" s="122"/>
      <c r="O97" s="122"/>
      <c r="P97" s="122"/>
      <c r="Q97" s="122"/>
      <c r="R97" s="122"/>
      <c r="S97" s="122" t="s">
        <v>38</v>
      </c>
      <c r="T97" s="154" t="s">
        <v>723</v>
      </c>
      <c r="U97" s="120">
        <f>П4ВСР!Z67</f>
        <v>5063081.6399999997</v>
      </c>
      <c r="V97" s="120">
        <f>П4ВСР!AA67</f>
        <v>5331834.38</v>
      </c>
      <c r="W97" s="120">
        <f>П4ВСР!AB67</f>
        <v>5331834.38</v>
      </c>
      <c r="X97" s="124"/>
    </row>
    <row r="98" spans="1:24" ht="52.5" customHeight="1" x14ac:dyDescent="0.25">
      <c r="A98" s="124"/>
      <c r="B98" s="163" t="s">
        <v>122</v>
      </c>
      <c r="C98" s="163" t="s">
        <v>130</v>
      </c>
      <c r="D98" s="244" t="s">
        <v>1372</v>
      </c>
      <c r="E98" s="489"/>
      <c r="F98" s="489"/>
      <c r="G98" s="489"/>
      <c r="H98" s="489"/>
      <c r="I98" s="489"/>
      <c r="J98" s="489"/>
      <c r="K98" s="489"/>
      <c r="L98" s="489"/>
      <c r="M98" s="489"/>
      <c r="N98" s="489"/>
      <c r="O98" s="489"/>
      <c r="P98" s="489"/>
      <c r="Q98" s="489"/>
      <c r="R98" s="489"/>
      <c r="S98" s="489" t="s">
        <v>275</v>
      </c>
      <c r="T98" s="749" t="s">
        <v>565</v>
      </c>
      <c r="U98" s="747">
        <f>П4ВСР!Z68</f>
        <v>229800</v>
      </c>
      <c r="V98" s="747">
        <f>П4ВСР!AA68</f>
        <v>100000</v>
      </c>
      <c r="W98" s="747">
        <f>П4ВСР!AB68</f>
        <v>100000</v>
      </c>
      <c r="X98" s="124"/>
    </row>
    <row r="99" spans="1:24" ht="33.75" customHeight="1" x14ac:dyDescent="0.25">
      <c r="A99" s="751"/>
      <c r="B99" s="136" t="s">
        <v>122</v>
      </c>
      <c r="C99" s="136" t="s">
        <v>130</v>
      </c>
      <c r="D99" s="230" t="s">
        <v>1372</v>
      </c>
      <c r="E99" s="122"/>
      <c r="F99" s="122"/>
      <c r="G99" s="122"/>
      <c r="H99" s="122"/>
      <c r="I99" s="122"/>
      <c r="J99" s="122"/>
      <c r="K99" s="122"/>
      <c r="L99" s="122"/>
      <c r="M99" s="122"/>
      <c r="N99" s="122"/>
      <c r="O99" s="122"/>
      <c r="P99" s="122"/>
      <c r="Q99" s="122"/>
      <c r="R99" s="122"/>
      <c r="S99" s="255" t="s">
        <v>243</v>
      </c>
      <c r="T99" s="135" t="s">
        <v>760</v>
      </c>
      <c r="U99" s="516">
        <f>П4ВСР!Z69</f>
        <v>200</v>
      </c>
      <c r="V99" s="516">
        <v>0</v>
      </c>
      <c r="W99" s="516">
        <v>0</v>
      </c>
      <c r="X99" s="1003"/>
    </row>
    <row r="100" spans="1:24" s="18" customFormat="1" ht="155.25" customHeight="1" x14ac:dyDescent="0.25">
      <c r="A100" s="751"/>
      <c r="B100" s="493" t="s">
        <v>122</v>
      </c>
      <c r="C100" s="493" t="s">
        <v>130</v>
      </c>
      <c r="D100" s="233" t="s">
        <v>1470</v>
      </c>
      <c r="E100" s="549"/>
      <c r="F100" s="549"/>
      <c r="G100" s="549"/>
      <c r="H100" s="549"/>
      <c r="I100" s="549"/>
      <c r="J100" s="549"/>
      <c r="K100" s="549"/>
      <c r="L100" s="549"/>
      <c r="M100" s="549"/>
      <c r="N100" s="549"/>
      <c r="O100" s="549"/>
      <c r="P100" s="549"/>
      <c r="Q100" s="549"/>
      <c r="R100" s="549"/>
      <c r="S100" s="549"/>
      <c r="T100" s="779" t="s">
        <v>1471</v>
      </c>
      <c r="U100" s="516">
        <f>U101</f>
        <v>176966</v>
      </c>
      <c r="V100" s="516">
        <f t="shared" ref="V100:W100" si="6">V101</f>
        <v>0</v>
      </c>
      <c r="W100" s="516">
        <f t="shared" si="6"/>
        <v>0</v>
      </c>
      <c r="X100" s="124"/>
    </row>
    <row r="101" spans="1:24" s="782" customFormat="1" ht="27" customHeight="1" x14ac:dyDescent="0.25">
      <c r="A101" s="780"/>
      <c r="B101" s="492" t="s">
        <v>122</v>
      </c>
      <c r="C101" s="492" t="s">
        <v>130</v>
      </c>
      <c r="D101" s="233" t="s">
        <v>1470</v>
      </c>
      <c r="E101" s="521"/>
      <c r="F101" s="521"/>
      <c r="G101" s="521"/>
      <c r="H101" s="521"/>
      <c r="I101" s="521"/>
      <c r="J101" s="521"/>
      <c r="K101" s="521"/>
      <c r="L101" s="521"/>
      <c r="M101" s="521"/>
      <c r="N101" s="521"/>
      <c r="O101" s="521"/>
      <c r="P101" s="521"/>
      <c r="Q101" s="521"/>
      <c r="R101" s="521"/>
      <c r="S101" s="521" t="s">
        <v>243</v>
      </c>
      <c r="T101" s="778" t="s">
        <v>760</v>
      </c>
      <c r="U101" s="781">
        <f>П4ВСР!Z76</f>
        <v>176966</v>
      </c>
      <c r="V101" s="781">
        <f>П4ВСР!AA76</f>
        <v>0</v>
      </c>
      <c r="W101" s="781">
        <f>П4ВСР!AB76</f>
        <v>0</v>
      </c>
      <c r="X101" s="121"/>
    </row>
    <row r="102" spans="1:24" s="782" customFormat="1" ht="27" hidden="1" customHeight="1" x14ac:dyDescent="0.25">
      <c r="A102" s="780"/>
      <c r="B102" s="492" t="s">
        <v>124</v>
      </c>
      <c r="C102" s="492" t="s">
        <v>123</v>
      </c>
      <c r="D102" s="243" t="s">
        <v>768</v>
      </c>
      <c r="E102" s="521"/>
      <c r="F102" s="521"/>
      <c r="G102" s="521"/>
      <c r="H102" s="521"/>
      <c r="I102" s="521"/>
      <c r="J102" s="521"/>
      <c r="K102" s="521"/>
      <c r="L102" s="521"/>
      <c r="M102" s="521"/>
      <c r="N102" s="521"/>
      <c r="O102" s="521"/>
      <c r="P102" s="521"/>
      <c r="Q102" s="521"/>
      <c r="R102" s="521"/>
      <c r="S102" s="521"/>
      <c r="T102" s="779" t="s">
        <v>1471</v>
      </c>
      <c r="U102" s="781">
        <f>U103</f>
        <v>0</v>
      </c>
      <c r="V102" s="781">
        <v>0</v>
      </c>
      <c r="W102" s="781">
        <v>0</v>
      </c>
      <c r="X102" s="794"/>
    </row>
    <row r="103" spans="1:24" s="782" customFormat="1" ht="39.75" hidden="1" customHeight="1" x14ac:dyDescent="0.25">
      <c r="A103" s="780"/>
      <c r="B103" s="492" t="s">
        <v>124</v>
      </c>
      <c r="C103" s="492" t="s">
        <v>123</v>
      </c>
      <c r="D103" s="243" t="s">
        <v>768</v>
      </c>
      <c r="E103" s="521"/>
      <c r="F103" s="521"/>
      <c r="G103" s="521"/>
      <c r="H103" s="521"/>
      <c r="I103" s="521"/>
      <c r="J103" s="521"/>
      <c r="K103" s="521"/>
      <c r="L103" s="521"/>
      <c r="M103" s="521"/>
      <c r="N103" s="521"/>
      <c r="O103" s="521"/>
      <c r="P103" s="521"/>
      <c r="Q103" s="521"/>
      <c r="R103" s="521"/>
      <c r="S103" s="521" t="s">
        <v>427</v>
      </c>
      <c r="T103" s="792" t="s">
        <v>1167</v>
      </c>
      <c r="U103" s="781">
        <f>П4ВСР!Z418</f>
        <v>0</v>
      </c>
      <c r="V103" s="781">
        <v>0</v>
      </c>
      <c r="W103" s="781">
        <v>0</v>
      </c>
      <c r="X103" s="794"/>
    </row>
    <row r="104" spans="1:24" s="782" customFormat="1" ht="157.5" customHeight="1" x14ac:dyDescent="0.25">
      <c r="A104" s="780"/>
      <c r="B104" s="493" t="s">
        <v>122</v>
      </c>
      <c r="C104" s="493" t="s">
        <v>130</v>
      </c>
      <c r="D104" s="233" t="s">
        <v>1470</v>
      </c>
      <c r="E104" s="549"/>
      <c r="F104" s="549"/>
      <c r="G104" s="549"/>
      <c r="H104" s="549"/>
      <c r="I104" s="549"/>
      <c r="J104" s="549"/>
      <c r="K104" s="549"/>
      <c r="L104" s="549"/>
      <c r="M104" s="549"/>
      <c r="N104" s="549"/>
      <c r="O104" s="549"/>
      <c r="P104" s="549"/>
      <c r="Q104" s="549"/>
      <c r="R104" s="549"/>
      <c r="S104" s="549"/>
      <c r="T104" s="814" t="s">
        <v>1471</v>
      </c>
      <c r="U104" s="815">
        <f>U105</f>
        <v>525842.78</v>
      </c>
      <c r="V104" s="815">
        <v>0</v>
      </c>
      <c r="W104" s="815">
        <v>0</v>
      </c>
      <c r="X104" s="794"/>
    </row>
    <row r="105" spans="1:24" s="782" customFormat="1" ht="29.25" customHeight="1" x14ac:dyDescent="0.25">
      <c r="A105" s="780"/>
      <c r="B105" s="492" t="s">
        <v>122</v>
      </c>
      <c r="C105" s="492" t="s">
        <v>130</v>
      </c>
      <c r="D105" s="233" t="s">
        <v>1470</v>
      </c>
      <c r="E105" s="521"/>
      <c r="F105" s="521"/>
      <c r="G105" s="521"/>
      <c r="H105" s="521"/>
      <c r="I105" s="521"/>
      <c r="J105" s="521"/>
      <c r="K105" s="521"/>
      <c r="L105" s="521"/>
      <c r="M105" s="521"/>
      <c r="N105" s="521"/>
      <c r="O105" s="521"/>
      <c r="P105" s="521"/>
      <c r="Q105" s="521"/>
      <c r="R105" s="521"/>
      <c r="S105" s="521" t="s">
        <v>427</v>
      </c>
      <c r="T105" s="817" t="s">
        <v>1167</v>
      </c>
      <c r="U105" s="815">
        <f>П4ВСР!Z399</f>
        <v>525842.78</v>
      </c>
      <c r="V105" s="815">
        <v>0</v>
      </c>
      <c r="W105" s="815">
        <v>0</v>
      </c>
      <c r="X105" s="794"/>
    </row>
    <row r="106" spans="1:24" ht="129.75" customHeight="1" x14ac:dyDescent="0.25">
      <c r="A106" s="751"/>
      <c r="B106" s="735" t="s">
        <v>122</v>
      </c>
      <c r="C106" s="735" t="s">
        <v>130</v>
      </c>
      <c r="D106" s="284" t="s">
        <v>1436</v>
      </c>
      <c r="E106" s="775"/>
      <c r="F106" s="775"/>
      <c r="G106" s="775"/>
      <c r="H106" s="775"/>
      <c r="I106" s="775"/>
      <c r="J106" s="775"/>
      <c r="K106" s="775"/>
      <c r="L106" s="775"/>
      <c r="M106" s="775"/>
      <c r="N106" s="775"/>
      <c r="O106" s="775"/>
      <c r="P106" s="775"/>
      <c r="Q106" s="775"/>
      <c r="R106" s="775"/>
      <c r="S106" s="775"/>
      <c r="T106" s="776" t="s">
        <v>1437</v>
      </c>
      <c r="U106" s="777">
        <f>U107</f>
        <v>5825100</v>
      </c>
      <c r="V106" s="795">
        <v>0</v>
      </c>
      <c r="W106" s="515">
        <v>0</v>
      </c>
      <c r="X106" s="124"/>
    </row>
    <row r="107" spans="1:24" ht="52.5" customHeight="1" x14ac:dyDescent="0.25">
      <c r="A107" s="751"/>
      <c r="B107" s="510" t="s">
        <v>122</v>
      </c>
      <c r="C107" s="510" t="s">
        <v>130</v>
      </c>
      <c r="D107" s="244" t="s">
        <v>1436</v>
      </c>
      <c r="E107" s="797"/>
      <c r="F107" s="797"/>
      <c r="G107" s="797"/>
      <c r="H107" s="797"/>
      <c r="I107" s="797"/>
      <c r="J107" s="797"/>
      <c r="K107" s="797"/>
      <c r="L107" s="797"/>
      <c r="M107" s="797"/>
      <c r="N107" s="797"/>
      <c r="O107" s="797"/>
      <c r="P107" s="797"/>
      <c r="Q107" s="797"/>
      <c r="R107" s="797"/>
      <c r="S107" s="797" t="s">
        <v>294</v>
      </c>
      <c r="T107" s="798" t="s">
        <v>708</v>
      </c>
      <c r="U107" s="799">
        <f>П4ВСР!Z70</f>
        <v>5825100</v>
      </c>
      <c r="V107" s="180">
        <v>0</v>
      </c>
      <c r="W107" s="120">
        <v>0</v>
      </c>
      <c r="X107" s="124"/>
    </row>
    <row r="108" spans="1:24" ht="163.5" customHeight="1" x14ac:dyDescent="0.25">
      <c r="A108" s="751"/>
      <c r="B108" s="492" t="s">
        <v>122</v>
      </c>
      <c r="C108" s="492" t="s">
        <v>130</v>
      </c>
      <c r="D108" s="230" t="s">
        <v>1490</v>
      </c>
      <c r="E108" s="521"/>
      <c r="F108" s="521"/>
      <c r="G108" s="521"/>
      <c r="H108" s="521"/>
      <c r="I108" s="521"/>
      <c r="J108" s="521"/>
      <c r="K108" s="521"/>
      <c r="L108" s="521"/>
      <c r="M108" s="521"/>
      <c r="N108" s="521"/>
      <c r="O108" s="521"/>
      <c r="P108" s="521"/>
      <c r="Q108" s="521"/>
      <c r="R108" s="521"/>
      <c r="S108" s="800"/>
      <c r="T108" s="19" t="s">
        <v>1489</v>
      </c>
      <c r="U108" s="801">
        <f>П4ВСР!Z72</f>
        <v>1555276.62</v>
      </c>
      <c r="V108" s="180">
        <v>0</v>
      </c>
      <c r="W108" s="120">
        <v>0</v>
      </c>
      <c r="X108" s="124"/>
    </row>
    <row r="109" spans="1:24" ht="111" customHeight="1" x14ac:dyDescent="0.25">
      <c r="A109" s="751"/>
      <c r="B109" s="492" t="s">
        <v>122</v>
      </c>
      <c r="C109" s="492" t="s">
        <v>130</v>
      </c>
      <c r="D109" s="230" t="s">
        <v>1490</v>
      </c>
      <c r="E109" s="521"/>
      <c r="F109" s="521"/>
      <c r="G109" s="521"/>
      <c r="H109" s="521"/>
      <c r="I109" s="521"/>
      <c r="J109" s="521"/>
      <c r="K109" s="521"/>
      <c r="L109" s="521"/>
      <c r="M109" s="521"/>
      <c r="N109" s="521"/>
      <c r="O109" s="521"/>
      <c r="P109" s="521"/>
      <c r="Q109" s="521"/>
      <c r="R109" s="521"/>
      <c r="S109" s="521" t="s">
        <v>38</v>
      </c>
      <c r="T109" s="802" t="s">
        <v>723</v>
      </c>
      <c r="U109" s="516">
        <f>П4ВСР!Z73</f>
        <v>1457697.7600000002</v>
      </c>
      <c r="V109" s="180">
        <v>0</v>
      </c>
      <c r="W109" s="120">
        <v>0</v>
      </c>
      <c r="X109" s="124"/>
    </row>
    <row r="110" spans="1:24" ht="52.5" customHeight="1" x14ac:dyDescent="0.25">
      <c r="A110" s="751"/>
      <c r="B110" s="492" t="s">
        <v>122</v>
      </c>
      <c r="C110" s="492" t="s">
        <v>130</v>
      </c>
      <c r="D110" s="230" t="s">
        <v>1490</v>
      </c>
      <c r="E110" s="521"/>
      <c r="F110" s="521"/>
      <c r="G110" s="521"/>
      <c r="H110" s="521"/>
      <c r="I110" s="521"/>
      <c r="J110" s="521"/>
      <c r="K110" s="521"/>
      <c r="L110" s="521"/>
      <c r="M110" s="521"/>
      <c r="N110" s="521"/>
      <c r="O110" s="521"/>
      <c r="P110" s="521"/>
      <c r="Q110" s="521"/>
      <c r="R110" s="521"/>
      <c r="S110" s="521" t="s">
        <v>275</v>
      </c>
      <c r="T110" s="778" t="s">
        <v>565</v>
      </c>
      <c r="U110" s="516">
        <f>П4ВСР!Z74</f>
        <v>97578.859999999986</v>
      </c>
      <c r="V110" s="180">
        <v>0</v>
      </c>
      <c r="W110" s="120">
        <v>0</v>
      </c>
      <c r="X110" s="124"/>
    </row>
    <row r="111" spans="1:24" ht="130.5" customHeight="1" x14ac:dyDescent="0.25">
      <c r="A111" s="124"/>
      <c r="B111" s="520" t="s">
        <v>122</v>
      </c>
      <c r="C111" s="520" t="s">
        <v>130</v>
      </c>
      <c r="D111" s="284" t="s">
        <v>1401</v>
      </c>
      <c r="E111" s="519"/>
      <c r="F111" s="519"/>
      <c r="G111" s="519"/>
      <c r="H111" s="519"/>
      <c r="I111" s="519"/>
      <c r="J111" s="519"/>
      <c r="K111" s="519"/>
      <c r="L111" s="519"/>
      <c r="M111" s="519"/>
      <c r="N111" s="519"/>
      <c r="O111" s="519"/>
      <c r="P111" s="519"/>
      <c r="Q111" s="519"/>
      <c r="R111" s="519"/>
      <c r="S111" s="519"/>
      <c r="T111" s="280" t="s">
        <v>1400</v>
      </c>
      <c r="U111" s="515">
        <f>U112</f>
        <v>16668538.66</v>
      </c>
      <c r="V111" s="120">
        <v>0</v>
      </c>
      <c r="W111" s="120">
        <v>0</v>
      </c>
      <c r="X111" s="124"/>
    </row>
    <row r="112" spans="1:24" ht="50.25" customHeight="1" x14ac:dyDescent="0.25">
      <c r="A112" s="124"/>
      <c r="B112" s="136" t="s">
        <v>122</v>
      </c>
      <c r="C112" s="136" t="s">
        <v>130</v>
      </c>
      <c r="D112" s="230" t="s">
        <v>1401</v>
      </c>
      <c r="E112" s="122"/>
      <c r="F112" s="122"/>
      <c r="G112" s="122"/>
      <c r="H112" s="122"/>
      <c r="I112" s="122"/>
      <c r="J112" s="122"/>
      <c r="K112" s="122"/>
      <c r="L112" s="122"/>
      <c r="M112" s="122"/>
      <c r="N112" s="122"/>
      <c r="O112" s="122"/>
      <c r="P112" s="122"/>
      <c r="Q112" s="122"/>
      <c r="R112" s="122"/>
      <c r="S112" s="122" t="s">
        <v>275</v>
      </c>
      <c r="T112" s="154" t="s">
        <v>565</v>
      </c>
      <c r="U112" s="120">
        <f>П4ВСР!Z77</f>
        <v>16668538.66</v>
      </c>
      <c r="V112" s="120">
        <v>0</v>
      </c>
      <c r="W112" s="120">
        <v>0</v>
      </c>
      <c r="X112" s="124"/>
    </row>
    <row r="113" spans="1:24" ht="136.5" customHeight="1" x14ac:dyDescent="0.25">
      <c r="A113" s="124"/>
      <c r="B113" s="136" t="s">
        <v>122</v>
      </c>
      <c r="C113" s="136" t="s">
        <v>130</v>
      </c>
      <c r="D113" s="230" t="s">
        <v>1401</v>
      </c>
      <c r="E113" s="122"/>
      <c r="F113" s="122"/>
      <c r="G113" s="122"/>
      <c r="H113" s="122"/>
      <c r="I113" s="122"/>
      <c r="J113" s="122"/>
      <c r="K113" s="122"/>
      <c r="L113" s="122"/>
      <c r="M113" s="122"/>
      <c r="N113" s="122"/>
      <c r="O113" s="122"/>
      <c r="P113" s="122"/>
      <c r="Q113" s="122"/>
      <c r="R113" s="122"/>
      <c r="S113" s="122"/>
      <c r="T113" s="280" t="s">
        <v>1400</v>
      </c>
      <c r="U113" s="120">
        <f>U114</f>
        <v>1541107.98</v>
      </c>
      <c r="V113" s="120">
        <v>0</v>
      </c>
      <c r="W113" s="120">
        <v>0</v>
      </c>
      <c r="X113" s="124"/>
    </row>
    <row r="114" spans="1:24" ht="36" customHeight="1" x14ac:dyDescent="0.25">
      <c r="A114" s="124"/>
      <c r="B114" s="136" t="s">
        <v>122</v>
      </c>
      <c r="C114" s="136" t="s">
        <v>130</v>
      </c>
      <c r="D114" s="230" t="s">
        <v>1401</v>
      </c>
      <c r="E114" s="122"/>
      <c r="F114" s="122"/>
      <c r="G114" s="122"/>
      <c r="H114" s="122"/>
      <c r="I114" s="122"/>
      <c r="J114" s="122"/>
      <c r="K114" s="122"/>
      <c r="L114" s="122"/>
      <c r="M114" s="122"/>
      <c r="N114" s="122"/>
      <c r="O114" s="122"/>
      <c r="P114" s="122"/>
      <c r="Q114" s="122"/>
      <c r="R114" s="122"/>
      <c r="S114" s="122" t="s">
        <v>427</v>
      </c>
      <c r="T114" s="154" t="s">
        <v>1167</v>
      </c>
      <c r="U114" s="120">
        <f>П4ВСР!Z419</f>
        <v>1541107.98</v>
      </c>
      <c r="V114" s="120">
        <v>0</v>
      </c>
      <c r="W114" s="120">
        <v>0</v>
      </c>
      <c r="X114" s="124"/>
    </row>
    <row r="115" spans="1:24" ht="112.5" customHeight="1" x14ac:dyDescent="0.25">
      <c r="A115" s="124"/>
      <c r="B115" s="136" t="s">
        <v>122</v>
      </c>
      <c r="C115" s="136" t="s">
        <v>130</v>
      </c>
      <c r="D115" s="230" t="s">
        <v>1553</v>
      </c>
      <c r="E115" s="122"/>
      <c r="F115" s="122"/>
      <c r="G115" s="122"/>
      <c r="H115" s="122"/>
      <c r="I115" s="122"/>
      <c r="J115" s="122"/>
      <c r="K115" s="122"/>
      <c r="L115" s="122"/>
      <c r="M115" s="122"/>
      <c r="N115" s="122"/>
      <c r="O115" s="122"/>
      <c r="P115" s="122"/>
      <c r="Q115" s="122"/>
      <c r="R115" s="122"/>
      <c r="S115" s="122"/>
      <c r="T115" s="254" t="s">
        <v>1552</v>
      </c>
      <c r="U115" s="120">
        <f>U116</f>
        <v>10000</v>
      </c>
      <c r="V115" s="120">
        <f>V116</f>
        <v>0</v>
      </c>
      <c r="W115" s="120">
        <f>W116</f>
        <v>0</v>
      </c>
      <c r="X115" s="124"/>
    </row>
    <row r="116" spans="1:24" ht="51.75" customHeight="1" x14ac:dyDescent="0.25">
      <c r="A116" s="124"/>
      <c r="B116" s="136" t="s">
        <v>122</v>
      </c>
      <c r="C116" s="136" t="s">
        <v>130</v>
      </c>
      <c r="D116" s="230" t="s">
        <v>1553</v>
      </c>
      <c r="E116" s="122"/>
      <c r="F116" s="122"/>
      <c r="G116" s="122"/>
      <c r="H116" s="122"/>
      <c r="I116" s="122"/>
      <c r="J116" s="122"/>
      <c r="K116" s="122"/>
      <c r="L116" s="122"/>
      <c r="M116" s="122"/>
      <c r="N116" s="122"/>
      <c r="O116" s="122"/>
      <c r="P116" s="122"/>
      <c r="Q116" s="122"/>
      <c r="R116" s="122"/>
      <c r="S116" s="122" t="s">
        <v>275</v>
      </c>
      <c r="T116" s="154" t="s">
        <v>565</v>
      </c>
      <c r="U116" s="120">
        <f>П4ВСР!Z79</f>
        <v>10000</v>
      </c>
      <c r="V116" s="120">
        <f>П4ВСР!AA79</f>
        <v>0</v>
      </c>
      <c r="W116" s="120">
        <f>П4ВСР!AB79</f>
        <v>0</v>
      </c>
      <c r="X116" s="124"/>
    </row>
    <row r="117" spans="1:24" ht="183.75" customHeight="1" x14ac:dyDescent="0.25">
      <c r="A117" s="124"/>
      <c r="B117" s="167" t="s">
        <v>122</v>
      </c>
      <c r="C117" s="167" t="s">
        <v>130</v>
      </c>
      <c r="D117" s="230" t="s">
        <v>900</v>
      </c>
      <c r="E117" s="122"/>
      <c r="F117" s="122"/>
      <c r="G117" s="122"/>
      <c r="H117" s="122"/>
      <c r="I117" s="122"/>
      <c r="J117" s="122"/>
      <c r="K117" s="122"/>
      <c r="L117" s="122"/>
      <c r="M117" s="122"/>
      <c r="N117" s="122"/>
      <c r="O117" s="122"/>
      <c r="P117" s="122"/>
      <c r="Q117" s="122"/>
      <c r="R117" s="122"/>
      <c r="S117" s="167"/>
      <c r="T117" s="282" t="s">
        <v>1278</v>
      </c>
      <c r="U117" s="120">
        <f>U118+U119</f>
        <v>654350.9</v>
      </c>
      <c r="V117" s="120">
        <f>V118+V119</f>
        <v>679825.63</v>
      </c>
      <c r="W117" s="120">
        <f>W118+W119</f>
        <v>704309.9</v>
      </c>
      <c r="X117" s="124"/>
    </row>
    <row r="118" spans="1:24" ht="99" customHeight="1" x14ac:dyDescent="0.25">
      <c r="A118" s="124"/>
      <c r="B118" s="167" t="s">
        <v>122</v>
      </c>
      <c r="C118" s="167" t="s">
        <v>130</v>
      </c>
      <c r="D118" s="230" t="s">
        <v>900</v>
      </c>
      <c r="E118" s="122"/>
      <c r="F118" s="122"/>
      <c r="G118" s="122"/>
      <c r="H118" s="122"/>
      <c r="I118" s="122"/>
      <c r="J118" s="122"/>
      <c r="K118" s="122"/>
      <c r="L118" s="122"/>
      <c r="M118" s="122"/>
      <c r="N118" s="122"/>
      <c r="O118" s="122"/>
      <c r="P118" s="122"/>
      <c r="Q118" s="122"/>
      <c r="R118" s="122"/>
      <c r="S118" s="122" t="s">
        <v>38</v>
      </c>
      <c r="T118" s="154" t="s">
        <v>723</v>
      </c>
      <c r="U118" s="120">
        <f>П4ВСР!Z82</f>
        <v>609491.9</v>
      </c>
      <c r="V118" s="120">
        <f>П4ВСР!AA82</f>
        <v>646112.63</v>
      </c>
      <c r="W118" s="120">
        <f>П4ВСР!AB82</f>
        <v>670596.9</v>
      </c>
      <c r="X118" s="124"/>
    </row>
    <row r="119" spans="1:24" ht="47.25" customHeight="1" x14ac:dyDescent="0.25">
      <c r="A119" s="124"/>
      <c r="B119" s="167" t="s">
        <v>122</v>
      </c>
      <c r="C119" s="167" t="s">
        <v>130</v>
      </c>
      <c r="D119" s="230" t="s">
        <v>900</v>
      </c>
      <c r="E119" s="122"/>
      <c r="F119" s="122"/>
      <c r="G119" s="122"/>
      <c r="H119" s="122"/>
      <c r="I119" s="122"/>
      <c r="J119" s="122"/>
      <c r="K119" s="122"/>
      <c r="L119" s="122"/>
      <c r="M119" s="122"/>
      <c r="N119" s="122"/>
      <c r="O119" s="122"/>
      <c r="P119" s="122"/>
      <c r="Q119" s="122"/>
      <c r="R119" s="122"/>
      <c r="S119" s="122" t="s">
        <v>275</v>
      </c>
      <c r="T119" s="154" t="s">
        <v>565</v>
      </c>
      <c r="U119" s="120">
        <f>П4ВСР!Z83</f>
        <v>44859</v>
      </c>
      <c r="V119" s="120">
        <f>П4ВСР!AA83</f>
        <v>33713</v>
      </c>
      <c r="W119" s="120">
        <f>П4ВСР!AB83</f>
        <v>33713</v>
      </c>
      <c r="X119" s="124"/>
    </row>
    <row r="120" spans="1:24" ht="213" customHeight="1" x14ac:dyDescent="0.25">
      <c r="A120" s="124"/>
      <c r="B120" s="136" t="s">
        <v>122</v>
      </c>
      <c r="C120" s="136" t="s">
        <v>130</v>
      </c>
      <c r="D120" s="230" t="s">
        <v>1504</v>
      </c>
      <c r="E120" s="140"/>
      <c r="F120" s="140"/>
      <c r="G120" s="140"/>
      <c r="H120" s="140"/>
      <c r="I120" s="140"/>
      <c r="J120" s="140"/>
      <c r="K120" s="140"/>
      <c r="L120" s="140"/>
      <c r="M120" s="140"/>
      <c r="N120" s="140"/>
      <c r="O120" s="140"/>
      <c r="P120" s="140"/>
      <c r="Q120" s="140"/>
      <c r="R120" s="140"/>
      <c r="S120" s="140"/>
      <c r="T120" s="281" t="s">
        <v>1503</v>
      </c>
      <c r="U120" s="219">
        <f>U121+U122</f>
        <v>532014.97</v>
      </c>
      <c r="V120" s="120">
        <f>V121+V122</f>
        <v>732181.13</v>
      </c>
      <c r="W120" s="120">
        <f>W121+W122</f>
        <v>758794.46</v>
      </c>
      <c r="X120" s="124"/>
    </row>
    <row r="121" spans="1:24" ht="102" customHeight="1" x14ac:dyDescent="0.25">
      <c r="A121" s="124"/>
      <c r="B121" s="136" t="s">
        <v>122</v>
      </c>
      <c r="C121" s="136" t="s">
        <v>130</v>
      </c>
      <c r="D121" s="230" t="s">
        <v>1504</v>
      </c>
      <c r="E121" s="140"/>
      <c r="F121" s="140"/>
      <c r="G121" s="140"/>
      <c r="H121" s="140"/>
      <c r="I121" s="140"/>
      <c r="J121" s="140"/>
      <c r="K121" s="140"/>
      <c r="L121" s="140"/>
      <c r="M121" s="140"/>
      <c r="N121" s="140"/>
      <c r="O121" s="140"/>
      <c r="P121" s="140"/>
      <c r="Q121" s="140"/>
      <c r="R121" s="140"/>
      <c r="S121" s="140" t="s">
        <v>38</v>
      </c>
      <c r="T121" s="154" t="s">
        <v>723</v>
      </c>
      <c r="U121" s="219">
        <f>П4ВСР!Z85</f>
        <v>430014.97</v>
      </c>
      <c r="V121" s="120">
        <f>П4ВСР!AA85</f>
        <v>690181.13</v>
      </c>
      <c r="W121" s="120">
        <f>П4ВСР!AB85</f>
        <v>716794.46</v>
      </c>
      <c r="X121" s="124"/>
    </row>
    <row r="122" spans="1:24" ht="47.25" customHeight="1" x14ac:dyDescent="0.25">
      <c r="A122" s="124"/>
      <c r="B122" s="136" t="s">
        <v>122</v>
      </c>
      <c r="C122" s="136" t="s">
        <v>130</v>
      </c>
      <c r="D122" s="230" t="s">
        <v>1504</v>
      </c>
      <c r="E122" s="140"/>
      <c r="F122" s="140"/>
      <c r="G122" s="140"/>
      <c r="H122" s="140"/>
      <c r="I122" s="140"/>
      <c r="J122" s="140"/>
      <c r="K122" s="140"/>
      <c r="L122" s="140"/>
      <c r="M122" s="140"/>
      <c r="N122" s="140"/>
      <c r="O122" s="140"/>
      <c r="P122" s="140"/>
      <c r="Q122" s="140"/>
      <c r="R122" s="140"/>
      <c r="S122" s="140" t="s">
        <v>275</v>
      </c>
      <c r="T122" s="154" t="s">
        <v>565</v>
      </c>
      <c r="U122" s="219">
        <f>П4ВСР!Z86</f>
        <v>102000</v>
      </c>
      <c r="V122" s="120">
        <f>П4ВСР!AA86</f>
        <v>42000</v>
      </c>
      <c r="W122" s="120">
        <f>П4ВСР!AB86</f>
        <v>42000</v>
      </c>
      <c r="X122" s="124"/>
    </row>
    <row r="123" spans="1:24" ht="270.75" customHeight="1" x14ac:dyDescent="0.25">
      <c r="A123" s="124"/>
      <c r="B123" s="167" t="s">
        <v>122</v>
      </c>
      <c r="C123" s="167" t="s">
        <v>130</v>
      </c>
      <c r="D123" s="230" t="s">
        <v>901</v>
      </c>
      <c r="E123" s="122"/>
      <c r="F123" s="122"/>
      <c r="G123" s="122"/>
      <c r="H123" s="122"/>
      <c r="I123" s="122"/>
      <c r="J123" s="122"/>
      <c r="K123" s="122"/>
      <c r="L123" s="122"/>
      <c r="M123" s="122"/>
      <c r="N123" s="122"/>
      <c r="O123" s="122"/>
      <c r="P123" s="122"/>
      <c r="Q123" s="122"/>
      <c r="R123" s="122"/>
      <c r="S123" s="167"/>
      <c r="T123" s="281" t="s">
        <v>1224</v>
      </c>
      <c r="U123" s="120">
        <f>U124+U125</f>
        <v>654350.89999999991</v>
      </c>
      <c r="V123" s="120">
        <f>V124+V125</f>
        <v>679825.62999999989</v>
      </c>
      <c r="W123" s="120">
        <f>W124+W125</f>
        <v>704309.89999999991</v>
      </c>
      <c r="X123" s="124"/>
    </row>
    <row r="124" spans="1:24" ht="102.75" customHeight="1" x14ac:dyDescent="0.25">
      <c r="A124" s="124"/>
      <c r="B124" s="167" t="s">
        <v>122</v>
      </c>
      <c r="C124" s="167" t="s">
        <v>130</v>
      </c>
      <c r="D124" s="230" t="s">
        <v>901</v>
      </c>
      <c r="E124" s="122"/>
      <c r="F124" s="122"/>
      <c r="G124" s="122"/>
      <c r="H124" s="122"/>
      <c r="I124" s="122"/>
      <c r="J124" s="122"/>
      <c r="K124" s="122"/>
      <c r="L124" s="122"/>
      <c r="M124" s="122"/>
      <c r="N124" s="122"/>
      <c r="O124" s="122"/>
      <c r="P124" s="122"/>
      <c r="Q124" s="122"/>
      <c r="R124" s="122"/>
      <c r="S124" s="122" t="s">
        <v>38</v>
      </c>
      <c r="T124" s="154" t="s">
        <v>724</v>
      </c>
      <c r="U124" s="120">
        <f>П4ВСР!Z88</f>
        <v>609491.89999999991</v>
      </c>
      <c r="V124" s="120">
        <f>П4ВСР!AA88</f>
        <v>646948.15999999992</v>
      </c>
      <c r="W124" s="120">
        <f>П4ВСР!AB88</f>
        <v>671432.42999999993</v>
      </c>
      <c r="X124" s="124"/>
    </row>
    <row r="125" spans="1:24" ht="53.25" customHeight="1" x14ac:dyDescent="0.25">
      <c r="A125" s="124"/>
      <c r="B125" s="167" t="s">
        <v>122</v>
      </c>
      <c r="C125" s="167" t="s">
        <v>130</v>
      </c>
      <c r="D125" s="230" t="s">
        <v>901</v>
      </c>
      <c r="E125" s="122"/>
      <c r="F125" s="122"/>
      <c r="G125" s="122"/>
      <c r="H125" s="122"/>
      <c r="I125" s="122"/>
      <c r="J125" s="122"/>
      <c r="K125" s="122"/>
      <c r="L125" s="122"/>
      <c r="M125" s="122"/>
      <c r="N125" s="122"/>
      <c r="O125" s="122"/>
      <c r="P125" s="122"/>
      <c r="Q125" s="122"/>
      <c r="R125" s="122"/>
      <c r="S125" s="122" t="s">
        <v>275</v>
      </c>
      <c r="T125" s="154" t="s">
        <v>565</v>
      </c>
      <c r="U125" s="120">
        <f>П4ВСР!Z89</f>
        <v>44859</v>
      </c>
      <c r="V125" s="120">
        <f>П4ВСР!AA89</f>
        <v>32877.47</v>
      </c>
      <c r="W125" s="120">
        <f>П4ВСР!AB89</f>
        <v>32877.47</v>
      </c>
      <c r="X125" s="124"/>
    </row>
    <row r="126" spans="1:24" ht="170.25" customHeight="1" x14ac:dyDescent="0.25">
      <c r="A126" s="124" t="s">
        <v>231</v>
      </c>
      <c r="B126" s="134" t="s">
        <v>122</v>
      </c>
      <c r="C126" s="134" t="s">
        <v>130</v>
      </c>
      <c r="D126" s="134" t="s">
        <v>590</v>
      </c>
      <c r="E126" s="134"/>
      <c r="F126" s="134"/>
      <c r="G126" s="134"/>
      <c r="H126" s="134"/>
      <c r="I126" s="134"/>
      <c r="J126" s="134"/>
      <c r="K126" s="134"/>
      <c r="L126" s="134"/>
      <c r="M126" s="134"/>
      <c r="N126" s="134"/>
      <c r="O126" s="134"/>
      <c r="P126" s="134"/>
      <c r="Q126" s="134"/>
      <c r="R126" s="134"/>
      <c r="S126" s="134"/>
      <c r="T126" s="281" t="s">
        <v>1280</v>
      </c>
      <c r="U126" s="120">
        <f>U127+U128</f>
        <v>666161.9</v>
      </c>
      <c r="V126" s="120">
        <f>V127+V128</f>
        <v>691636.63</v>
      </c>
      <c r="W126" s="120">
        <f>W127+W128</f>
        <v>716120.9</v>
      </c>
      <c r="X126" s="124" t="s">
        <v>231</v>
      </c>
    </row>
    <row r="127" spans="1:24" ht="103.5" customHeight="1" x14ac:dyDescent="0.25">
      <c r="A127" s="124" t="s">
        <v>295</v>
      </c>
      <c r="B127" s="140" t="s">
        <v>122</v>
      </c>
      <c r="C127" s="140" t="s">
        <v>130</v>
      </c>
      <c r="D127" s="134" t="s">
        <v>590</v>
      </c>
      <c r="E127" s="140"/>
      <c r="F127" s="140"/>
      <c r="G127" s="140"/>
      <c r="H127" s="140"/>
      <c r="I127" s="140"/>
      <c r="J127" s="140"/>
      <c r="K127" s="140"/>
      <c r="L127" s="140"/>
      <c r="M127" s="140"/>
      <c r="N127" s="140"/>
      <c r="O127" s="140"/>
      <c r="P127" s="140"/>
      <c r="Q127" s="140"/>
      <c r="R127" s="140"/>
      <c r="S127" s="140" t="s">
        <v>38</v>
      </c>
      <c r="T127" s="154" t="s">
        <v>723</v>
      </c>
      <c r="U127" s="120">
        <f>П4ВСР!Z91</f>
        <v>609491.9</v>
      </c>
      <c r="V127" s="120">
        <f>П4ВСР!AA91</f>
        <v>645555.57999999996</v>
      </c>
      <c r="W127" s="120">
        <f>П4ВСР!AB91</f>
        <v>670039.85</v>
      </c>
      <c r="X127" s="124" t="s">
        <v>295</v>
      </c>
    </row>
    <row r="128" spans="1:24" ht="60" customHeight="1" x14ac:dyDescent="0.25">
      <c r="A128" s="124" t="s">
        <v>296</v>
      </c>
      <c r="B128" s="140" t="s">
        <v>122</v>
      </c>
      <c r="C128" s="140" t="s">
        <v>130</v>
      </c>
      <c r="D128" s="134" t="s">
        <v>590</v>
      </c>
      <c r="E128" s="140"/>
      <c r="F128" s="140"/>
      <c r="G128" s="140"/>
      <c r="H128" s="140"/>
      <c r="I128" s="140"/>
      <c r="J128" s="140"/>
      <c r="K128" s="140"/>
      <c r="L128" s="140"/>
      <c r="M128" s="140"/>
      <c r="N128" s="140"/>
      <c r="O128" s="140"/>
      <c r="P128" s="140"/>
      <c r="Q128" s="140"/>
      <c r="R128" s="140"/>
      <c r="S128" s="140" t="s">
        <v>275</v>
      </c>
      <c r="T128" s="154" t="s">
        <v>565</v>
      </c>
      <c r="U128" s="120">
        <f>П4ВСР!Z92</f>
        <v>56670</v>
      </c>
      <c r="V128" s="120">
        <f>П4ВСР!AA92</f>
        <v>46081.05</v>
      </c>
      <c r="W128" s="120">
        <f>П4ВСР!AB92</f>
        <v>46081.05</v>
      </c>
      <c r="X128" s="124" t="s">
        <v>296</v>
      </c>
    </row>
    <row r="129" spans="1:27" ht="90" customHeight="1" x14ac:dyDescent="0.25">
      <c r="A129" s="124"/>
      <c r="B129" s="140" t="s">
        <v>122</v>
      </c>
      <c r="C129" s="140" t="s">
        <v>130</v>
      </c>
      <c r="D129" s="230" t="s">
        <v>775</v>
      </c>
      <c r="E129" s="140"/>
      <c r="F129" s="140"/>
      <c r="G129" s="140"/>
      <c r="H129" s="140"/>
      <c r="I129" s="140"/>
      <c r="J129" s="140"/>
      <c r="K129" s="140"/>
      <c r="L129" s="140"/>
      <c r="M129" s="140"/>
      <c r="N129" s="140"/>
      <c r="O129" s="140"/>
      <c r="P129" s="140"/>
      <c r="Q129" s="140"/>
      <c r="R129" s="140"/>
      <c r="S129" s="140"/>
      <c r="T129" s="155" t="s">
        <v>773</v>
      </c>
      <c r="U129" s="120">
        <f>U130</f>
        <v>2530500.92</v>
      </c>
      <c r="V129" s="120">
        <v>0</v>
      </c>
      <c r="W129" s="120">
        <v>0</v>
      </c>
      <c r="X129" s="124"/>
    </row>
    <row r="130" spans="1:27" ht="42.75" customHeight="1" x14ac:dyDescent="0.25">
      <c r="A130" s="124"/>
      <c r="B130" s="140" t="s">
        <v>122</v>
      </c>
      <c r="C130" s="140" t="s">
        <v>130</v>
      </c>
      <c r="D130" s="230" t="s">
        <v>775</v>
      </c>
      <c r="E130" s="140"/>
      <c r="F130" s="140"/>
      <c r="G130" s="140"/>
      <c r="H130" s="140"/>
      <c r="I130" s="140"/>
      <c r="J130" s="140"/>
      <c r="K130" s="140"/>
      <c r="L130" s="140"/>
      <c r="M130" s="140"/>
      <c r="N130" s="140"/>
      <c r="O130" s="140"/>
      <c r="P130" s="140"/>
      <c r="Q130" s="140"/>
      <c r="R130" s="140"/>
      <c r="S130" s="140" t="s">
        <v>275</v>
      </c>
      <c r="T130" s="154" t="s">
        <v>774</v>
      </c>
      <c r="U130" s="120">
        <f>П4ВСР!Z96</f>
        <v>2530500.92</v>
      </c>
      <c r="V130" s="120">
        <v>0</v>
      </c>
      <c r="W130" s="120">
        <v>0</v>
      </c>
      <c r="X130" s="124"/>
    </row>
    <row r="131" spans="1:27" ht="12" hidden="1" customHeight="1" x14ac:dyDescent="0.25">
      <c r="A131" s="124"/>
      <c r="B131" s="140" t="s">
        <v>122</v>
      </c>
      <c r="C131" s="140" t="s">
        <v>130</v>
      </c>
      <c r="D131" s="230" t="s">
        <v>1030</v>
      </c>
      <c r="E131" s="140"/>
      <c r="F131" s="140"/>
      <c r="G131" s="140"/>
      <c r="H131" s="140"/>
      <c r="I131" s="140"/>
      <c r="J131" s="140"/>
      <c r="K131" s="140"/>
      <c r="L131" s="140"/>
      <c r="M131" s="140"/>
      <c r="N131" s="140"/>
      <c r="O131" s="140"/>
      <c r="P131" s="140"/>
      <c r="Q131" s="140"/>
      <c r="R131" s="140"/>
      <c r="S131" s="140"/>
      <c r="T131" s="254" t="s">
        <v>1029</v>
      </c>
      <c r="U131" s="120">
        <f>U132</f>
        <v>0</v>
      </c>
      <c r="V131" s="120">
        <f>V132</f>
        <v>0</v>
      </c>
      <c r="W131" s="120">
        <f>W132</f>
        <v>0</v>
      </c>
      <c r="X131" s="124"/>
    </row>
    <row r="132" spans="1:27" ht="21.75" hidden="1" customHeight="1" x14ac:dyDescent="0.25">
      <c r="A132" s="124"/>
      <c r="B132" s="140" t="s">
        <v>122</v>
      </c>
      <c r="C132" s="140" t="s">
        <v>130</v>
      </c>
      <c r="D132" s="230" t="s">
        <v>1030</v>
      </c>
      <c r="E132" s="140"/>
      <c r="F132" s="140"/>
      <c r="G132" s="140"/>
      <c r="H132" s="140"/>
      <c r="I132" s="140"/>
      <c r="J132" s="140"/>
      <c r="K132" s="140"/>
      <c r="L132" s="140"/>
      <c r="M132" s="140"/>
      <c r="N132" s="140"/>
      <c r="O132" s="140"/>
      <c r="P132" s="140"/>
      <c r="Q132" s="140"/>
      <c r="R132" s="140"/>
      <c r="S132" s="140" t="s">
        <v>275</v>
      </c>
      <c r="T132" s="154" t="s">
        <v>565</v>
      </c>
      <c r="U132" s="120">
        <f>П4ВСР!Z99</f>
        <v>0</v>
      </c>
      <c r="V132" s="120">
        <f>П4ВСР!AA99</f>
        <v>0</v>
      </c>
      <c r="W132" s="120">
        <f>П4ВСР!AB99</f>
        <v>0</v>
      </c>
      <c r="X132" s="124"/>
    </row>
    <row r="133" spans="1:27" ht="48.75" customHeight="1" x14ac:dyDescent="0.25">
      <c r="A133" s="124"/>
      <c r="B133" s="140" t="s">
        <v>122</v>
      </c>
      <c r="C133" s="140" t="s">
        <v>130</v>
      </c>
      <c r="D133" s="230" t="s">
        <v>1662</v>
      </c>
      <c r="E133" s="140"/>
      <c r="F133" s="140"/>
      <c r="G133" s="140"/>
      <c r="H133" s="140"/>
      <c r="I133" s="140"/>
      <c r="J133" s="140"/>
      <c r="K133" s="140"/>
      <c r="L133" s="140"/>
      <c r="M133" s="140"/>
      <c r="N133" s="140"/>
      <c r="O133" s="140"/>
      <c r="P133" s="140"/>
      <c r="Q133" s="140"/>
      <c r="R133" s="140"/>
      <c r="S133" s="140"/>
      <c r="T133" s="155" t="s">
        <v>1663</v>
      </c>
      <c r="U133" s="120">
        <f>U134</f>
        <v>115400</v>
      </c>
      <c r="V133" s="120">
        <v>0</v>
      </c>
      <c r="W133" s="120">
        <v>0</v>
      </c>
      <c r="X133" s="124"/>
    </row>
    <row r="134" spans="1:27" ht="48" customHeight="1" x14ac:dyDescent="0.25">
      <c r="A134" s="124"/>
      <c r="B134" s="140" t="s">
        <v>122</v>
      </c>
      <c r="C134" s="140" t="s">
        <v>130</v>
      </c>
      <c r="D134" s="230" t="s">
        <v>1662</v>
      </c>
      <c r="E134" s="140"/>
      <c r="F134" s="140"/>
      <c r="G134" s="140"/>
      <c r="H134" s="140"/>
      <c r="I134" s="140"/>
      <c r="J134" s="140"/>
      <c r="K134" s="140"/>
      <c r="L134" s="140"/>
      <c r="M134" s="140"/>
      <c r="N134" s="140"/>
      <c r="O134" s="140"/>
      <c r="P134" s="140"/>
      <c r="Q134" s="140"/>
      <c r="R134" s="140"/>
      <c r="S134" s="140" t="s">
        <v>275</v>
      </c>
      <c r="T134" s="154" t="s">
        <v>565</v>
      </c>
      <c r="U134" s="120">
        <f>П4ВСР!Z93</f>
        <v>115400</v>
      </c>
      <c r="V134" s="120">
        <v>0</v>
      </c>
      <c r="W134" s="120">
        <v>0</v>
      </c>
      <c r="X134" s="124"/>
    </row>
    <row r="135" spans="1:27" ht="69" customHeight="1" x14ac:dyDescent="0.25">
      <c r="A135" s="124"/>
      <c r="B135" s="140" t="s">
        <v>122</v>
      </c>
      <c r="C135" s="140" t="s">
        <v>130</v>
      </c>
      <c r="D135" s="230" t="s">
        <v>759</v>
      </c>
      <c r="E135" s="140"/>
      <c r="F135" s="140"/>
      <c r="G135" s="140"/>
      <c r="H135" s="140"/>
      <c r="I135" s="140"/>
      <c r="J135" s="140"/>
      <c r="K135" s="140"/>
      <c r="L135" s="140"/>
      <c r="M135" s="140"/>
      <c r="N135" s="140"/>
      <c r="O135" s="140"/>
      <c r="P135" s="140"/>
      <c r="Q135" s="140"/>
      <c r="R135" s="140"/>
      <c r="S135" s="140"/>
      <c r="T135" s="155" t="s">
        <v>758</v>
      </c>
      <c r="U135" s="120">
        <f>U136</f>
        <v>0</v>
      </c>
      <c r="V135" s="120">
        <v>0</v>
      </c>
      <c r="W135" s="120">
        <v>0</v>
      </c>
      <c r="X135" s="124"/>
    </row>
    <row r="136" spans="1:27" ht="32.25" customHeight="1" x14ac:dyDescent="0.25">
      <c r="A136" s="124"/>
      <c r="B136" s="140" t="s">
        <v>122</v>
      </c>
      <c r="C136" s="140" t="s">
        <v>130</v>
      </c>
      <c r="D136" s="230" t="s">
        <v>759</v>
      </c>
      <c r="E136" s="140"/>
      <c r="F136" s="140"/>
      <c r="G136" s="140"/>
      <c r="H136" s="140"/>
      <c r="I136" s="140"/>
      <c r="J136" s="140"/>
      <c r="K136" s="140"/>
      <c r="L136" s="140"/>
      <c r="M136" s="140"/>
      <c r="N136" s="140"/>
      <c r="O136" s="140"/>
      <c r="P136" s="140"/>
      <c r="Q136" s="140"/>
      <c r="R136" s="140"/>
      <c r="S136" s="140" t="s">
        <v>243</v>
      </c>
      <c r="T136" s="142" t="s">
        <v>760</v>
      </c>
      <c r="U136" s="120">
        <f>П4ВСР!Z385</f>
        <v>0</v>
      </c>
      <c r="V136" s="120">
        <v>0</v>
      </c>
      <c r="W136" s="120">
        <v>0</v>
      </c>
      <c r="X136" s="124"/>
    </row>
    <row r="137" spans="1:27" ht="55.9" customHeight="1" x14ac:dyDescent="0.25">
      <c r="A137" s="116" t="s">
        <v>297</v>
      </c>
      <c r="B137" s="126" t="s">
        <v>123</v>
      </c>
      <c r="C137" s="126" t="s">
        <v>133</v>
      </c>
      <c r="D137" s="126"/>
      <c r="E137" s="126"/>
      <c r="F137" s="126"/>
      <c r="G137" s="126"/>
      <c r="H137" s="126"/>
      <c r="I137" s="126"/>
      <c r="J137" s="126"/>
      <c r="K137" s="126"/>
      <c r="L137" s="126"/>
      <c r="M137" s="126"/>
      <c r="N137" s="126"/>
      <c r="O137" s="126"/>
      <c r="P137" s="126"/>
      <c r="Q137" s="126"/>
      <c r="R137" s="126"/>
      <c r="S137" s="126"/>
      <c r="T137" s="116" t="s">
        <v>297</v>
      </c>
      <c r="U137" s="117">
        <f>U138+U157</f>
        <v>5071448.54</v>
      </c>
      <c r="V137" s="117">
        <f>V138+V157</f>
        <v>4270036.13</v>
      </c>
      <c r="W137" s="117">
        <f>W138+W157+W143</f>
        <v>3514339.99</v>
      </c>
      <c r="X137" s="116" t="s">
        <v>297</v>
      </c>
    </row>
    <row r="138" spans="1:27" ht="74.45" customHeight="1" x14ac:dyDescent="0.25">
      <c r="A138" s="118" t="s">
        <v>251</v>
      </c>
      <c r="B138" s="119" t="s">
        <v>123</v>
      </c>
      <c r="C138" s="119" t="s">
        <v>127</v>
      </c>
      <c r="D138" s="119"/>
      <c r="E138" s="119"/>
      <c r="F138" s="119"/>
      <c r="G138" s="119"/>
      <c r="H138" s="119"/>
      <c r="I138" s="119"/>
      <c r="J138" s="119"/>
      <c r="K138" s="119"/>
      <c r="L138" s="119"/>
      <c r="M138" s="119"/>
      <c r="N138" s="119"/>
      <c r="O138" s="119"/>
      <c r="P138" s="119"/>
      <c r="Q138" s="119"/>
      <c r="R138" s="119"/>
      <c r="S138" s="119"/>
      <c r="T138" s="118" t="s">
        <v>251</v>
      </c>
      <c r="U138" s="120">
        <f>U145+U147+U153+U155+U149+U139+U141+U143+U151</f>
        <v>5071448.54</v>
      </c>
      <c r="V138" s="120">
        <f>V145+V147+V153+V155+V149+V139+V141+V143</f>
        <v>4270036.13</v>
      </c>
      <c r="W138" s="120">
        <f>W145+W147+W153+W155+W149+W139+W141</f>
        <v>600000</v>
      </c>
      <c r="X138" s="118" t="s">
        <v>251</v>
      </c>
    </row>
    <row r="139" spans="1:27" ht="111.75" customHeight="1" x14ac:dyDescent="0.25">
      <c r="A139" s="118"/>
      <c r="B139" s="119" t="s">
        <v>127</v>
      </c>
      <c r="C139" s="119" t="s">
        <v>127</v>
      </c>
      <c r="D139" s="230" t="s">
        <v>537</v>
      </c>
      <c r="E139" s="119"/>
      <c r="F139" s="119"/>
      <c r="G139" s="119"/>
      <c r="H139" s="119"/>
      <c r="I139" s="119"/>
      <c r="J139" s="119"/>
      <c r="K139" s="119"/>
      <c r="L139" s="119"/>
      <c r="M139" s="119"/>
      <c r="N139" s="119"/>
      <c r="O139" s="119"/>
      <c r="P139" s="119"/>
      <c r="Q139" s="119"/>
      <c r="R139" s="119"/>
      <c r="S139" s="119"/>
      <c r="T139" s="155" t="s">
        <v>1225</v>
      </c>
      <c r="U139" s="120">
        <f>U140</f>
        <v>100000</v>
      </c>
      <c r="V139" s="120">
        <f>V140</f>
        <v>100000</v>
      </c>
      <c r="W139" s="120">
        <f>W140</f>
        <v>100000</v>
      </c>
      <c r="X139" s="118"/>
      <c r="AA139" s="127"/>
    </row>
    <row r="140" spans="1:27" ht="49.5" customHeight="1" x14ac:dyDescent="0.25">
      <c r="A140" s="118"/>
      <c r="B140" s="119" t="s">
        <v>123</v>
      </c>
      <c r="C140" s="119" t="s">
        <v>127</v>
      </c>
      <c r="D140" s="230" t="s">
        <v>537</v>
      </c>
      <c r="E140" s="119"/>
      <c r="F140" s="119"/>
      <c r="G140" s="119"/>
      <c r="H140" s="119"/>
      <c r="I140" s="119"/>
      <c r="J140" s="119"/>
      <c r="K140" s="119"/>
      <c r="L140" s="119"/>
      <c r="M140" s="119"/>
      <c r="N140" s="119"/>
      <c r="O140" s="119"/>
      <c r="P140" s="119"/>
      <c r="Q140" s="119"/>
      <c r="R140" s="119"/>
      <c r="S140" s="119" t="s">
        <v>275</v>
      </c>
      <c r="T140" s="154" t="s">
        <v>565</v>
      </c>
      <c r="U140" s="120">
        <f>П4ВСР!Z102</f>
        <v>100000</v>
      </c>
      <c r="V140" s="120">
        <f>П4ВСР!AA102</f>
        <v>100000</v>
      </c>
      <c r="W140" s="120">
        <f>П4ВСР!AB102</f>
        <v>100000</v>
      </c>
      <c r="X140" s="118"/>
      <c r="AA140" s="127"/>
    </row>
    <row r="141" spans="1:27" ht="103.5" customHeight="1" x14ac:dyDescent="0.25">
      <c r="A141" s="118"/>
      <c r="B141" s="119" t="s">
        <v>123</v>
      </c>
      <c r="C141" s="119" t="s">
        <v>127</v>
      </c>
      <c r="D141" s="230" t="s">
        <v>537</v>
      </c>
      <c r="E141" s="119"/>
      <c r="F141" s="119"/>
      <c r="G141" s="119"/>
      <c r="H141" s="119"/>
      <c r="I141" s="119"/>
      <c r="J141" s="119"/>
      <c r="K141" s="119"/>
      <c r="L141" s="119"/>
      <c r="M141" s="119"/>
      <c r="N141" s="119"/>
      <c r="O141" s="119"/>
      <c r="P141" s="119"/>
      <c r="Q141" s="119"/>
      <c r="R141" s="119"/>
      <c r="S141" s="119"/>
      <c r="T141" s="155" t="s">
        <v>1225</v>
      </c>
      <c r="U141" s="120">
        <f>U142</f>
        <v>205000</v>
      </c>
      <c r="V141" s="120">
        <v>0</v>
      </c>
      <c r="W141" s="120">
        <v>0</v>
      </c>
      <c r="X141" s="118"/>
    </row>
    <row r="142" spans="1:27" ht="24" customHeight="1" x14ac:dyDescent="0.25">
      <c r="A142" s="118"/>
      <c r="B142" s="119" t="s">
        <v>123</v>
      </c>
      <c r="C142" s="119" t="s">
        <v>127</v>
      </c>
      <c r="D142" s="230" t="s">
        <v>537</v>
      </c>
      <c r="E142" s="119"/>
      <c r="F142" s="119"/>
      <c r="G142" s="119"/>
      <c r="H142" s="119"/>
      <c r="I142" s="119"/>
      <c r="J142" s="119"/>
      <c r="K142" s="119"/>
      <c r="L142" s="119"/>
      <c r="M142" s="119"/>
      <c r="N142" s="119"/>
      <c r="O142" s="119"/>
      <c r="P142" s="119"/>
      <c r="Q142" s="119"/>
      <c r="R142" s="119"/>
      <c r="S142" s="119" t="s">
        <v>427</v>
      </c>
      <c r="T142" s="135" t="s">
        <v>770</v>
      </c>
      <c r="U142" s="120">
        <f>П4ВСР!Z430</f>
        <v>205000</v>
      </c>
      <c r="V142" s="120">
        <v>0</v>
      </c>
      <c r="W142" s="120">
        <v>0</v>
      </c>
      <c r="X142" s="118"/>
    </row>
    <row r="143" spans="1:27" ht="204.75" customHeight="1" x14ac:dyDescent="0.25">
      <c r="A143" s="118"/>
      <c r="B143" s="119" t="s">
        <v>123</v>
      </c>
      <c r="C143" s="119" t="s">
        <v>127</v>
      </c>
      <c r="D143" s="161" t="s">
        <v>1094</v>
      </c>
      <c r="E143" s="119"/>
      <c r="F143" s="119"/>
      <c r="G143" s="119"/>
      <c r="H143" s="119"/>
      <c r="I143" s="119"/>
      <c r="J143" s="119"/>
      <c r="K143" s="119"/>
      <c r="L143" s="119"/>
      <c r="M143" s="119"/>
      <c r="N143" s="119"/>
      <c r="O143" s="119"/>
      <c r="P143" s="119"/>
      <c r="Q143" s="119"/>
      <c r="R143" s="119"/>
      <c r="S143" s="119"/>
      <c r="T143" s="155" t="s">
        <v>1314</v>
      </c>
      <c r="U143" s="120">
        <f>U144</f>
        <v>4021448.54</v>
      </c>
      <c r="V143" s="120">
        <f>V144</f>
        <v>3970036.13</v>
      </c>
      <c r="W143" s="120">
        <f>W144</f>
        <v>2914339.99</v>
      </c>
      <c r="X143" s="118"/>
      <c r="AA143" s="127"/>
    </row>
    <row r="144" spans="1:27" ht="63" customHeight="1" x14ac:dyDescent="0.25">
      <c r="A144" s="118"/>
      <c r="B144" s="119" t="s">
        <v>123</v>
      </c>
      <c r="C144" s="119" t="s">
        <v>127</v>
      </c>
      <c r="D144" s="161" t="s">
        <v>1094</v>
      </c>
      <c r="E144" s="119"/>
      <c r="F144" s="119"/>
      <c r="G144" s="119"/>
      <c r="H144" s="119"/>
      <c r="I144" s="119"/>
      <c r="J144" s="119"/>
      <c r="K144" s="119"/>
      <c r="L144" s="119"/>
      <c r="M144" s="119"/>
      <c r="N144" s="119"/>
      <c r="O144" s="119"/>
      <c r="P144" s="119"/>
      <c r="Q144" s="119"/>
      <c r="R144" s="119"/>
      <c r="S144" s="119" t="s">
        <v>294</v>
      </c>
      <c r="T144" s="135" t="s">
        <v>1097</v>
      </c>
      <c r="U144" s="120">
        <f>П4ВСР!Z734</f>
        <v>4021448.54</v>
      </c>
      <c r="V144" s="120">
        <f>П4ВСР!AA734</f>
        <v>3970036.13</v>
      </c>
      <c r="W144" s="120">
        <f>П4ВСР!AB734</f>
        <v>2914339.99</v>
      </c>
      <c r="X144" s="118"/>
    </row>
    <row r="145" spans="1:24" ht="200.25" hidden="1" customHeight="1" x14ac:dyDescent="0.25">
      <c r="A145" s="118" t="s">
        <v>485</v>
      </c>
      <c r="B145" s="161" t="s">
        <v>123</v>
      </c>
      <c r="C145" s="161" t="s">
        <v>127</v>
      </c>
      <c r="D145" s="161" t="s">
        <v>642</v>
      </c>
      <c r="E145" s="161"/>
      <c r="F145" s="161"/>
      <c r="G145" s="161"/>
      <c r="H145" s="161"/>
      <c r="I145" s="161"/>
      <c r="J145" s="161"/>
      <c r="K145" s="161"/>
      <c r="L145" s="161"/>
      <c r="M145" s="161"/>
      <c r="N145" s="161"/>
      <c r="O145" s="161"/>
      <c r="P145" s="161"/>
      <c r="Q145" s="161"/>
      <c r="R145" s="161"/>
      <c r="S145" s="161"/>
      <c r="T145" s="153" t="s">
        <v>641</v>
      </c>
      <c r="U145" s="120">
        <f>U146</f>
        <v>0</v>
      </c>
      <c r="V145" s="120">
        <f>V146</f>
        <v>0</v>
      </c>
      <c r="W145" s="120">
        <f>W146</f>
        <v>0</v>
      </c>
      <c r="X145" s="118" t="s">
        <v>485</v>
      </c>
    </row>
    <row r="146" spans="1:24" ht="129.75" hidden="1" customHeight="1" x14ac:dyDescent="0.25">
      <c r="A146" s="118" t="s">
        <v>486</v>
      </c>
      <c r="B146" s="136" t="s">
        <v>123</v>
      </c>
      <c r="C146" s="136" t="s">
        <v>127</v>
      </c>
      <c r="D146" s="161" t="s">
        <v>642</v>
      </c>
      <c r="E146" s="136"/>
      <c r="F146" s="136"/>
      <c r="G146" s="136"/>
      <c r="H146" s="136"/>
      <c r="I146" s="136"/>
      <c r="J146" s="136"/>
      <c r="K146" s="136"/>
      <c r="L146" s="136"/>
      <c r="M146" s="136"/>
      <c r="N146" s="136"/>
      <c r="O146" s="136"/>
      <c r="P146" s="136"/>
      <c r="Q146" s="136"/>
      <c r="R146" s="136"/>
      <c r="S146" s="136" t="s">
        <v>294</v>
      </c>
      <c r="T146" s="135" t="s">
        <v>486</v>
      </c>
      <c r="U146" s="120">
        <f>П4ВСР!Z737</f>
        <v>0</v>
      </c>
      <c r="V146" s="120">
        <f>П4ВСР!AA737</f>
        <v>0</v>
      </c>
      <c r="W146" s="120">
        <f>П4ВСР!AB737</f>
        <v>0</v>
      </c>
      <c r="X146" s="118" t="s">
        <v>486</v>
      </c>
    </row>
    <row r="147" spans="1:24" ht="216" customHeight="1" x14ac:dyDescent="0.25">
      <c r="A147" s="118" t="s">
        <v>298</v>
      </c>
      <c r="B147" s="119" t="s">
        <v>123</v>
      </c>
      <c r="C147" s="119" t="s">
        <v>127</v>
      </c>
      <c r="D147" s="134" t="s">
        <v>533</v>
      </c>
      <c r="E147" s="119"/>
      <c r="F147" s="119"/>
      <c r="G147" s="119"/>
      <c r="H147" s="119"/>
      <c r="I147" s="119"/>
      <c r="J147" s="119"/>
      <c r="K147" s="119"/>
      <c r="L147" s="119"/>
      <c r="M147" s="119"/>
      <c r="N147" s="119"/>
      <c r="O147" s="119"/>
      <c r="P147" s="119"/>
      <c r="Q147" s="119"/>
      <c r="R147" s="119"/>
      <c r="S147" s="119"/>
      <c r="T147" s="153" t="s">
        <v>1226</v>
      </c>
      <c r="U147" s="120">
        <f>U148</f>
        <v>100000</v>
      </c>
      <c r="V147" s="120">
        <f>V148</f>
        <v>100000</v>
      </c>
      <c r="W147" s="120">
        <f>W148</f>
        <v>100000</v>
      </c>
      <c r="X147" s="118" t="s">
        <v>298</v>
      </c>
    </row>
    <row r="148" spans="1:24" ht="54.75" customHeight="1" x14ac:dyDescent="0.25">
      <c r="A148" s="118" t="s">
        <v>299</v>
      </c>
      <c r="B148" s="122" t="s">
        <v>123</v>
      </c>
      <c r="C148" s="122" t="s">
        <v>127</v>
      </c>
      <c r="D148" s="134" t="s">
        <v>533</v>
      </c>
      <c r="E148" s="122"/>
      <c r="F148" s="122"/>
      <c r="G148" s="122"/>
      <c r="H148" s="122"/>
      <c r="I148" s="122"/>
      <c r="J148" s="122"/>
      <c r="K148" s="122"/>
      <c r="L148" s="122"/>
      <c r="M148" s="122"/>
      <c r="N148" s="122"/>
      <c r="O148" s="122"/>
      <c r="P148" s="122"/>
      <c r="Q148" s="122"/>
      <c r="R148" s="122"/>
      <c r="S148" s="122" t="s">
        <v>275</v>
      </c>
      <c r="T148" s="135" t="s">
        <v>565</v>
      </c>
      <c r="U148" s="120">
        <f>П4ВСР!Z105</f>
        <v>100000</v>
      </c>
      <c r="V148" s="120">
        <f>П4ВСР!AA105</f>
        <v>100000</v>
      </c>
      <c r="W148" s="120">
        <f>П4ВСР!AB105</f>
        <v>100000</v>
      </c>
      <c r="X148" s="118" t="s">
        <v>299</v>
      </c>
    </row>
    <row r="149" spans="1:24" ht="332.25" customHeight="1" x14ac:dyDescent="0.25">
      <c r="A149" s="118"/>
      <c r="B149" s="122" t="s">
        <v>123</v>
      </c>
      <c r="C149" s="122" t="s">
        <v>127</v>
      </c>
      <c r="D149" s="230" t="s">
        <v>781</v>
      </c>
      <c r="E149" s="122"/>
      <c r="F149" s="122"/>
      <c r="G149" s="122"/>
      <c r="H149" s="122"/>
      <c r="I149" s="122"/>
      <c r="J149" s="122"/>
      <c r="K149" s="122"/>
      <c r="L149" s="122"/>
      <c r="M149" s="122"/>
      <c r="N149" s="122"/>
      <c r="O149" s="122"/>
      <c r="P149" s="122"/>
      <c r="Q149" s="122"/>
      <c r="R149" s="122"/>
      <c r="S149" s="122"/>
      <c r="T149" s="153" t="s">
        <v>1227</v>
      </c>
      <c r="U149" s="120">
        <f>U150</f>
        <v>80068.75</v>
      </c>
      <c r="V149" s="120">
        <f>V150</f>
        <v>50000</v>
      </c>
      <c r="W149" s="120">
        <f>W150</f>
        <v>350000</v>
      </c>
      <c r="X149" s="118"/>
    </row>
    <row r="150" spans="1:24" ht="46.5" customHeight="1" x14ac:dyDescent="0.25">
      <c r="A150" s="118"/>
      <c r="B150" s="122" t="s">
        <v>123</v>
      </c>
      <c r="C150" s="122" t="s">
        <v>127</v>
      </c>
      <c r="D150" s="230" t="s">
        <v>781</v>
      </c>
      <c r="E150" s="122"/>
      <c r="F150" s="122"/>
      <c r="G150" s="122"/>
      <c r="H150" s="122"/>
      <c r="I150" s="122"/>
      <c r="J150" s="122"/>
      <c r="K150" s="122"/>
      <c r="L150" s="122"/>
      <c r="M150" s="122"/>
      <c r="N150" s="122"/>
      <c r="O150" s="122"/>
      <c r="P150" s="122"/>
      <c r="Q150" s="122"/>
      <c r="R150" s="122"/>
      <c r="S150" s="122" t="s">
        <v>275</v>
      </c>
      <c r="T150" s="135" t="s">
        <v>565</v>
      </c>
      <c r="U150" s="120">
        <f>П4ВСР!Z107</f>
        <v>80068.75</v>
      </c>
      <c r="V150" s="120">
        <f>П4ВСР!AA107</f>
        <v>50000</v>
      </c>
      <c r="W150" s="120">
        <f>П4ВСР!AB107</f>
        <v>350000</v>
      </c>
      <c r="X150" s="118"/>
    </row>
    <row r="151" spans="1:24" ht="234.75" customHeight="1" x14ac:dyDescent="0.25">
      <c r="A151" s="118"/>
      <c r="B151" s="122" t="s">
        <v>123</v>
      </c>
      <c r="C151" s="122" t="s">
        <v>127</v>
      </c>
      <c r="D151" s="230" t="s">
        <v>781</v>
      </c>
      <c r="E151" s="122"/>
      <c r="F151" s="122"/>
      <c r="G151" s="122"/>
      <c r="H151" s="122"/>
      <c r="I151" s="122"/>
      <c r="J151" s="122"/>
      <c r="K151" s="122"/>
      <c r="L151" s="122"/>
      <c r="M151" s="122"/>
      <c r="N151" s="122"/>
      <c r="O151" s="122"/>
      <c r="P151" s="122"/>
      <c r="Q151" s="122"/>
      <c r="R151" s="122"/>
      <c r="S151" s="122"/>
      <c r="T151" s="153" t="s">
        <v>1282</v>
      </c>
      <c r="U151" s="120">
        <f>U152</f>
        <v>64931.25</v>
      </c>
      <c r="V151" s="120">
        <v>0</v>
      </c>
      <c r="W151" s="120">
        <v>0</v>
      </c>
      <c r="X151" s="118"/>
    </row>
    <row r="152" spans="1:24" ht="38.25" customHeight="1" x14ac:dyDescent="0.25">
      <c r="A152" s="118"/>
      <c r="B152" s="122" t="s">
        <v>123</v>
      </c>
      <c r="C152" s="122" t="s">
        <v>127</v>
      </c>
      <c r="D152" s="230" t="s">
        <v>781</v>
      </c>
      <c r="E152" s="122"/>
      <c r="F152" s="122"/>
      <c r="G152" s="122"/>
      <c r="H152" s="122"/>
      <c r="I152" s="122"/>
      <c r="J152" s="122"/>
      <c r="K152" s="122"/>
      <c r="L152" s="122"/>
      <c r="M152" s="122"/>
      <c r="N152" s="122"/>
      <c r="O152" s="122"/>
      <c r="P152" s="122"/>
      <c r="Q152" s="122"/>
      <c r="R152" s="122"/>
      <c r="S152" s="122" t="s">
        <v>427</v>
      </c>
      <c r="T152" s="135" t="s">
        <v>770</v>
      </c>
      <c r="U152" s="120">
        <f>П4ВСР!Z446</f>
        <v>64931.25</v>
      </c>
      <c r="V152" s="120">
        <v>0</v>
      </c>
      <c r="W152" s="120">
        <v>0</v>
      </c>
      <c r="X152" s="118"/>
    </row>
    <row r="153" spans="1:24" ht="186" customHeight="1" x14ac:dyDescent="0.25">
      <c r="A153" s="118" t="s">
        <v>300</v>
      </c>
      <c r="B153" s="119" t="s">
        <v>123</v>
      </c>
      <c r="C153" s="119" t="s">
        <v>127</v>
      </c>
      <c r="D153" s="134" t="s">
        <v>534</v>
      </c>
      <c r="E153" s="119"/>
      <c r="F153" s="119"/>
      <c r="G153" s="119"/>
      <c r="H153" s="119"/>
      <c r="I153" s="119"/>
      <c r="J153" s="119"/>
      <c r="K153" s="119"/>
      <c r="L153" s="119"/>
      <c r="M153" s="119"/>
      <c r="N153" s="119"/>
      <c r="O153" s="119"/>
      <c r="P153" s="119"/>
      <c r="Q153" s="119"/>
      <c r="R153" s="119"/>
      <c r="S153" s="119"/>
      <c r="T153" s="153" t="s">
        <v>1228</v>
      </c>
      <c r="U153" s="120">
        <f>U154</f>
        <v>500000</v>
      </c>
      <c r="V153" s="120">
        <f>V154</f>
        <v>50000</v>
      </c>
      <c r="W153" s="120">
        <f>W154</f>
        <v>50000</v>
      </c>
      <c r="X153" s="118" t="s">
        <v>300</v>
      </c>
    </row>
    <row r="154" spans="1:24" ht="53.25" customHeight="1" x14ac:dyDescent="0.25">
      <c r="A154" s="118" t="s">
        <v>301</v>
      </c>
      <c r="B154" s="122" t="s">
        <v>123</v>
      </c>
      <c r="C154" s="122" t="s">
        <v>127</v>
      </c>
      <c r="D154" s="134" t="s">
        <v>534</v>
      </c>
      <c r="E154" s="122"/>
      <c r="F154" s="122"/>
      <c r="G154" s="122"/>
      <c r="H154" s="122"/>
      <c r="I154" s="122"/>
      <c r="J154" s="122"/>
      <c r="K154" s="122"/>
      <c r="L154" s="122"/>
      <c r="M154" s="122"/>
      <c r="N154" s="122"/>
      <c r="O154" s="122"/>
      <c r="P154" s="122"/>
      <c r="Q154" s="122"/>
      <c r="R154" s="122"/>
      <c r="S154" s="122" t="s">
        <v>275</v>
      </c>
      <c r="T154" s="135" t="s">
        <v>565</v>
      </c>
      <c r="U154" s="120">
        <f>П4ВСР!Z109</f>
        <v>500000</v>
      </c>
      <c r="V154" s="120">
        <f>П4ВСР!AA109</f>
        <v>50000</v>
      </c>
      <c r="W154" s="120">
        <f>П4ВСР!AB109</f>
        <v>50000</v>
      </c>
      <c r="X154" s="118" t="s">
        <v>301</v>
      </c>
    </row>
    <row r="155" spans="1:24" ht="212.25" hidden="1" customHeight="1" x14ac:dyDescent="0.25">
      <c r="A155" s="124" t="s">
        <v>241</v>
      </c>
      <c r="B155" s="119" t="s">
        <v>123</v>
      </c>
      <c r="C155" s="119" t="s">
        <v>127</v>
      </c>
      <c r="D155" s="134" t="s">
        <v>535</v>
      </c>
      <c r="E155" s="119"/>
      <c r="F155" s="119"/>
      <c r="G155" s="119"/>
      <c r="H155" s="119"/>
      <c r="I155" s="119"/>
      <c r="J155" s="119"/>
      <c r="K155" s="119"/>
      <c r="L155" s="119"/>
      <c r="M155" s="119"/>
      <c r="N155" s="119"/>
      <c r="O155" s="119"/>
      <c r="P155" s="119"/>
      <c r="Q155" s="119"/>
      <c r="R155" s="119"/>
      <c r="S155" s="119"/>
      <c r="T155" s="124" t="s">
        <v>241</v>
      </c>
      <c r="U155" s="120">
        <f>U156</f>
        <v>0</v>
      </c>
      <c r="V155" s="120">
        <f>V156</f>
        <v>0</v>
      </c>
      <c r="W155" s="120">
        <f>W156</f>
        <v>0</v>
      </c>
      <c r="X155" s="124" t="s">
        <v>241</v>
      </c>
    </row>
    <row r="156" spans="1:24" ht="247.5" hidden="1" customHeight="1" x14ac:dyDescent="0.25">
      <c r="A156" s="124" t="s">
        <v>302</v>
      </c>
      <c r="B156" s="122" t="s">
        <v>123</v>
      </c>
      <c r="C156" s="122" t="s">
        <v>127</v>
      </c>
      <c r="D156" s="134" t="s">
        <v>535</v>
      </c>
      <c r="E156" s="122"/>
      <c r="F156" s="122"/>
      <c r="G156" s="122"/>
      <c r="H156" s="122"/>
      <c r="I156" s="122"/>
      <c r="J156" s="122"/>
      <c r="K156" s="122"/>
      <c r="L156" s="122"/>
      <c r="M156" s="122"/>
      <c r="N156" s="122"/>
      <c r="O156" s="122"/>
      <c r="P156" s="122"/>
      <c r="Q156" s="122"/>
      <c r="R156" s="122"/>
      <c r="S156" s="122" t="s">
        <v>275</v>
      </c>
      <c r="T156" s="121" t="s">
        <v>302</v>
      </c>
      <c r="U156" s="120">
        <f>П4ВСР!Z111</f>
        <v>0</v>
      </c>
      <c r="V156" s="120">
        <f>П4ВСР!AA111</f>
        <v>0</v>
      </c>
      <c r="W156" s="120">
        <f>П4ВСР!AB111</f>
        <v>0</v>
      </c>
      <c r="X156" s="124" t="s">
        <v>302</v>
      </c>
    </row>
    <row r="157" spans="1:24" ht="39" hidden="1" customHeight="1" x14ac:dyDescent="0.25">
      <c r="A157" s="124"/>
      <c r="B157" s="139" t="s">
        <v>123</v>
      </c>
      <c r="C157" s="139" t="s">
        <v>143</v>
      </c>
      <c r="D157" s="134"/>
      <c r="E157" s="122"/>
      <c r="F157" s="122"/>
      <c r="G157" s="122"/>
      <c r="H157" s="122"/>
      <c r="I157" s="122"/>
      <c r="J157" s="122"/>
      <c r="K157" s="122"/>
      <c r="L157" s="122"/>
      <c r="M157" s="122"/>
      <c r="N157" s="122"/>
      <c r="O157" s="122"/>
      <c r="P157" s="122"/>
      <c r="Q157" s="122"/>
      <c r="R157" s="122"/>
      <c r="S157" s="122"/>
      <c r="T157" s="138" t="s">
        <v>144</v>
      </c>
      <c r="U157" s="120">
        <f t="shared" ref="U157:W158" si="7">U158</f>
        <v>0</v>
      </c>
      <c r="V157" s="120">
        <f t="shared" si="7"/>
        <v>0</v>
      </c>
      <c r="W157" s="120">
        <f t="shared" si="7"/>
        <v>0</v>
      </c>
      <c r="X157" s="124"/>
    </row>
    <row r="158" spans="1:24" ht="106.5" hidden="1" customHeight="1" x14ac:dyDescent="0.25">
      <c r="A158" s="124"/>
      <c r="B158" s="140" t="s">
        <v>123</v>
      </c>
      <c r="C158" s="140" t="s">
        <v>143</v>
      </c>
      <c r="D158" s="134" t="s">
        <v>537</v>
      </c>
      <c r="E158" s="140"/>
      <c r="F158" s="140"/>
      <c r="G158" s="140"/>
      <c r="H158" s="140"/>
      <c r="I158" s="140"/>
      <c r="J158" s="140"/>
      <c r="K158" s="140"/>
      <c r="L158" s="140"/>
      <c r="M158" s="140"/>
      <c r="N158" s="140"/>
      <c r="O158" s="140"/>
      <c r="P158" s="140"/>
      <c r="Q158" s="140"/>
      <c r="R158" s="140"/>
      <c r="S158" s="140"/>
      <c r="T158" s="155" t="s">
        <v>536</v>
      </c>
      <c r="U158" s="120">
        <f t="shared" si="7"/>
        <v>0</v>
      </c>
      <c r="V158" s="120">
        <f t="shared" si="7"/>
        <v>0</v>
      </c>
      <c r="W158" s="120">
        <f t="shared" si="7"/>
        <v>0</v>
      </c>
      <c r="X158" s="124"/>
    </row>
    <row r="159" spans="1:24" ht="90" hidden="1" customHeight="1" x14ac:dyDescent="0.25">
      <c r="A159" s="124"/>
      <c r="B159" s="140" t="s">
        <v>123</v>
      </c>
      <c r="C159" s="140" t="s">
        <v>143</v>
      </c>
      <c r="D159" s="134" t="s">
        <v>537</v>
      </c>
      <c r="E159" s="140"/>
      <c r="F159" s="140"/>
      <c r="G159" s="140"/>
      <c r="H159" s="140"/>
      <c r="I159" s="140"/>
      <c r="J159" s="140"/>
      <c r="K159" s="140"/>
      <c r="L159" s="140"/>
      <c r="M159" s="140"/>
      <c r="N159" s="140"/>
      <c r="O159" s="140"/>
      <c r="P159" s="140"/>
      <c r="Q159" s="140"/>
      <c r="R159" s="140"/>
      <c r="S159" s="140" t="s">
        <v>275</v>
      </c>
      <c r="T159" s="154" t="s">
        <v>732</v>
      </c>
      <c r="U159" s="120">
        <f>П4ВСР!Z114</f>
        <v>0</v>
      </c>
      <c r="V159" s="120">
        <f>П4ВСР!AA114</f>
        <v>0</v>
      </c>
      <c r="W159" s="120">
        <f>П4ВСР!AB114</f>
        <v>0</v>
      </c>
      <c r="X159" s="124"/>
    </row>
    <row r="160" spans="1:24" ht="18.600000000000001" customHeight="1" x14ac:dyDescent="0.25">
      <c r="A160" s="116" t="s">
        <v>303</v>
      </c>
      <c r="B160" s="126" t="s">
        <v>136</v>
      </c>
      <c r="C160" s="126" t="s">
        <v>133</v>
      </c>
      <c r="D160" s="126"/>
      <c r="E160" s="126"/>
      <c r="F160" s="126"/>
      <c r="G160" s="126"/>
      <c r="H160" s="126"/>
      <c r="I160" s="126"/>
      <c r="J160" s="126"/>
      <c r="K160" s="126"/>
      <c r="L160" s="126"/>
      <c r="M160" s="126"/>
      <c r="N160" s="126"/>
      <c r="O160" s="126"/>
      <c r="P160" s="126"/>
      <c r="Q160" s="126"/>
      <c r="R160" s="126"/>
      <c r="S160" s="126"/>
      <c r="T160" s="116" t="s">
        <v>303</v>
      </c>
      <c r="U160" s="117">
        <f>U161+U192+U201+U228+U243</f>
        <v>57256175.660000004</v>
      </c>
      <c r="V160" s="117">
        <f>V161+V192+V201+V228+V243</f>
        <v>26209102.100000001</v>
      </c>
      <c r="W160" s="117">
        <f>W161+W192+W201+W228+W243</f>
        <v>22391365.640000001</v>
      </c>
      <c r="X160" s="116" t="s">
        <v>303</v>
      </c>
    </row>
    <row r="161" spans="1:27" ht="18.600000000000001" customHeight="1" x14ac:dyDescent="0.25">
      <c r="A161" s="118" t="s">
        <v>147</v>
      </c>
      <c r="B161" s="119" t="s">
        <v>136</v>
      </c>
      <c r="C161" s="119" t="s">
        <v>124</v>
      </c>
      <c r="D161" s="119"/>
      <c r="E161" s="119"/>
      <c r="F161" s="119"/>
      <c r="G161" s="119"/>
      <c r="H161" s="119"/>
      <c r="I161" s="119"/>
      <c r="J161" s="119"/>
      <c r="K161" s="119"/>
      <c r="L161" s="119"/>
      <c r="M161" s="119"/>
      <c r="N161" s="119"/>
      <c r="O161" s="119"/>
      <c r="P161" s="119"/>
      <c r="Q161" s="119"/>
      <c r="R161" s="119"/>
      <c r="S161" s="119"/>
      <c r="T161" s="118" t="s">
        <v>147</v>
      </c>
      <c r="U161" s="120">
        <f>U162+U164+U166+U168+U174+U176+U184+U188+U190+U170+U172+U182+U178+U186+U180</f>
        <v>465321.43</v>
      </c>
      <c r="V161" s="120">
        <f>V162+V164+V166+V168+V174+V176+V184+V188+V190+V170+V172</f>
        <v>247321.43</v>
      </c>
      <c r="W161" s="120">
        <f>W162+W164+W166+W168+W174+W176+W184+W188+W190+W170+W172</f>
        <v>247321.43</v>
      </c>
      <c r="X161" s="118" t="s">
        <v>147</v>
      </c>
    </row>
    <row r="162" spans="1:27" ht="147" hidden="1" customHeight="1" x14ac:dyDescent="0.25">
      <c r="A162" s="118" t="s">
        <v>304</v>
      </c>
      <c r="B162" s="119" t="s">
        <v>136</v>
      </c>
      <c r="C162" s="119" t="s">
        <v>124</v>
      </c>
      <c r="D162" s="134" t="s">
        <v>538</v>
      </c>
      <c r="E162" s="119"/>
      <c r="F162" s="119"/>
      <c r="G162" s="119"/>
      <c r="H162" s="119"/>
      <c r="I162" s="119"/>
      <c r="J162" s="119"/>
      <c r="K162" s="119"/>
      <c r="L162" s="119"/>
      <c r="M162" s="119"/>
      <c r="N162" s="119"/>
      <c r="O162" s="119"/>
      <c r="P162" s="119"/>
      <c r="Q162" s="119"/>
      <c r="R162" s="119"/>
      <c r="S162" s="119"/>
      <c r="T162" s="153" t="s">
        <v>594</v>
      </c>
      <c r="U162" s="120">
        <f>U163</f>
        <v>0</v>
      </c>
      <c r="V162" s="120">
        <f>V163</f>
        <v>0</v>
      </c>
      <c r="W162" s="120">
        <f>W163</f>
        <v>0</v>
      </c>
      <c r="X162" s="118" t="s">
        <v>304</v>
      </c>
    </row>
    <row r="163" spans="1:27" ht="108.75" hidden="1" customHeight="1" x14ac:dyDescent="0.25">
      <c r="A163" s="118" t="s">
        <v>305</v>
      </c>
      <c r="B163" s="122" t="s">
        <v>136</v>
      </c>
      <c r="C163" s="122" t="s">
        <v>124</v>
      </c>
      <c r="D163" s="134" t="s">
        <v>538</v>
      </c>
      <c r="E163" s="122"/>
      <c r="F163" s="122"/>
      <c r="G163" s="122"/>
      <c r="H163" s="122"/>
      <c r="I163" s="122"/>
      <c r="J163" s="122"/>
      <c r="K163" s="122"/>
      <c r="L163" s="122"/>
      <c r="M163" s="122"/>
      <c r="N163" s="122"/>
      <c r="O163" s="122"/>
      <c r="P163" s="122"/>
      <c r="Q163" s="122"/>
      <c r="R163" s="122"/>
      <c r="S163" s="122" t="s">
        <v>275</v>
      </c>
      <c r="T163" s="135" t="s">
        <v>305</v>
      </c>
      <c r="U163" s="120">
        <f>П4ВСР!Z118</f>
        <v>0</v>
      </c>
      <c r="V163" s="120">
        <f>П4ВСР!AA118</f>
        <v>0</v>
      </c>
      <c r="W163" s="120">
        <f>П4ВСР!AB118</f>
        <v>0</v>
      </c>
      <c r="X163" s="118" t="s">
        <v>305</v>
      </c>
    </row>
    <row r="164" spans="1:27" ht="130.5" customHeight="1" x14ac:dyDescent="0.25">
      <c r="A164" s="118" t="s">
        <v>306</v>
      </c>
      <c r="B164" s="119" t="s">
        <v>136</v>
      </c>
      <c r="C164" s="119" t="s">
        <v>124</v>
      </c>
      <c r="D164" s="134" t="s">
        <v>539</v>
      </c>
      <c r="E164" s="119"/>
      <c r="F164" s="119"/>
      <c r="G164" s="119"/>
      <c r="H164" s="119"/>
      <c r="I164" s="119"/>
      <c r="J164" s="119"/>
      <c r="K164" s="119"/>
      <c r="L164" s="119"/>
      <c r="M164" s="119"/>
      <c r="N164" s="119"/>
      <c r="O164" s="119"/>
      <c r="P164" s="119"/>
      <c r="Q164" s="119"/>
      <c r="R164" s="119"/>
      <c r="S164" s="119"/>
      <c r="T164" s="153" t="s">
        <v>1229</v>
      </c>
      <c r="U164" s="120">
        <f>U165</f>
        <v>0</v>
      </c>
      <c r="V164" s="120">
        <f>V165</f>
        <v>100000</v>
      </c>
      <c r="W164" s="120">
        <f>W165</f>
        <v>100000</v>
      </c>
      <c r="X164" s="118" t="s">
        <v>306</v>
      </c>
      <c r="AA164" s="127"/>
    </row>
    <row r="165" spans="1:27" ht="36.75" customHeight="1" x14ac:dyDescent="0.25">
      <c r="A165" s="118" t="s">
        <v>307</v>
      </c>
      <c r="B165" s="122" t="s">
        <v>136</v>
      </c>
      <c r="C165" s="122" t="s">
        <v>124</v>
      </c>
      <c r="D165" s="134" t="s">
        <v>539</v>
      </c>
      <c r="E165" s="122"/>
      <c r="F165" s="122"/>
      <c r="G165" s="122"/>
      <c r="H165" s="122"/>
      <c r="I165" s="122"/>
      <c r="J165" s="122"/>
      <c r="K165" s="122"/>
      <c r="L165" s="122"/>
      <c r="M165" s="122"/>
      <c r="N165" s="122"/>
      <c r="O165" s="122"/>
      <c r="P165" s="122"/>
      <c r="Q165" s="122"/>
      <c r="R165" s="122"/>
      <c r="S165" s="167" t="s">
        <v>243</v>
      </c>
      <c r="T165" s="135" t="s">
        <v>760</v>
      </c>
      <c r="U165" s="120">
        <f>П4ВСР!Z120</f>
        <v>0</v>
      </c>
      <c r="V165" s="120">
        <f>П4ВСР!AA120</f>
        <v>100000</v>
      </c>
      <c r="W165" s="120">
        <f>П4ВСР!AB120</f>
        <v>100000</v>
      </c>
      <c r="X165" s="118" t="s">
        <v>307</v>
      </c>
      <c r="AA165" s="127"/>
    </row>
    <row r="166" spans="1:27" ht="148.5" hidden="1" customHeight="1" x14ac:dyDescent="0.25">
      <c r="A166" s="118" t="s">
        <v>308</v>
      </c>
      <c r="B166" s="119" t="s">
        <v>136</v>
      </c>
      <c r="C166" s="119" t="s">
        <v>124</v>
      </c>
      <c r="D166" s="134" t="s">
        <v>540</v>
      </c>
      <c r="E166" s="119"/>
      <c r="F166" s="119"/>
      <c r="G166" s="119"/>
      <c r="H166" s="119"/>
      <c r="I166" s="119"/>
      <c r="J166" s="119"/>
      <c r="K166" s="119"/>
      <c r="L166" s="119"/>
      <c r="M166" s="119"/>
      <c r="N166" s="119"/>
      <c r="O166" s="119"/>
      <c r="P166" s="119"/>
      <c r="Q166" s="119"/>
      <c r="R166" s="119"/>
      <c r="S166" s="119"/>
      <c r="T166" s="153" t="s">
        <v>595</v>
      </c>
      <c r="U166" s="120">
        <f>U167</f>
        <v>0</v>
      </c>
      <c r="V166" s="120">
        <f>V167</f>
        <v>0</v>
      </c>
      <c r="W166" s="120">
        <f>W167</f>
        <v>0</v>
      </c>
      <c r="X166" s="118" t="s">
        <v>308</v>
      </c>
    </row>
    <row r="167" spans="1:27" ht="129.75" hidden="1" customHeight="1" x14ac:dyDescent="0.25">
      <c r="A167" s="118" t="s">
        <v>309</v>
      </c>
      <c r="B167" s="122" t="s">
        <v>136</v>
      </c>
      <c r="C167" s="122" t="s">
        <v>124</v>
      </c>
      <c r="D167" s="134" t="s">
        <v>540</v>
      </c>
      <c r="E167" s="122"/>
      <c r="F167" s="122"/>
      <c r="G167" s="122"/>
      <c r="H167" s="122"/>
      <c r="I167" s="122"/>
      <c r="J167" s="122"/>
      <c r="K167" s="122"/>
      <c r="L167" s="122"/>
      <c r="M167" s="122"/>
      <c r="N167" s="122"/>
      <c r="O167" s="122"/>
      <c r="P167" s="122"/>
      <c r="Q167" s="122"/>
      <c r="R167" s="122"/>
      <c r="S167" s="122" t="s">
        <v>275</v>
      </c>
      <c r="T167" s="135" t="s">
        <v>309</v>
      </c>
      <c r="U167" s="120">
        <f>П4ВСР!Z122</f>
        <v>0</v>
      </c>
      <c r="V167" s="120">
        <f>П4ВСР!AA122</f>
        <v>0</v>
      </c>
      <c r="W167" s="120">
        <f>П4ВСР!AB122</f>
        <v>0</v>
      </c>
      <c r="X167" s="118" t="s">
        <v>309</v>
      </c>
    </row>
    <row r="168" spans="1:27" ht="110.25" customHeight="1" x14ac:dyDescent="0.25">
      <c r="A168" s="118" t="s">
        <v>310</v>
      </c>
      <c r="B168" s="119" t="s">
        <v>136</v>
      </c>
      <c r="C168" s="119" t="s">
        <v>124</v>
      </c>
      <c r="D168" s="134" t="s">
        <v>541</v>
      </c>
      <c r="E168" s="119"/>
      <c r="F168" s="119"/>
      <c r="G168" s="119"/>
      <c r="H168" s="119"/>
      <c r="I168" s="119"/>
      <c r="J168" s="119"/>
      <c r="K168" s="119"/>
      <c r="L168" s="119"/>
      <c r="M168" s="119"/>
      <c r="N168" s="119"/>
      <c r="O168" s="119"/>
      <c r="P168" s="119"/>
      <c r="Q168" s="119"/>
      <c r="R168" s="119"/>
      <c r="S168" s="119"/>
      <c r="T168" s="153" t="s">
        <v>1230</v>
      </c>
      <c r="U168" s="120">
        <f>U169</f>
        <v>10000</v>
      </c>
      <c r="V168" s="120">
        <f>V169</f>
        <v>25000</v>
      </c>
      <c r="W168" s="120">
        <f>W169</f>
        <v>25000</v>
      </c>
      <c r="X168" s="118" t="s">
        <v>310</v>
      </c>
    </row>
    <row r="169" spans="1:27" ht="46.5" customHeight="1" x14ac:dyDescent="0.25">
      <c r="A169" s="118" t="s">
        <v>311</v>
      </c>
      <c r="B169" s="122" t="s">
        <v>136</v>
      </c>
      <c r="C169" s="122" t="s">
        <v>124</v>
      </c>
      <c r="D169" s="134" t="s">
        <v>541</v>
      </c>
      <c r="E169" s="136"/>
      <c r="F169" s="136"/>
      <c r="G169" s="136"/>
      <c r="H169" s="136"/>
      <c r="I169" s="136"/>
      <c r="J169" s="136"/>
      <c r="K169" s="136"/>
      <c r="L169" s="136"/>
      <c r="M169" s="136"/>
      <c r="N169" s="136"/>
      <c r="O169" s="136"/>
      <c r="P169" s="136"/>
      <c r="Q169" s="136"/>
      <c r="R169" s="136"/>
      <c r="S169" s="136" t="s">
        <v>275</v>
      </c>
      <c r="T169" s="135" t="s">
        <v>565</v>
      </c>
      <c r="U169" s="120">
        <f>П4ВСР!Z124</f>
        <v>10000</v>
      </c>
      <c r="V169" s="120">
        <f>П4ВСР!AA124</f>
        <v>25000</v>
      </c>
      <c r="W169" s="120">
        <f>П4ВСР!AB124</f>
        <v>25000</v>
      </c>
      <c r="X169" s="118" t="s">
        <v>311</v>
      </c>
    </row>
    <row r="170" spans="1:27" s="271" customFormat="1" ht="123.75" customHeight="1" x14ac:dyDescent="0.25">
      <c r="A170" s="224"/>
      <c r="B170" s="136" t="s">
        <v>136</v>
      </c>
      <c r="C170" s="136" t="s">
        <v>124</v>
      </c>
      <c r="D170" s="230" t="s">
        <v>890</v>
      </c>
      <c r="E170" s="136"/>
      <c r="F170" s="136"/>
      <c r="G170" s="136"/>
      <c r="H170" s="136"/>
      <c r="I170" s="136"/>
      <c r="J170" s="136"/>
      <c r="K170" s="136"/>
      <c r="L170" s="136"/>
      <c r="M170" s="136"/>
      <c r="N170" s="136"/>
      <c r="O170" s="136"/>
      <c r="P170" s="136"/>
      <c r="Q170" s="136"/>
      <c r="R170" s="136"/>
      <c r="S170" s="136"/>
      <c r="T170" s="153" t="s">
        <v>1230</v>
      </c>
      <c r="U170" s="219">
        <f>U171</f>
        <v>0</v>
      </c>
      <c r="V170" s="219">
        <f t="shared" ref="V170:X170" si="8">V171</f>
        <v>100000</v>
      </c>
      <c r="W170" s="219">
        <f t="shared" si="8"/>
        <v>100000</v>
      </c>
      <c r="X170" s="229">
        <f t="shared" si="8"/>
        <v>0</v>
      </c>
    </row>
    <row r="171" spans="1:27" s="271" customFormat="1" ht="27.75" customHeight="1" x14ac:dyDescent="0.25">
      <c r="A171" s="224"/>
      <c r="B171" s="136" t="s">
        <v>136</v>
      </c>
      <c r="C171" s="136" t="s">
        <v>124</v>
      </c>
      <c r="D171" s="230" t="s">
        <v>890</v>
      </c>
      <c r="E171" s="136"/>
      <c r="F171" s="136"/>
      <c r="G171" s="136"/>
      <c r="H171" s="136"/>
      <c r="I171" s="136"/>
      <c r="J171" s="136"/>
      <c r="K171" s="136"/>
      <c r="L171" s="136"/>
      <c r="M171" s="136"/>
      <c r="N171" s="136"/>
      <c r="O171" s="136"/>
      <c r="P171" s="136"/>
      <c r="Q171" s="136"/>
      <c r="R171" s="136"/>
      <c r="S171" s="136" t="s">
        <v>243</v>
      </c>
      <c r="T171" s="135" t="s">
        <v>760</v>
      </c>
      <c r="U171" s="219">
        <f>П4ВСР!Z126</f>
        <v>0</v>
      </c>
      <c r="V171" s="219">
        <f>П4ВСР!AA126</f>
        <v>100000</v>
      </c>
      <c r="W171" s="219">
        <f>П4ВСР!AB126</f>
        <v>100000</v>
      </c>
      <c r="X171" s="224"/>
    </row>
    <row r="172" spans="1:27" s="271" customFormat="1" ht="131.25" hidden="1" customHeight="1" x14ac:dyDescent="0.25">
      <c r="A172" s="224"/>
      <c r="B172" s="136" t="s">
        <v>136</v>
      </c>
      <c r="C172" s="136" t="s">
        <v>124</v>
      </c>
      <c r="D172" s="230" t="s">
        <v>889</v>
      </c>
      <c r="E172" s="136"/>
      <c r="F172" s="136"/>
      <c r="G172" s="136"/>
      <c r="H172" s="136"/>
      <c r="I172" s="136"/>
      <c r="J172" s="136"/>
      <c r="K172" s="136"/>
      <c r="L172" s="136"/>
      <c r="M172" s="136"/>
      <c r="N172" s="136"/>
      <c r="O172" s="136"/>
      <c r="P172" s="136"/>
      <c r="Q172" s="136"/>
      <c r="R172" s="136"/>
      <c r="S172" s="136"/>
      <c r="T172" s="135" t="s">
        <v>596</v>
      </c>
      <c r="U172" s="219">
        <f>U173</f>
        <v>0</v>
      </c>
      <c r="V172" s="219">
        <f t="shared" ref="V172:W172" si="9">V173</f>
        <v>0</v>
      </c>
      <c r="W172" s="219">
        <f t="shared" si="9"/>
        <v>0</v>
      </c>
      <c r="X172" s="224"/>
    </row>
    <row r="173" spans="1:27" s="271" customFormat="1" ht="131.25" hidden="1" customHeight="1" x14ac:dyDescent="0.25">
      <c r="A173" s="224"/>
      <c r="B173" s="136" t="s">
        <v>136</v>
      </c>
      <c r="C173" s="136" t="s">
        <v>124</v>
      </c>
      <c r="D173" s="230" t="s">
        <v>889</v>
      </c>
      <c r="E173" s="136"/>
      <c r="F173" s="136"/>
      <c r="G173" s="136"/>
      <c r="H173" s="136"/>
      <c r="I173" s="136"/>
      <c r="J173" s="136"/>
      <c r="K173" s="136"/>
      <c r="L173" s="136"/>
      <c r="M173" s="136"/>
      <c r="N173" s="136"/>
      <c r="O173" s="136"/>
      <c r="P173" s="136"/>
      <c r="Q173" s="136"/>
      <c r="R173" s="136"/>
      <c r="S173" s="136" t="s">
        <v>275</v>
      </c>
      <c r="T173" s="135" t="s">
        <v>865</v>
      </c>
      <c r="U173" s="219">
        <f>П4ВСР!Z128</f>
        <v>0</v>
      </c>
      <c r="V173" s="219">
        <v>0</v>
      </c>
      <c r="W173" s="219">
        <v>0</v>
      </c>
      <c r="X173" s="224"/>
    </row>
    <row r="174" spans="1:27" ht="124.5" hidden="1" customHeight="1" x14ac:dyDescent="0.25">
      <c r="A174" s="118" t="s">
        <v>312</v>
      </c>
      <c r="B174" s="119" t="s">
        <v>136</v>
      </c>
      <c r="C174" s="119" t="s">
        <v>124</v>
      </c>
      <c r="D174" s="134" t="s">
        <v>542</v>
      </c>
      <c r="E174" s="119"/>
      <c r="F174" s="119"/>
      <c r="G174" s="119"/>
      <c r="H174" s="119"/>
      <c r="I174" s="119"/>
      <c r="J174" s="119"/>
      <c r="K174" s="119"/>
      <c r="L174" s="119"/>
      <c r="M174" s="119"/>
      <c r="N174" s="119"/>
      <c r="O174" s="119"/>
      <c r="P174" s="119"/>
      <c r="Q174" s="119"/>
      <c r="R174" s="119"/>
      <c r="S174" s="119"/>
      <c r="T174" s="153" t="s">
        <v>597</v>
      </c>
      <c r="U174" s="120">
        <f>U175</f>
        <v>0</v>
      </c>
      <c r="V174" s="120">
        <f>V175</f>
        <v>0</v>
      </c>
      <c r="W174" s="120">
        <f>W175</f>
        <v>0</v>
      </c>
      <c r="X174" s="118" t="s">
        <v>312</v>
      </c>
    </row>
    <row r="175" spans="1:27" ht="93" hidden="1" customHeight="1" x14ac:dyDescent="0.25">
      <c r="A175" s="118" t="s">
        <v>313</v>
      </c>
      <c r="B175" s="122" t="s">
        <v>136</v>
      </c>
      <c r="C175" s="122" t="s">
        <v>124</v>
      </c>
      <c r="D175" s="134" t="s">
        <v>542</v>
      </c>
      <c r="E175" s="136"/>
      <c r="F175" s="136"/>
      <c r="G175" s="136"/>
      <c r="H175" s="136"/>
      <c r="I175" s="136"/>
      <c r="J175" s="136"/>
      <c r="K175" s="136"/>
      <c r="L175" s="136"/>
      <c r="M175" s="136"/>
      <c r="N175" s="136"/>
      <c r="O175" s="136"/>
      <c r="P175" s="136"/>
      <c r="Q175" s="136"/>
      <c r="R175" s="136"/>
      <c r="S175" s="136" t="s">
        <v>275</v>
      </c>
      <c r="T175" s="135" t="s">
        <v>313</v>
      </c>
      <c r="U175" s="120">
        <f>П4ВСР!Z130</f>
        <v>0</v>
      </c>
      <c r="V175" s="120">
        <f>П4ВСР!AA130</f>
        <v>0</v>
      </c>
      <c r="W175" s="120">
        <f>П4ВСР!AB130</f>
        <v>0</v>
      </c>
      <c r="X175" s="118" t="s">
        <v>313</v>
      </c>
    </row>
    <row r="176" spans="1:27" ht="0.75" hidden="1" customHeight="1" x14ac:dyDescent="0.25">
      <c r="A176" s="118" t="s">
        <v>314</v>
      </c>
      <c r="B176" s="119" t="s">
        <v>136</v>
      </c>
      <c r="C176" s="119" t="s">
        <v>124</v>
      </c>
      <c r="D176" s="134" t="s">
        <v>543</v>
      </c>
      <c r="E176" s="119"/>
      <c r="F176" s="119"/>
      <c r="G176" s="119"/>
      <c r="H176" s="119"/>
      <c r="I176" s="119"/>
      <c r="J176" s="119"/>
      <c r="K176" s="119"/>
      <c r="L176" s="119"/>
      <c r="M176" s="119"/>
      <c r="N176" s="119"/>
      <c r="O176" s="119"/>
      <c r="P176" s="119"/>
      <c r="Q176" s="119"/>
      <c r="R176" s="119"/>
      <c r="S176" s="119"/>
      <c r="T176" s="153" t="s">
        <v>598</v>
      </c>
      <c r="U176" s="120">
        <f>U177</f>
        <v>0</v>
      </c>
      <c r="V176" s="120">
        <f>V177</f>
        <v>0</v>
      </c>
      <c r="W176" s="120">
        <f>W177</f>
        <v>0</v>
      </c>
      <c r="X176" s="118" t="s">
        <v>314</v>
      </c>
    </row>
    <row r="177" spans="1:24" ht="55.5" hidden="1" customHeight="1" x14ac:dyDescent="0.25">
      <c r="A177" s="118" t="s">
        <v>315</v>
      </c>
      <c r="B177" s="122" t="s">
        <v>136</v>
      </c>
      <c r="C177" s="122" t="s">
        <v>124</v>
      </c>
      <c r="D177" s="134" t="s">
        <v>543</v>
      </c>
      <c r="E177" s="136"/>
      <c r="F177" s="136"/>
      <c r="G177" s="136"/>
      <c r="H177" s="136"/>
      <c r="I177" s="136"/>
      <c r="J177" s="136"/>
      <c r="K177" s="136"/>
      <c r="L177" s="136"/>
      <c r="M177" s="136"/>
      <c r="N177" s="136"/>
      <c r="O177" s="136"/>
      <c r="P177" s="136"/>
      <c r="Q177" s="136"/>
      <c r="R177" s="136"/>
      <c r="S177" s="136" t="s">
        <v>275</v>
      </c>
      <c r="T177" s="162" t="s">
        <v>315</v>
      </c>
      <c r="U177" s="120">
        <f>П4ВСР!Z132</f>
        <v>0</v>
      </c>
      <c r="V177" s="120">
        <f>П4ВСР!AA132</f>
        <v>0</v>
      </c>
      <c r="W177" s="120">
        <f>П4ВСР!AB132</f>
        <v>0</v>
      </c>
      <c r="X177" s="118" t="s">
        <v>315</v>
      </c>
    </row>
    <row r="178" spans="1:24" ht="123" hidden="1" customHeight="1" x14ac:dyDescent="0.25">
      <c r="A178" s="118"/>
      <c r="B178" s="122" t="s">
        <v>136</v>
      </c>
      <c r="C178" s="122" t="s">
        <v>124</v>
      </c>
      <c r="D178" s="230" t="s">
        <v>889</v>
      </c>
      <c r="E178" s="136"/>
      <c r="F178" s="136"/>
      <c r="G178" s="136"/>
      <c r="H178" s="136"/>
      <c r="I178" s="136"/>
      <c r="J178" s="136"/>
      <c r="K178" s="136"/>
      <c r="L178" s="136"/>
      <c r="M178" s="136"/>
      <c r="N178" s="136"/>
      <c r="O178" s="136"/>
      <c r="P178" s="136"/>
      <c r="Q178" s="136"/>
      <c r="R178" s="136"/>
      <c r="S178" s="443"/>
      <c r="T178" s="444" t="s">
        <v>596</v>
      </c>
      <c r="U178" s="180">
        <f>U179</f>
        <v>0</v>
      </c>
      <c r="V178" s="120">
        <v>0</v>
      </c>
      <c r="W178" s="120">
        <v>0</v>
      </c>
      <c r="X178" s="118"/>
    </row>
    <row r="179" spans="1:24" ht="102" hidden="1" customHeight="1" x14ac:dyDescent="0.25">
      <c r="A179" s="118"/>
      <c r="B179" s="489" t="s">
        <v>136</v>
      </c>
      <c r="C179" s="489" t="s">
        <v>124</v>
      </c>
      <c r="D179" s="244" t="s">
        <v>889</v>
      </c>
      <c r="E179" s="163"/>
      <c r="F179" s="163"/>
      <c r="G179" s="163"/>
      <c r="H179" s="163"/>
      <c r="I179" s="163"/>
      <c r="J179" s="163"/>
      <c r="K179" s="163"/>
      <c r="L179" s="163"/>
      <c r="M179" s="163"/>
      <c r="N179" s="163"/>
      <c r="O179" s="163"/>
      <c r="P179" s="163"/>
      <c r="Q179" s="163"/>
      <c r="R179" s="163"/>
      <c r="S179" s="512" t="s">
        <v>275</v>
      </c>
      <c r="T179" s="518" t="s">
        <v>865</v>
      </c>
      <c r="U179" s="513">
        <f>П4ВСР!Z134</f>
        <v>0</v>
      </c>
      <c r="V179" s="120">
        <v>0</v>
      </c>
      <c r="W179" s="120">
        <v>0</v>
      </c>
      <c r="X179" s="118"/>
    </row>
    <row r="180" spans="1:24" ht="138" customHeight="1" x14ac:dyDescent="0.25">
      <c r="A180" s="179"/>
      <c r="B180" s="521" t="s">
        <v>136</v>
      </c>
      <c r="C180" s="521" t="s">
        <v>124</v>
      </c>
      <c r="D180" s="233" t="s">
        <v>1027</v>
      </c>
      <c r="E180" s="492"/>
      <c r="F180" s="492"/>
      <c r="G180" s="492"/>
      <c r="H180" s="492"/>
      <c r="I180" s="492"/>
      <c r="J180" s="492"/>
      <c r="K180" s="492"/>
      <c r="L180" s="492"/>
      <c r="M180" s="492"/>
      <c r="N180" s="492"/>
      <c r="O180" s="492"/>
      <c r="P180" s="492"/>
      <c r="Q180" s="492"/>
      <c r="R180" s="492"/>
      <c r="S180" s="492"/>
      <c r="T180" s="262" t="s">
        <v>1231</v>
      </c>
      <c r="U180" s="516">
        <f>U181</f>
        <v>313000</v>
      </c>
      <c r="V180" s="180">
        <v>0</v>
      </c>
      <c r="W180" s="120">
        <v>0</v>
      </c>
      <c r="X180" s="118"/>
    </row>
    <row r="181" spans="1:24" ht="27" customHeight="1" x14ac:dyDescent="0.25">
      <c r="A181" s="179"/>
      <c r="B181" s="521" t="s">
        <v>136</v>
      </c>
      <c r="C181" s="521" t="s">
        <v>124</v>
      </c>
      <c r="D181" s="233" t="s">
        <v>1027</v>
      </c>
      <c r="E181" s="492"/>
      <c r="F181" s="492"/>
      <c r="G181" s="492"/>
      <c r="H181" s="492"/>
      <c r="I181" s="492"/>
      <c r="J181" s="492"/>
      <c r="K181" s="492"/>
      <c r="L181" s="492"/>
      <c r="M181" s="492"/>
      <c r="N181" s="492"/>
      <c r="O181" s="492"/>
      <c r="P181" s="492"/>
      <c r="Q181" s="492"/>
      <c r="R181" s="492"/>
      <c r="S181" s="492" t="s">
        <v>243</v>
      </c>
      <c r="T181" s="583" t="s">
        <v>760</v>
      </c>
      <c r="U181" s="516">
        <f>П4ВСР!Z135</f>
        <v>313000</v>
      </c>
      <c r="V181" s="180">
        <v>0</v>
      </c>
      <c r="W181" s="120">
        <v>0</v>
      </c>
      <c r="X181" s="118"/>
    </row>
    <row r="182" spans="1:24" ht="129.75" hidden="1" customHeight="1" x14ac:dyDescent="0.25">
      <c r="A182" s="118"/>
      <c r="B182" s="519" t="s">
        <v>136</v>
      </c>
      <c r="C182" s="519" t="s">
        <v>124</v>
      </c>
      <c r="D182" s="284" t="s">
        <v>978</v>
      </c>
      <c r="E182" s="520"/>
      <c r="F182" s="520"/>
      <c r="G182" s="520"/>
      <c r="H182" s="520"/>
      <c r="I182" s="520"/>
      <c r="J182" s="520"/>
      <c r="K182" s="520"/>
      <c r="L182" s="520"/>
      <c r="M182" s="520"/>
      <c r="N182" s="520"/>
      <c r="O182" s="520"/>
      <c r="P182" s="520"/>
      <c r="Q182" s="520"/>
      <c r="R182" s="520"/>
      <c r="S182" s="520"/>
      <c r="T182" s="254" t="s">
        <v>976</v>
      </c>
      <c r="U182" s="515">
        <f>U183</f>
        <v>0</v>
      </c>
      <c r="V182" s="120">
        <v>0</v>
      </c>
      <c r="W182" s="120">
        <v>0</v>
      </c>
      <c r="X182" s="118"/>
    </row>
    <row r="183" spans="1:24" ht="96.75" hidden="1" customHeight="1" x14ac:dyDescent="0.25">
      <c r="A183" s="118"/>
      <c r="B183" s="122" t="s">
        <v>136</v>
      </c>
      <c r="C183" s="122" t="s">
        <v>124</v>
      </c>
      <c r="D183" s="230" t="s">
        <v>978</v>
      </c>
      <c r="E183" s="136"/>
      <c r="F183" s="136"/>
      <c r="G183" s="136"/>
      <c r="H183" s="136"/>
      <c r="I183" s="136"/>
      <c r="J183" s="136"/>
      <c r="K183" s="136"/>
      <c r="L183" s="136"/>
      <c r="M183" s="136"/>
      <c r="N183" s="136"/>
      <c r="O183" s="136"/>
      <c r="P183" s="136"/>
      <c r="Q183" s="136"/>
      <c r="R183" s="136"/>
      <c r="S183" s="136" t="s">
        <v>275</v>
      </c>
      <c r="T183" s="339" t="s">
        <v>977</v>
      </c>
      <c r="U183" s="120">
        <f>П4ВСР!Z137</f>
        <v>0</v>
      </c>
      <c r="V183" s="120">
        <v>0</v>
      </c>
      <c r="W183" s="120">
        <v>0</v>
      </c>
      <c r="X183" s="118"/>
    </row>
    <row r="184" spans="1:24" ht="183" customHeight="1" x14ac:dyDescent="0.25">
      <c r="A184" s="118" t="s">
        <v>316</v>
      </c>
      <c r="B184" s="119" t="s">
        <v>136</v>
      </c>
      <c r="C184" s="119" t="s">
        <v>124</v>
      </c>
      <c r="D184" s="122" t="s">
        <v>646</v>
      </c>
      <c r="E184" s="119"/>
      <c r="F184" s="119"/>
      <c r="G184" s="119"/>
      <c r="H184" s="119"/>
      <c r="I184" s="119"/>
      <c r="J184" s="119"/>
      <c r="K184" s="119"/>
      <c r="L184" s="119"/>
      <c r="M184" s="119"/>
      <c r="N184" s="119"/>
      <c r="O184" s="119"/>
      <c r="P184" s="119"/>
      <c r="Q184" s="119"/>
      <c r="R184" s="119"/>
      <c r="S184" s="119"/>
      <c r="T184" s="282" t="s">
        <v>1232</v>
      </c>
      <c r="U184" s="120">
        <f>U185</f>
        <v>22321.43</v>
      </c>
      <c r="V184" s="120">
        <f>V185</f>
        <v>22321.43</v>
      </c>
      <c r="W184" s="120">
        <f>W185</f>
        <v>22321.43</v>
      </c>
      <c r="X184" s="118" t="s">
        <v>316</v>
      </c>
    </row>
    <row r="185" spans="1:24" ht="52.5" customHeight="1" x14ac:dyDescent="0.25">
      <c r="A185" s="118" t="s">
        <v>317</v>
      </c>
      <c r="B185" s="489" t="s">
        <v>136</v>
      </c>
      <c r="C185" s="489" t="s">
        <v>124</v>
      </c>
      <c r="D185" s="489" t="s">
        <v>646</v>
      </c>
      <c r="E185" s="489"/>
      <c r="F185" s="489"/>
      <c r="G185" s="489"/>
      <c r="H185" s="489"/>
      <c r="I185" s="489"/>
      <c r="J185" s="489"/>
      <c r="K185" s="489"/>
      <c r="L185" s="489"/>
      <c r="M185" s="489"/>
      <c r="N185" s="489"/>
      <c r="O185" s="489"/>
      <c r="P185" s="489"/>
      <c r="Q185" s="489"/>
      <c r="R185" s="489"/>
      <c r="S185" s="489" t="s">
        <v>275</v>
      </c>
      <c r="T185" s="162" t="s">
        <v>565</v>
      </c>
      <c r="U185" s="120">
        <f>П4ВСР!Z140</f>
        <v>22321.43</v>
      </c>
      <c r="V185" s="120">
        <f>П4ВСР!AA140</f>
        <v>22321.43</v>
      </c>
      <c r="W185" s="120">
        <f>П4ВСР!AB140</f>
        <v>22321.43</v>
      </c>
      <c r="X185" s="118" t="s">
        <v>317</v>
      </c>
    </row>
    <row r="186" spans="1:24" ht="134.25" customHeight="1" x14ac:dyDescent="0.25">
      <c r="A186" s="179"/>
      <c r="B186" s="490" t="s">
        <v>136</v>
      </c>
      <c r="C186" s="490" t="s">
        <v>124</v>
      </c>
      <c r="D186" s="490" t="s">
        <v>989</v>
      </c>
      <c r="E186" s="490"/>
      <c r="F186" s="490"/>
      <c r="G186" s="490"/>
      <c r="H186" s="490"/>
      <c r="I186" s="490"/>
      <c r="J186" s="490"/>
      <c r="K186" s="490"/>
      <c r="L186" s="490"/>
      <c r="M186" s="490"/>
      <c r="N186" s="490"/>
      <c r="O186" s="490"/>
      <c r="P186" s="490"/>
      <c r="Q186" s="490"/>
      <c r="R186" s="490"/>
      <c r="S186" s="490"/>
      <c r="T186" s="291" t="s">
        <v>1233</v>
      </c>
      <c r="U186" s="180">
        <f>U187</f>
        <v>120000</v>
      </c>
      <c r="V186" s="120">
        <v>0</v>
      </c>
      <c r="W186" s="120">
        <v>0</v>
      </c>
      <c r="X186" s="118"/>
    </row>
    <row r="187" spans="1:24" ht="39" customHeight="1" x14ac:dyDescent="0.25">
      <c r="A187" s="179"/>
      <c r="B187" s="490" t="s">
        <v>136</v>
      </c>
      <c r="C187" s="490" t="s">
        <v>124</v>
      </c>
      <c r="D187" s="490" t="s">
        <v>989</v>
      </c>
      <c r="E187" s="490"/>
      <c r="F187" s="490"/>
      <c r="G187" s="490"/>
      <c r="H187" s="490"/>
      <c r="I187" s="490"/>
      <c r="J187" s="490"/>
      <c r="K187" s="490"/>
      <c r="L187" s="490"/>
      <c r="M187" s="490"/>
      <c r="N187" s="490"/>
      <c r="O187" s="490"/>
      <c r="P187" s="490"/>
      <c r="Q187" s="490"/>
      <c r="R187" s="490"/>
      <c r="S187" s="490" t="s">
        <v>275</v>
      </c>
      <c r="T187" s="339" t="s">
        <v>565</v>
      </c>
      <c r="U187" s="180">
        <f>П4ВСР!Z141</f>
        <v>120000</v>
      </c>
      <c r="V187" s="120">
        <v>0</v>
      </c>
      <c r="W187" s="120">
        <v>0</v>
      </c>
      <c r="X187" s="118"/>
    </row>
    <row r="188" spans="1:24" ht="0.75" hidden="1" customHeight="1" x14ac:dyDescent="0.25">
      <c r="A188" s="118"/>
      <c r="B188" s="146" t="s">
        <v>136</v>
      </c>
      <c r="C188" s="146" t="s">
        <v>124</v>
      </c>
      <c r="D188" s="147" t="s">
        <v>545</v>
      </c>
      <c r="E188" s="146"/>
      <c r="F188" s="146"/>
      <c r="G188" s="146"/>
      <c r="H188" s="146"/>
      <c r="I188" s="146"/>
      <c r="J188" s="146"/>
      <c r="K188" s="146"/>
      <c r="L188" s="146"/>
      <c r="M188" s="146"/>
      <c r="N188" s="146"/>
      <c r="O188" s="146"/>
      <c r="P188" s="146"/>
      <c r="Q188" s="146"/>
      <c r="R188" s="146"/>
      <c r="S188" s="146"/>
      <c r="T188" s="19" t="s">
        <v>544</v>
      </c>
      <c r="U188" s="120">
        <f>U189</f>
        <v>0</v>
      </c>
      <c r="V188" s="120">
        <f>V189</f>
        <v>0</v>
      </c>
      <c r="W188" s="120">
        <f>W189</f>
        <v>0</v>
      </c>
      <c r="X188" s="118"/>
    </row>
    <row r="189" spans="1:24" ht="38.25" hidden="1" customHeight="1" x14ac:dyDescent="0.25">
      <c r="A189" s="118"/>
      <c r="B189" s="146" t="s">
        <v>136</v>
      </c>
      <c r="C189" s="146" t="s">
        <v>124</v>
      </c>
      <c r="D189" s="147" t="s">
        <v>545</v>
      </c>
      <c r="E189" s="146"/>
      <c r="F189" s="146"/>
      <c r="G189" s="146"/>
      <c r="H189" s="146"/>
      <c r="I189" s="146"/>
      <c r="J189" s="146"/>
      <c r="K189" s="146"/>
      <c r="L189" s="146"/>
      <c r="M189" s="146"/>
      <c r="N189" s="146"/>
      <c r="O189" s="146"/>
      <c r="P189" s="146"/>
      <c r="Q189" s="146"/>
      <c r="R189" s="146"/>
      <c r="S189" s="146" t="s">
        <v>243</v>
      </c>
      <c r="T189" s="286" t="s">
        <v>728</v>
      </c>
      <c r="U189" s="120">
        <f>П4ВСР!Z144</f>
        <v>0</v>
      </c>
      <c r="V189" s="120">
        <f>П4ВСР!AA144</f>
        <v>0</v>
      </c>
      <c r="W189" s="120">
        <f>П4ВСР!AB144</f>
        <v>0</v>
      </c>
      <c r="X189" s="118"/>
    </row>
    <row r="190" spans="1:24" ht="28.5" hidden="1" customHeight="1" x14ac:dyDescent="0.25">
      <c r="A190" s="179"/>
      <c r="B190" s="146" t="s">
        <v>136</v>
      </c>
      <c r="C190" s="146" t="s">
        <v>124</v>
      </c>
      <c r="D190" s="147" t="s">
        <v>547</v>
      </c>
      <c r="E190" s="146"/>
      <c r="F190" s="146"/>
      <c r="G190" s="146"/>
      <c r="H190" s="146"/>
      <c r="I190" s="146"/>
      <c r="J190" s="146"/>
      <c r="K190" s="146"/>
      <c r="L190" s="146"/>
      <c r="M190" s="146"/>
      <c r="N190" s="146"/>
      <c r="O190" s="146"/>
      <c r="P190" s="146"/>
      <c r="Q190" s="146"/>
      <c r="R190" s="146"/>
      <c r="S190" s="146"/>
      <c r="T190" s="156" t="s">
        <v>546</v>
      </c>
      <c r="U190" s="180">
        <f>U191</f>
        <v>0</v>
      </c>
      <c r="V190" s="120">
        <f>V191</f>
        <v>0</v>
      </c>
      <c r="W190" s="120">
        <f>W191</f>
        <v>0</v>
      </c>
      <c r="X190" s="118"/>
    </row>
    <row r="191" spans="1:24" ht="0.75" hidden="1" customHeight="1" x14ac:dyDescent="0.25">
      <c r="A191" s="179"/>
      <c r="B191" s="146" t="s">
        <v>136</v>
      </c>
      <c r="C191" s="146" t="s">
        <v>124</v>
      </c>
      <c r="D191" s="147" t="s">
        <v>547</v>
      </c>
      <c r="E191" s="146"/>
      <c r="F191" s="146"/>
      <c r="G191" s="146"/>
      <c r="H191" s="146"/>
      <c r="I191" s="146"/>
      <c r="J191" s="146"/>
      <c r="K191" s="146"/>
      <c r="L191" s="146"/>
      <c r="M191" s="146"/>
      <c r="N191" s="146"/>
      <c r="O191" s="146"/>
      <c r="P191" s="146"/>
      <c r="Q191" s="146"/>
      <c r="R191" s="146"/>
      <c r="S191" s="146" t="s">
        <v>243</v>
      </c>
      <c r="T191" s="157" t="s">
        <v>599</v>
      </c>
      <c r="U191" s="180">
        <f>П4ВСР!Z146</f>
        <v>0</v>
      </c>
      <c r="V191" s="120">
        <f>П4ВСР!AA146</f>
        <v>0</v>
      </c>
      <c r="W191" s="120">
        <f>П4ВСР!AB146</f>
        <v>0</v>
      </c>
      <c r="X191" s="118"/>
    </row>
    <row r="192" spans="1:24" ht="24.75" customHeight="1" x14ac:dyDescent="0.25">
      <c r="A192" s="118" t="s">
        <v>252</v>
      </c>
      <c r="B192" s="446" t="s">
        <v>136</v>
      </c>
      <c r="C192" s="446" t="s">
        <v>125</v>
      </c>
      <c r="D192" s="446"/>
      <c r="E192" s="446"/>
      <c r="F192" s="446"/>
      <c r="G192" s="446"/>
      <c r="H192" s="446"/>
      <c r="I192" s="446"/>
      <c r="J192" s="446"/>
      <c r="K192" s="446"/>
      <c r="L192" s="446"/>
      <c r="M192" s="446"/>
      <c r="N192" s="446"/>
      <c r="O192" s="446"/>
      <c r="P192" s="446"/>
      <c r="Q192" s="446"/>
      <c r="R192" s="446"/>
      <c r="S192" s="446"/>
      <c r="T192" s="447" t="s">
        <v>252</v>
      </c>
      <c r="U192" s="120">
        <f>U195+U197</f>
        <v>72000</v>
      </c>
      <c r="V192" s="120">
        <f>V193+V199</f>
        <v>0</v>
      </c>
      <c r="W192" s="120">
        <f>W193+W199</f>
        <v>0</v>
      </c>
      <c r="X192" s="118" t="s">
        <v>252</v>
      </c>
    </row>
    <row r="193" spans="1:24" s="271" customFormat="1" ht="0.75" hidden="1" customHeight="1" x14ac:dyDescent="0.25">
      <c r="A193" s="224" t="s">
        <v>318</v>
      </c>
      <c r="B193" s="161" t="s">
        <v>136</v>
      </c>
      <c r="C193" s="161" t="s">
        <v>125</v>
      </c>
      <c r="D193" s="230" t="s">
        <v>866</v>
      </c>
      <c r="E193" s="161"/>
      <c r="F193" s="161"/>
      <c r="G193" s="161"/>
      <c r="H193" s="161"/>
      <c r="I193" s="161"/>
      <c r="J193" s="161"/>
      <c r="K193" s="161"/>
      <c r="L193" s="161"/>
      <c r="M193" s="161"/>
      <c r="N193" s="161"/>
      <c r="O193" s="161"/>
      <c r="P193" s="161"/>
      <c r="Q193" s="161"/>
      <c r="R193" s="161"/>
      <c r="S193" s="161"/>
      <c r="T193" s="153" t="s">
        <v>867</v>
      </c>
      <c r="U193" s="219">
        <f>U194</f>
        <v>0</v>
      </c>
      <c r="V193" s="219">
        <f>V194</f>
        <v>0</v>
      </c>
      <c r="W193" s="219">
        <f>W194</f>
        <v>0</v>
      </c>
      <c r="X193" s="224" t="s">
        <v>318</v>
      </c>
    </row>
    <row r="194" spans="1:24" s="271" customFormat="1" ht="33.75" hidden="1" customHeight="1" x14ac:dyDescent="0.25">
      <c r="A194" s="224" t="s">
        <v>319</v>
      </c>
      <c r="B194" s="136" t="s">
        <v>136</v>
      </c>
      <c r="C194" s="136" t="s">
        <v>125</v>
      </c>
      <c r="D194" s="230" t="s">
        <v>866</v>
      </c>
      <c r="E194" s="136"/>
      <c r="F194" s="136"/>
      <c r="G194" s="136"/>
      <c r="H194" s="136"/>
      <c r="I194" s="136"/>
      <c r="J194" s="136"/>
      <c r="K194" s="136"/>
      <c r="L194" s="136"/>
      <c r="M194" s="136"/>
      <c r="N194" s="136"/>
      <c r="O194" s="136"/>
      <c r="P194" s="136"/>
      <c r="Q194" s="136"/>
      <c r="R194" s="136"/>
      <c r="S194" s="136" t="s">
        <v>275</v>
      </c>
      <c r="T194" s="135" t="s">
        <v>319</v>
      </c>
      <c r="U194" s="219">
        <f>П4ВСР!Z149</f>
        <v>0</v>
      </c>
      <c r="V194" s="219">
        <f>П4ВСР!AA149</f>
        <v>0</v>
      </c>
      <c r="W194" s="219">
        <f>П4ВСР!AB149</f>
        <v>0</v>
      </c>
      <c r="X194" s="224" t="s">
        <v>319</v>
      </c>
    </row>
    <row r="195" spans="1:24" s="271" customFormat="1" ht="34.5" hidden="1" customHeight="1" x14ac:dyDescent="0.25">
      <c r="A195" s="224"/>
      <c r="B195" s="136" t="s">
        <v>136</v>
      </c>
      <c r="C195" s="136" t="s">
        <v>125</v>
      </c>
      <c r="D195" s="230" t="s">
        <v>980</v>
      </c>
      <c r="E195" s="136"/>
      <c r="F195" s="136"/>
      <c r="G195" s="136"/>
      <c r="H195" s="136"/>
      <c r="I195" s="136"/>
      <c r="J195" s="136"/>
      <c r="K195" s="136"/>
      <c r="L195" s="136"/>
      <c r="M195" s="136"/>
      <c r="N195" s="136"/>
      <c r="O195" s="136"/>
      <c r="P195" s="136"/>
      <c r="Q195" s="136"/>
      <c r="R195" s="136"/>
      <c r="S195" s="136"/>
      <c r="T195" s="291" t="s">
        <v>979</v>
      </c>
      <c r="U195" s="219">
        <f>U196</f>
        <v>0</v>
      </c>
      <c r="V195" s="219">
        <v>0</v>
      </c>
      <c r="W195" s="219">
        <v>0</v>
      </c>
      <c r="X195" s="224"/>
    </row>
    <row r="196" spans="1:24" s="271" customFormat="1" ht="45" hidden="1" customHeight="1" x14ac:dyDescent="0.25">
      <c r="A196" s="224"/>
      <c r="B196" s="136" t="s">
        <v>136</v>
      </c>
      <c r="C196" s="136" t="s">
        <v>125</v>
      </c>
      <c r="D196" s="230" t="s">
        <v>980</v>
      </c>
      <c r="E196" s="136"/>
      <c r="F196" s="136"/>
      <c r="G196" s="136"/>
      <c r="H196" s="136"/>
      <c r="I196" s="136"/>
      <c r="J196" s="136"/>
      <c r="K196" s="136"/>
      <c r="L196" s="136"/>
      <c r="M196" s="136"/>
      <c r="N196" s="136"/>
      <c r="O196" s="136"/>
      <c r="P196" s="136"/>
      <c r="Q196" s="136"/>
      <c r="R196" s="136"/>
      <c r="S196" s="136" t="s">
        <v>275</v>
      </c>
      <c r="T196" s="339" t="s">
        <v>565</v>
      </c>
      <c r="U196" s="219">
        <f>П4ВСР!Z151</f>
        <v>0</v>
      </c>
      <c r="V196" s="219">
        <v>0</v>
      </c>
      <c r="W196" s="219">
        <v>0</v>
      </c>
      <c r="X196" s="224"/>
    </row>
    <row r="197" spans="1:24" s="271" customFormat="1" ht="134.25" customHeight="1" x14ac:dyDescent="0.25">
      <c r="A197" s="224"/>
      <c r="B197" s="136" t="s">
        <v>136</v>
      </c>
      <c r="C197" s="136" t="s">
        <v>125</v>
      </c>
      <c r="D197" s="230" t="s">
        <v>980</v>
      </c>
      <c r="E197" s="136"/>
      <c r="F197" s="136"/>
      <c r="G197" s="136"/>
      <c r="H197" s="136"/>
      <c r="I197" s="136"/>
      <c r="J197" s="136"/>
      <c r="K197" s="136"/>
      <c r="L197" s="136"/>
      <c r="M197" s="136"/>
      <c r="N197" s="136"/>
      <c r="O197" s="136"/>
      <c r="P197" s="136"/>
      <c r="Q197" s="136"/>
      <c r="R197" s="136"/>
      <c r="S197" s="136"/>
      <c r="T197" s="291" t="s">
        <v>1438</v>
      </c>
      <c r="U197" s="219">
        <f>U198</f>
        <v>72000</v>
      </c>
      <c r="V197" s="219">
        <v>0</v>
      </c>
      <c r="W197" s="219">
        <v>0</v>
      </c>
      <c r="X197" s="224"/>
    </row>
    <row r="198" spans="1:24" s="271" customFormat="1" ht="26.25" customHeight="1" x14ac:dyDescent="0.25">
      <c r="A198" s="224"/>
      <c r="B198" s="136" t="s">
        <v>136</v>
      </c>
      <c r="C198" s="136" t="s">
        <v>125</v>
      </c>
      <c r="D198" s="230" t="s">
        <v>980</v>
      </c>
      <c r="E198" s="136"/>
      <c r="F198" s="136"/>
      <c r="G198" s="136"/>
      <c r="H198" s="136"/>
      <c r="I198" s="136"/>
      <c r="J198" s="136"/>
      <c r="K198" s="136"/>
      <c r="L198" s="136"/>
      <c r="M198" s="136"/>
      <c r="N198" s="136"/>
      <c r="O198" s="136"/>
      <c r="P198" s="136"/>
      <c r="Q198" s="136"/>
      <c r="R198" s="136"/>
      <c r="S198" s="136" t="s">
        <v>427</v>
      </c>
      <c r="T198" s="752" t="s">
        <v>1167</v>
      </c>
      <c r="U198" s="219">
        <f>П4ВСР!Z452</f>
        <v>72000</v>
      </c>
      <c r="V198" s="219">
        <v>0</v>
      </c>
      <c r="W198" s="219">
        <v>0</v>
      </c>
      <c r="X198" s="224"/>
    </row>
    <row r="199" spans="1:24" ht="0.75" customHeight="1" x14ac:dyDescent="0.25">
      <c r="A199" s="118" t="s">
        <v>320</v>
      </c>
      <c r="B199" s="119" t="s">
        <v>136</v>
      </c>
      <c r="C199" s="119" t="s">
        <v>125</v>
      </c>
      <c r="D199" s="134" t="s">
        <v>548</v>
      </c>
      <c r="E199" s="161"/>
      <c r="F199" s="161"/>
      <c r="G199" s="161"/>
      <c r="H199" s="161"/>
      <c r="I199" s="161"/>
      <c r="J199" s="161"/>
      <c r="K199" s="161"/>
      <c r="L199" s="161"/>
      <c r="M199" s="161"/>
      <c r="N199" s="161"/>
      <c r="O199" s="161"/>
      <c r="P199" s="161"/>
      <c r="Q199" s="161"/>
      <c r="R199" s="161"/>
      <c r="S199" s="161"/>
      <c r="T199" s="153" t="s">
        <v>600</v>
      </c>
      <c r="U199" s="120">
        <f>U200</f>
        <v>0</v>
      </c>
      <c r="V199" s="120">
        <f>V200</f>
        <v>0</v>
      </c>
      <c r="W199" s="120">
        <f>W200</f>
        <v>0</v>
      </c>
      <c r="X199" s="118" t="s">
        <v>320</v>
      </c>
    </row>
    <row r="200" spans="1:24" ht="51" hidden="1" customHeight="1" x14ac:dyDescent="0.25">
      <c r="A200" s="118" t="s">
        <v>321</v>
      </c>
      <c r="B200" s="122" t="s">
        <v>136</v>
      </c>
      <c r="C200" s="122" t="s">
        <v>125</v>
      </c>
      <c r="D200" s="134" t="s">
        <v>548</v>
      </c>
      <c r="E200" s="136"/>
      <c r="F200" s="136"/>
      <c r="G200" s="136"/>
      <c r="H200" s="136"/>
      <c r="I200" s="136"/>
      <c r="J200" s="136"/>
      <c r="K200" s="136"/>
      <c r="L200" s="136"/>
      <c r="M200" s="136"/>
      <c r="N200" s="136"/>
      <c r="O200" s="136"/>
      <c r="P200" s="136"/>
      <c r="Q200" s="136"/>
      <c r="R200" s="136"/>
      <c r="S200" s="136" t="s">
        <v>275</v>
      </c>
      <c r="T200" s="135" t="s">
        <v>321</v>
      </c>
      <c r="U200" s="120">
        <f>П4ВСР!Z153</f>
        <v>0</v>
      </c>
      <c r="V200" s="120">
        <f>П4ВСР!AA153</f>
        <v>0</v>
      </c>
      <c r="W200" s="120">
        <f>П4ВСР!AB153</f>
        <v>0</v>
      </c>
      <c r="X200" s="118" t="s">
        <v>321</v>
      </c>
    </row>
    <row r="201" spans="1:24" ht="26.25" customHeight="1" x14ac:dyDescent="0.25">
      <c r="A201" s="118" t="s">
        <v>148</v>
      </c>
      <c r="B201" s="442" t="s">
        <v>136</v>
      </c>
      <c r="C201" s="442" t="s">
        <v>126</v>
      </c>
      <c r="D201" s="442"/>
      <c r="E201" s="442"/>
      <c r="F201" s="442"/>
      <c r="G201" s="442"/>
      <c r="H201" s="442"/>
      <c r="I201" s="442"/>
      <c r="J201" s="442"/>
      <c r="K201" s="442"/>
      <c r="L201" s="442"/>
      <c r="M201" s="442"/>
      <c r="N201" s="442"/>
      <c r="O201" s="442"/>
      <c r="P201" s="442"/>
      <c r="Q201" s="442"/>
      <c r="R201" s="442"/>
      <c r="S201" s="442"/>
      <c r="T201" s="116" t="s">
        <v>148</v>
      </c>
      <c r="U201" s="120">
        <f>U202+U204+U208+U210+U212+U214+U220+U224+U226+U206+U216+U222+U218</f>
        <v>739000</v>
      </c>
      <c r="V201" s="120">
        <f>V202+V204+V208+V210+V212+V214+V220+V224</f>
        <v>0</v>
      </c>
      <c r="W201" s="120">
        <f>W202+W204+W208+W210+W212+W214+W220+W224</f>
        <v>0</v>
      </c>
      <c r="X201" s="118" t="s">
        <v>148</v>
      </c>
    </row>
    <row r="202" spans="1:24" ht="106.5" hidden="1" customHeight="1" x14ac:dyDescent="0.25">
      <c r="A202" s="118" t="s">
        <v>322</v>
      </c>
      <c r="B202" s="134" t="s">
        <v>136</v>
      </c>
      <c r="C202" s="134" t="s">
        <v>126</v>
      </c>
      <c r="D202" s="134" t="s">
        <v>550</v>
      </c>
      <c r="E202" s="139"/>
      <c r="F202" s="139"/>
      <c r="G202" s="139"/>
      <c r="H202" s="139"/>
      <c r="I202" s="139"/>
      <c r="J202" s="139"/>
      <c r="K202" s="139"/>
      <c r="L202" s="139"/>
      <c r="M202" s="139"/>
      <c r="N202" s="139"/>
      <c r="O202" s="139"/>
      <c r="P202" s="139"/>
      <c r="Q202" s="139"/>
      <c r="R202" s="139"/>
      <c r="S202" s="139"/>
      <c r="T202" s="19" t="s">
        <v>549</v>
      </c>
      <c r="U202" s="120">
        <f>U203</f>
        <v>0</v>
      </c>
      <c r="V202" s="120">
        <f>V203</f>
        <v>0</v>
      </c>
      <c r="W202" s="120">
        <f>W203</f>
        <v>0</v>
      </c>
      <c r="X202" s="118" t="s">
        <v>322</v>
      </c>
    </row>
    <row r="203" spans="1:24" ht="80.25" hidden="1" customHeight="1" x14ac:dyDescent="0.25">
      <c r="A203" s="118" t="s">
        <v>323</v>
      </c>
      <c r="B203" s="134" t="s">
        <v>136</v>
      </c>
      <c r="C203" s="134" t="s">
        <v>126</v>
      </c>
      <c r="D203" s="134" t="s">
        <v>550</v>
      </c>
      <c r="E203" s="139"/>
      <c r="F203" s="139"/>
      <c r="G203" s="139"/>
      <c r="H203" s="139"/>
      <c r="I203" s="139"/>
      <c r="J203" s="139"/>
      <c r="K203" s="139"/>
      <c r="L203" s="139"/>
      <c r="M203" s="139"/>
      <c r="N203" s="139"/>
      <c r="O203" s="139"/>
      <c r="P203" s="139"/>
      <c r="Q203" s="139"/>
      <c r="R203" s="139"/>
      <c r="S203" s="134" t="s">
        <v>275</v>
      </c>
      <c r="T203" s="223" t="s">
        <v>601</v>
      </c>
      <c r="U203" s="120">
        <f>П4ВСР!Z156</f>
        <v>0</v>
      </c>
      <c r="V203" s="120">
        <f>П4ВСР!AA156</f>
        <v>0</v>
      </c>
      <c r="W203" s="120">
        <f>П4ВСР!AB156</f>
        <v>0</v>
      </c>
      <c r="X203" s="118" t="s">
        <v>323</v>
      </c>
    </row>
    <row r="204" spans="1:24" ht="124.5" hidden="1" customHeight="1" x14ac:dyDescent="0.25">
      <c r="A204" s="118" t="s">
        <v>324</v>
      </c>
      <c r="B204" s="119" t="s">
        <v>136</v>
      </c>
      <c r="C204" s="119" t="s">
        <v>126</v>
      </c>
      <c r="D204" s="134" t="s">
        <v>551</v>
      </c>
      <c r="E204" s="119"/>
      <c r="F204" s="119"/>
      <c r="G204" s="119"/>
      <c r="H204" s="119"/>
      <c r="I204" s="119"/>
      <c r="J204" s="119"/>
      <c r="K204" s="119"/>
      <c r="L204" s="119"/>
      <c r="M204" s="119"/>
      <c r="N204" s="119"/>
      <c r="O204" s="119"/>
      <c r="P204" s="119"/>
      <c r="Q204" s="119"/>
      <c r="R204" s="119"/>
      <c r="S204" s="119"/>
      <c r="T204" s="158" t="s">
        <v>602</v>
      </c>
      <c r="U204" s="120">
        <f>U205</f>
        <v>0</v>
      </c>
      <c r="V204" s="120">
        <f>V205</f>
        <v>0</v>
      </c>
      <c r="W204" s="120">
        <f>W205</f>
        <v>0</v>
      </c>
      <c r="X204" s="118" t="s">
        <v>324</v>
      </c>
    </row>
    <row r="205" spans="1:24" ht="83.25" hidden="1" customHeight="1" x14ac:dyDescent="0.25">
      <c r="A205" s="118" t="s">
        <v>325</v>
      </c>
      <c r="B205" s="122" t="s">
        <v>136</v>
      </c>
      <c r="C205" s="122" t="s">
        <v>126</v>
      </c>
      <c r="D205" s="134" t="s">
        <v>551</v>
      </c>
      <c r="E205" s="122"/>
      <c r="F205" s="122"/>
      <c r="G205" s="122"/>
      <c r="H205" s="122"/>
      <c r="I205" s="122"/>
      <c r="J205" s="122"/>
      <c r="K205" s="122"/>
      <c r="L205" s="122"/>
      <c r="M205" s="122"/>
      <c r="N205" s="122"/>
      <c r="O205" s="122"/>
      <c r="P205" s="122"/>
      <c r="Q205" s="122"/>
      <c r="R205" s="122"/>
      <c r="S205" s="122" t="s">
        <v>275</v>
      </c>
      <c r="T205" s="135" t="s">
        <v>323</v>
      </c>
      <c r="U205" s="120">
        <f>П4ВСР!Z158</f>
        <v>0</v>
      </c>
      <c r="V205" s="120">
        <f>П4ВСР!AA158</f>
        <v>0</v>
      </c>
      <c r="W205" s="120">
        <f>П4ВСР!AB158</f>
        <v>0</v>
      </c>
      <c r="X205" s="118" t="s">
        <v>325</v>
      </c>
    </row>
    <row r="206" spans="1:24" ht="147.75" hidden="1" customHeight="1" x14ac:dyDescent="0.25">
      <c r="A206" s="118"/>
      <c r="B206" s="122" t="s">
        <v>136</v>
      </c>
      <c r="C206" s="122" t="s">
        <v>126</v>
      </c>
      <c r="D206" s="230" t="s">
        <v>869</v>
      </c>
      <c r="E206" s="122"/>
      <c r="F206" s="122"/>
      <c r="G206" s="122"/>
      <c r="H206" s="122"/>
      <c r="I206" s="122"/>
      <c r="J206" s="122"/>
      <c r="K206" s="122"/>
      <c r="L206" s="122"/>
      <c r="M206" s="122"/>
      <c r="N206" s="122"/>
      <c r="O206" s="122"/>
      <c r="P206" s="122"/>
      <c r="Q206" s="122"/>
      <c r="R206" s="122"/>
      <c r="S206" s="122"/>
      <c r="T206" s="153" t="s">
        <v>870</v>
      </c>
      <c r="U206" s="120">
        <f>U207</f>
        <v>0</v>
      </c>
      <c r="V206" s="120">
        <v>0</v>
      </c>
      <c r="W206" s="120">
        <v>0</v>
      </c>
      <c r="X206" s="118"/>
    </row>
    <row r="207" spans="1:24" ht="0.75" customHeight="1" x14ac:dyDescent="0.25">
      <c r="A207" s="118"/>
      <c r="B207" s="122" t="s">
        <v>136</v>
      </c>
      <c r="C207" s="122" t="s">
        <v>126</v>
      </c>
      <c r="D207" s="230" t="s">
        <v>869</v>
      </c>
      <c r="E207" s="122"/>
      <c r="F207" s="122"/>
      <c r="G207" s="122"/>
      <c r="H207" s="122"/>
      <c r="I207" s="122"/>
      <c r="J207" s="122"/>
      <c r="K207" s="122"/>
      <c r="L207" s="122"/>
      <c r="M207" s="122"/>
      <c r="N207" s="122"/>
      <c r="O207" s="122"/>
      <c r="P207" s="122"/>
      <c r="Q207" s="122"/>
      <c r="R207" s="122"/>
      <c r="S207" s="122" t="s">
        <v>275</v>
      </c>
      <c r="T207" s="135" t="s">
        <v>871</v>
      </c>
      <c r="U207" s="120">
        <f>П4ВСР!Z160</f>
        <v>0</v>
      </c>
      <c r="V207" s="120">
        <v>0</v>
      </c>
      <c r="W207" s="120">
        <v>0</v>
      </c>
      <c r="X207" s="118"/>
    </row>
    <row r="208" spans="1:24" ht="0.75" hidden="1" customHeight="1" x14ac:dyDescent="0.25">
      <c r="A208" s="118" t="s">
        <v>326</v>
      </c>
      <c r="B208" s="119" t="s">
        <v>136</v>
      </c>
      <c r="C208" s="119" t="s">
        <v>126</v>
      </c>
      <c r="D208" s="134" t="s">
        <v>552</v>
      </c>
      <c r="E208" s="119"/>
      <c r="F208" s="119"/>
      <c r="G208" s="119"/>
      <c r="H208" s="119"/>
      <c r="I208" s="119"/>
      <c r="J208" s="119"/>
      <c r="K208" s="119"/>
      <c r="L208" s="119"/>
      <c r="M208" s="119"/>
      <c r="N208" s="119"/>
      <c r="O208" s="119"/>
      <c r="P208" s="119"/>
      <c r="Q208" s="119"/>
      <c r="R208" s="119"/>
      <c r="S208" s="119"/>
      <c r="T208" s="153" t="s">
        <v>603</v>
      </c>
      <c r="U208" s="120">
        <f>U209</f>
        <v>0</v>
      </c>
      <c r="V208" s="120">
        <f>V209</f>
        <v>0</v>
      </c>
      <c r="W208" s="120">
        <f>W209</f>
        <v>0</v>
      </c>
      <c r="X208" s="118" t="s">
        <v>326</v>
      </c>
    </row>
    <row r="209" spans="1:27" ht="111.75" hidden="1" customHeight="1" x14ac:dyDescent="0.25">
      <c r="A209" s="118" t="s">
        <v>327</v>
      </c>
      <c r="B209" s="122" t="s">
        <v>136</v>
      </c>
      <c r="C209" s="122" t="s">
        <v>126</v>
      </c>
      <c r="D209" s="134" t="s">
        <v>552</v>
      </c>
      <c r="E209" s="122"/>
      <c r="F209" s="122"/>
      <c r="G209" s="122"/>
      <c r="H209" s="122"/>
      <c r="I209" s="122"/>
      <c r="J209" s="122"/>
      <c r="K209" s="122"/>
      <c r="L209" s="122"/>
      <c r="M209" s="122"/>
      <c r="N209" s="122"/>
      <c r="O209" s="122"/>
      <c r="P209" s="122"/>
      <c r="Q209" s="122"/>
      <c r="R209" s="122"/>
      <c r="S209" s="122" t="s">
        <v>275</v>
      </c>
      <c r="T209" s="135" t="s">
        <v>325</v>
      </c>
      <c r="U209" s="120">
        <f>П4ВСР!Z162</f>
        <v>0</v>
      </c>
      <c r="V209" s="120">
        <f>П4ВСР!AA162</f>
        <v>0</v>
      </c>
      <c r="W209" s="120">
        <f>П4ВСР!AB162</f>
        <v>0</v>
      </c>
      <c r="X209" s="118" t="s">
        <v>327</v>
      </c>
    </row>
    <row r="210" spans="1:27" ht="121.5" hidden="1" customHeight="1" x14ac:dyDescent="0.25">
      <c r="A210" s="118" t="s">
        <v>328</v>
      </c>
      <c r="B210" s="119" t="s">
        <v>136</v>
      </c>
      <c r="C210" s="119" t="s">
        <v>126</v>
      </c>
      <c r="D210" s="134" t="s">
        <v>553</v>
      </c>
      <c r="E210" s="119"/>
      <c r="F210" s="119"/>
      <c r="G210" s="119"/>
      <c r="H210" s="119"/>
      <c r="I210" s="119"/>
      <c r="J210" s="119"/>
      <c r="K210" s="119"/>
      <c r="L210" s="119"/>
      <c r="M210" s="119"/>
      <c r="N210" s="119"/>
      <c r="O210" s="119"/>
      <c r="P210" s="119"/>
      <c r="Q210" s="119"/>
      <c r="R210" s="119"/>
      <c r="S210" s="119"/>
      <c r="T210" s="153" t="s">
        <v>604</v>
      </c>
      <c r="U210" s="120">
        <f>U211</f>
        <v>0</v>
      </c>
      <c r="V210" s="120">
        <f>V211</f>
        <v>0</v>
      </c>
      <c r="W210" s="120">
        <f>W211</f>
        <v>0</v>
      </c>
      <c r="X210" s="118" t="s">
        <v>328</v>
      </c>
    </row>
    <row r="211" spans="1:27" ht="104.25" hidden="1" customHeight="1" x14ac:dyDescent="0.25">
      <c r="A211" s="118" t="s">
        <v>329</v>
      </c>
      <c r="B211" s="122" t="s">
        <v>136</v>
      </c>
      <c r="C211" s="122" t="s">
        <v>126</v>
      </c>
      <c r="D211" s="134" t="s">
        <v>553</v>
      </c>
      <c r="E211" s="122"/>
      <c r="F211" s="122"/>
      <c r="G211" s="122"/>
      <c r="H211" s="122"/>
      <c r="I211" s="122"/>
      <c r="J211" s="122"/>
      <c r="K211" s="122"/>
      <c r="L211" s="122"/>
      <c r="M211" s="122"/>
      <c r="N211" s="122"/>
      <c r="O211" s="122"/>
      <c r="P211" s="122"/>
      <c r="Q211" s="122"/>
      <c r="R211" s="122"/>
      <c r="S211" s="122" t="s">
        <v>275</v>
      </c>
      <c r="T211" s="135" t="s">
        <v>327</v>
      </c>
      <c r="U211" s="120">
        <f>П4ВСР!Z164</f>
        <v>0</v>
      </c>
      <c r="V211" s="120">
        <f>П4ВСР!AA164</f>
        <v>0</v>
      </c>
      <c r="W211" s="120">
        <f>П4ВСР!AB164</f>
        <v>0</v>
      </c>
      <c r="X211" s="118" t="s">
        <v>329</v>
      </c>
    </row>
    <row r="212" spans="1:27" ht="102" customHeight="1" x14ac:dyDescent="0.25">
      <c r="A212" s="118" t="s">
        <v>330</v>
      </c>
      <c r="B212" s="119" t="s">
        <v>136</v>
      </c>
      <c r="C212" s="119" t="s">
        <v>126</v>
      </c>
      <c r="D212" s="134" t="s">
        <v>554</v>
      </c>
      <c r="E212" s="119"/>
      <c r="F212" s="119"/>
      <c r="G212" s="119"/>
      <c r="H212" s="119"/>
      <c r="I212" s="119"/>
      <c r="J212" s="119"/>
      <c r="K212" s="119"/>
      <c r="L212" s="119"/>
      <c r="M212" s="119"/>
      <c r="N212" s="119"/>
      <c r="O212" s="119"/>
      <c r="P212" s="119"/>
      <c r="Q212" s="119"/>
      <c r="R212" s="119"/>
      <c r="S212" s="119"/>
      <c r="T212" s="153" t="s">
        <v>1234</v>
      </c>
      <c r="U212" s="120">
        <f>U213</f>
        <v>250000</v>
      </c>
      <c r="V212" s="120">
        <f>V213</f>
        <v>0</v>
      </c>
      <c r="W212" s="120">
        <f>W213</f>
        <v>0</v>
      </c>
      <c r="X212" s="118" t="s">
        <v>330</v>
      </c>
      <c r="AA212" s="127"/>
    </row>
    <row r="213" spans="1:27" ht="45" customHeight="1" x14ac:dyDescent="0.25">
      <c r="A213" s="118" t="s">
        <v>331</v>
      </c>
      <c r="B213" s="136" t="s">
        <v>136</v>
      </c>
      <c r="C213" s="136" t="s">
        <v>126</v>
      </c>
      <c r="D213" s="134" t="s">
        <v>554</v>
      </c>
      <c r="E213" s="136"/>
      <c r="F213" s="136"/>
      <c r="G213" s="136"/>
      <c r="H213" s="136"/>
      <c r="I213" s="136"/>
      <c r="J213" s="136"/>
      <c r="K213" s="136"/>
      <c r="L213" s="136"/>
      <c r="M213" s="136"/>
      <c r="N213" s="136"/>
      <c r="O213" s="136"/>
      <c r="P213" s="136"/>
      <c r="Q213" s="136"/>
      <c r="R213" s="136"/>
      <c r="S213" s="136" t="s">
        <v>275</v>
      </c>
      <c r="T213" s="135" t="s">
        <v>565</v>
      </c>
      <c r="U213" s="120">
        <f>П4ВСР!Z166</f>
        <v>250000</v>
      </c>
      <c r="V213" s="120">
        <f>П4ВСР!AA166</f>
        <v>0</v>
      </c>
      <c r="W213" s="120">
        <f>П4ВСР!AB166</f>
        <v>0</v>
      </c>
      <c r="X213" s="118" t="s">
        <v>331</v>
      </c>
      <c r="AA213" s="127"/>
    </row>
    <row r="214" spans="1:27" ht="0.75" hidden="1" customHeight="1" x14ac:dyDescent="0.25">
      <c r="A214" s="118" t="s">
        <v>332</v>
      </c>
      <c r="B214" s="161" t="s">
        <v>136</v>
      </c>
      <c r="C214" s="161" t="s">
        <v>126</v>
      </c>
      <c r="D214" s="134" t="s">
        <v>740</v>
      </c>
      <c r="E214" s="161"/>
      <c r="F214" s="161"/>
      <c r="G214" s="161"/>
      <c r="H214" s="161"/>
      <c r="I214" s="161"/>
      <c r="J214" s="161"/>
      <c r="K214" s="161"/>
      <c r="L214" s="161"/>
      <c r="M214" s="161"/>
      <c r="N214" s="161"/>
      <c r="O214" s="161"/>
      <c r="P214" s="161"/>
      <c r="Q214" s="161"/>
      <c r="R214" s="161"/>
      <c r="S214" s="161"/>
      <c r="T214" s="153" t="s">
        <v>738</v>
      </c>
      <c r="U214" s="120">
        <f>U215</f>
        <v>0</v>
      </c>
      <c r="V214" s="120">
        <f>V215</f>
        <v>0</v>
      </c>
      <c r="W214" s="120">
        <f>W215</f>
        <v>0</v>
      </c>
      <c r="X214" s="118" t="s">
        <v>332</v>
      </c>
    </row>
    <row r="215" spans="1:27" ht="85.5" hidden="1" customHeight="1" x14ac:dyDescent="0.25">
      <c r="A215" s="118" t="s">
        <v>333</v>
      </c>
      <c r="B215" s="136" t="s">
        <v>136</v>
      </c>
      <c r="C215" s="136" t="s">
        <v>126</v>
      </c>
      <c r="D215" s="134" t="s">
        <v>740</v>
      </c>
      <c r="E215" s="136"/>
      <c r="F215" s="136"/>
      <c r="G215" s="136"/>
      <c r="H215" s="136"/>
      <c r="I215" s="136"/>
      <c r="J215" s="136"/>
      <c r="K215" s="136"/>
      <c r="L215" s="136"/>
      <c r="M215" s="136"/>
      <c r="N215" s="136"/>
      <c r="O215" s="136"/>
      <c r="P215" s="136"/>
      <c r="Q215" s="136"/>
      <c r="R215" s="136"/>
      <c r="S215" s="136" t="s">
        <v>275</v>
      </c>
      <c r="T215" s="135" t="s">
        <v>739</v>
      </c>
      <c r="U215" s="120">
        <f>П4ВСР!Z168</f>
        <v>0</v>
      </c>
      <c r="V215" s="120">
        <f>П4ВСР!AA168</f>
        <v>0</v>
      </c>
      <c r="W215" s="120">
        <f>П4ВСР!AB168</f>
        <v>0</v>
      </c>
      <c r="X215" s="118" t="s">
        <v>333</v>
      </c>
    </row>
    <row r="216" spans="1:27" ht="108" hidden="1" customHeight="1" x14ac:dyDescent="0.25">
      <c r="A216" s="118"/>
      <c r="B216" s="136" t="s">
        <v>136</v>
      </c>
      <c r="C216" s="136" t="s">
        <v>126</v>
      </c>
      <c r="D216" s="230" t="s">
        <v>878</v>
      </c>
      <c r="E216" s="136"/>
      <c r="F216" s="136"/>
      <c r="G216" s="136"/>
      <c r="H216" s="136"/>
      <c r="I216" s="136"/>
      <c r="J216" s="136"/>
      <c r="K216" s="136"/>
      <c r="L216" s="136"/>
      <c r="M216" s="136"/>
      <c r="N216" s="136"/>
      <c r="O216" s="136"/>
      <c r="P216" s="136"/>
      <c r="Q216" s="136"/>
      <c r="R216" s="136"/>
      <c r="S216" s="136"/>
      <c r="T216" s="153" t="s">
        <v>876</v>
      </c>
      <c r="U216" s="120">
        <f>U217</f>
        <v>0</v>
      </c>
      <c r="V216" s="120">
        <v>0</v>
      </c>
      <c r="W216" s="120">
        <v>0</v>
      </c>
      <c r="X216" s="118"/>
    </row>
    <row r="217" spans="1:27" ht="85.5" hidden="1" customHeight="1" x14ac:dyDescent="0.25">
      <c r="A217" s="118"/>
      <c r="B217" s="136" t="s">
        <v>136</v>
      </c>
      <c r="C217" s="136" t="s">
        <v>126</v>
      </c>
      <c r="D217" s="230" t="s">
        <v>878</v>
      </c>
      <c r="E217" s="136"/>
      <c r="F217" s="136"/>
      <c r="G217" s="136"/>
      <c r="H217" s="136"/>
      <c r="I217" s="136"/>
      <c r="J217" s="136"/>
      <c r="K217" s="136"/>
      <c r="L217" s="136"/>
      <c r="M217" s="136"/>
      <c r="N217" s="136"/>
      <c r="O217" s="136"/>
      <c r="P217" s="136"/>
      <c r="Q217" s="136"/>
      <c r="R217" s="136"/>
      <c r="S217" s="136" t="s">
        <v>275</v>
      </c>
      <c r="T217" s="153" t="s">
        <v>877</v>
      </c>
      <c r="U217" s="120">
        <f>П4ВСР!Z170</f>
        <v>0</v>
      </c>
      <c r="V217" s="120">
        <v>0</v>
      </c>
      <c r="W217" s="120">
        <v>0</v>
      </c>
      <c r="X217" s="118"/>
    </row>
    <row r="218" spans="1:27" ht="130.5" customHeight="1" x14ac:dyDescent="0.25">
      <c r="A218" s="118"/>
      <c r="B218" s="136" t="s">
        <v>136</v>
      </c>
      <c r="C218" s="136" t="s">
        <v>126</v>
      </c>
      <c r="D218" s="230" t="s">
        <v>1528</v>
      </c>
      <c r="E218" s="136"/>
      <c r="F218" s="136"/>
      <c r="G218" s="136"/>
      <c r="H218" s="136"/>
      <c r="I218" s="136"/>
      <c r="J218" s="136"/>
      <c r="K218" s="136"/>
      <c r="L218" s="136"/>
      <c r="M218" s="136"/>
      <c r="N218" s="136"/>
      <c r="O218" s="136"/>
      <c r="P218" s="136"/>
      <c r="Q218" s="136"/>
      <c r="R218" s="136"/>
      <c r="S218" s="136"/>
      <c r="T218" s="254" t="s">
        <v>1529</v>
      </c>
      <c r="U218" s="120">
        <f>U219</f>
        <v>4.2</v>
      </c>
      <c r="V218" s="120">
        <v>0</v>
      </c>
      <c r="W218" s="120">
        <v>0</v>
      </c>
      <c r="X218" s="118"/>
    </row>
    <row r="219" spans="1:27" ht="48.75" customHeight="1" x14ac:dyDescent="0.25">
      <c r="A219" s="118"/>
      <c r="B219" s="136" t="s">
        <v>136</v>
      </c>
      <c r="C219" s="136" t="s">
        <v>126</v>
      </c>
      <c r="D219" s="230" t="s">
        <v>1528</v>
      </c>
      <c r="E219" s="136"/>
      <c r="F219" s="136"/>
      <c r="G219" s="136"/>
      <c r="H219" s="136"/>
      <c r="I219" s="136"/>
      <c r="J219" s="136"/>
      <c r="K219" s="136"/>
      <c r="L219" s="136"/>
      <c r="M219" s="136"/>
      <c r="N219" s="136"/>
      <c r="O219" s="136"/>
      <c r="P219" s="136"/>
      <c r="Q219" s="136"/>
      <c r="R219" s="136"/>
      <c r="S219" s="136" t="s">
        <v>275</v>
      </c>
      <c r="T219" s="135" t="s">
        <v>565</v>
      </c>
      <c r="U219" s="120">
        <f>П4ВСР!Z171</f>
        <v>4.2</v>
      </c>
      <c r="V219" s="120">
        <v>0</v>
      </c>
      <c r="W219" s="120">
        <v>0</v>
      </c>
      <c r="X219" s="118"/>
    </row>
    <row r="220" spans="1:27" ht="117" customHeight="1" x14ac:dyDescent="0.25">
      <c r="A220" s="118" t="s">
        <v>334</v>
      </c>
      <c r="B220" s="119" t="s">
        <v>136</v>
      </c>
      <c r="C220" s="119" t="s">
        <v>126</v>
      </c>
      <c r="D220" s="134" t="s">
        <v>555</v>
      </c>
      <c r="E220" s="119"/>
      <c r="F220" s="119"/>
      <c r="G220" s="119"/>
      <c r="H220" s="119"/>
      <c r="I220" s="119"/>
      <c r="J220" s="119"/>
      <c r="K220" s="119"/>
      <c r="L220" s="119"/>
      <c r="M220" s="119"/>
      <c r="N220" s="119"/>
      <c r="O220" s="119"/>
      <c r="P220" s="119"/>
      <c r="Q220" s="119"/>
      <c r="R220" s="119"/>
      <c r="S220" s="119"/>
      <c r="T220" s="153" t="s">
        <v>1235</v>
      </c>
      <c r="U220" s="120">
        <f>U221</f>
        <v>0</v>
      </c>
      <c r="V220" s="120">
        <f>V221</f>
        <v>0</v>
      </c>
      <c r="W220" s="120">
        <f>W221</f>
        <v>0</v>
      </c>
      <c r="X220" s="118" t="s">
        <v>334</v>
      </c>
    </row>
    <row r="221" spans="1:27" ht="54.75" customHeight="1" x14ac:dyDescent="0.25">
      <c r="A221" s="124" t="s">
        <v>335</v>
      </c>
      <c r="B221" s="122" t="s">
        <v>136</v>
      </c>
      <c r="C221" s="122" t="s">
        <v>126</v>
      </c>
      <c r="D221" s="134" t="s">
        <v>555</v>
      </c>
      <c r="E221" s="122"/>
      <c r="F221" s="122"/>
      <c r="G221" s="122"/>
      <c r="H221" s="122"/>
      <c r="I221" s="122"/>
      <c r="J221" s="122"/>
      <c r="K221" s="122"/>
      <c r="L221" s="122"/>
      <c r="M221" s="122"/>
      <c r="N221" s="122"/>
      <c r="O221" s="122"/>
      <c r="P221" s="122"/>
      <c r="Q221" s="122"/>
      <c r="R221" s="122"/>
      <c r="S221" s="122" t="s">
        <v>275</v>
      </c>
      <c r="T221" s="135" t="s">
        <v>565</v>
      </c>
      <c r="U221" s="120">
        <f>П4ВСР!Z174</f>
        <v>0</v>
      </c>
      <c r="V221" s="120">
        <f>П4ВСР!AA174</f>
        <v>0</v>
      </c>
      <c r="W221" s="120">
        <f>П4ВСР!AB174</f>
        <v>0</v>
      </c>
      <c r="X221" s="124" t="s">
        <v>335</v>
      </c>
    </row>
    <row r="222" spans="1:27" ht="147.75" customHeight="1" x14ac:dyDescent="0.25">
      <c r="A222" s="124"/>
      <c r="B222" s="122" t="s">
        <v>136</v>
      </c>
      <c r="C222" s="122" t="s">
        <v>126</v>
      </c>
      <c r="D222" s="230" t="s">
        <v>1365</v>
      </c>
      <c r="E222" s="122"/>
      <c r="F222" s="122"/>
      <c r="G222" s="122"/>
      <c r="H222" s="122"/>
      <c r="I222" s="122"/>
      <c r="J222" s="122"/>
      <c r="K222" s="122"/>
      <c r="L222" s="122"/>
      <c r="M222" s="122"/>
      <c r="N222" s="122"/>
      <c r="O222" s="122"/>
      <c r="P222" s="122"/>
      <c r="Q222" s="122"/>
      <c r="R222" s="122"/>
      <c r="S222" s="122"/>
      <c r="T222" s="153" t="s">
        <v>1368</v>
      </c>
      <c r="U222" s="120">
        <f>U223</f>
        <v>314000</v>
      </c>
      <c r="V222" s="120">
        <v>0</v>
      </c>
      <c r="W222" s="120">
        <v>0</v>
      </c>
      <c r="X222" s="124"/>
    </row>
    <row r="223" spans="1:27" ht="54.75" customHeight="1" x14ac:dyDescent="0.25">
      <c r="A223" s="124"/>
      <c r="B223" s="122" t="s">
        <v>136</v>
      </c>
      <c r="C223" s="122" t="s">
        <v>126</v>
      </c>
      <c r="D223" s="230" t="s">
        <v>1365</v>
      </c>
      <c r="E223" s="122"/>
      <c r="F223" s="122"/>
      <c r="G223" s="122"/>
      <c r="H223" s="122"/>
      <c r="I223" s="122"/>
      <c r="J223" s="122"/>
      <c r="K223" s="122"/>
      <c r="L223" s="122"/>
      <c r="M223" s="122"/>
      <c r="N223" s="122"/>
      <c r="O223" s="122"/>
      <c r="P223" s="122"/>
      <c r="Q223" s="122"/>
      <c r="R223" s="122"/>
      <c r="S223" s="122" t="s">
        <v>275</v>
      </c>
      <c r="T223" s="135" t="s">
        <v>565</v>
      </c>
      <c r="U223" s="120">
        <f>П4ВСР!Z175</f>
        <v>314000</v>
      </c>
      <c r="V223" s="120">
        <v>0</v>
      </c>
      <c r="W223" s="120">
        <v>0</v>
      </c>
      <c r="X223" s="124"/>
    </row>
    <row r="224" spans="1:27" ht="181.5" customHeight="1" x14ac:dyDescent="0.25">
      <c r="A224" s="118" t="s">
        <v>336</v>
      </c>
      <c r="B224" s="119" t="s">
        <v>136</v>
      </c>
      <c r="C224" s="119" t="s">
        <v>126</v>
      </c>
      <c r="D224" s="134" t="s">
        <v>556</v>
      </c>
      <c r="E224" s="119"/>
      <c r="F224" s="119"/>
      <c r="G224" s="119"/>
      <c r="H224" s="119"/>
      <c r="I224" s="119"/>
      <c r="J224" s="119"/>
      <c r="K224" s="119"/>
      <c r="L224" s="119"/>
      <c r="M224" s="119"/>
      <c r="N224" s="119"/>
      <c r="O224" s="119"/>
      <c r="P224" s="119"/>
      <c r="Q224" s="119"/>
      <c r="R224" s="119"/>
      <c r="S224" s="119"/>
      <c r="T224" s="153" t="s">
        <v>1236</v>
      </c>
      <c r="U224" s="120">
        <f>U225</f>
        <v>99995.8</v>
      </c>
      <c r="V224" s="120">
        <f>V225</f>
        <v>0</v>
      </c>
      <c r="W224" s="120">
        <f>W225</f>
        <v>0</v>
      </c>
      <c r="X224" s="118" t="s">
        <v>336</v>
      </c>
    </row>
    <row r="225" spans="1:27" ht="39.75" customHeight="1" x14ac:dyDescent="0.25">
      <c r="A225" s="118" t="s">
        <v>337</v>
      </c>
      <c r="B225" s="122" t="s">
        <v>136</v>
      </c>
      <c r="C225" s="122" t="s">
        <v>126</v>
      </c>
      <c r="D225" s="134" t="s">
        <v>556</v>
      </c>
      <c r="E225" s="122"/>
      <c r="F225" s="122"/>
      <c r="G225" s="122"/>
      <c r="H225" s="122"/>
      <c r="I225" s="122"/>
      <c r="J225" s="122"/>
      <c r="K225" s="122"/>
      <c r="L225" s="122"/>
      <c r="M225" s="122"/>
      <c r="N225" s="122"/>
      <c r="O225" s="122"/>
      <c r="P225" s="122"/>
      <c r="Q225" s="122"/>
      <c r="R225" s="122"/>
      <c r="S225" s="122" t="s">
        <v>275</v>
      </c>
      <c r="T225" s="154" t="s">
        <v>565</v>
      </c>
      <c r="U225" s="120">
        <f>П4ВСР!Z178</f>
        <v>99995.8</v>
      </c>
      <c r="V225" s="120">
        <f>П4ВСР!AA178</f>
        <v>0</v>
      </c>
      <c r="W225" s="120">
        <f>П4ВСР!AB178</f>
        <v>0</v>
      </c>
      <c r="X225" s="118" t="s">
        <v>337</v>
      </c>
    </row>
    <row r="226" spans="1:27" ht="133.5" customHeight="1" x14ac:dyDescent="0.25">
      <c r="A226" s="118"/>
      <c r="B226" s="122" t="s">
        <v>136</v>
      </c>
      <c r="C226" s="122" t="s">
        <v>126</v>
      </c>
      <c r="D226" s="230" t="s">
        <v>791</v>
      </c>
      <c r="E226" s="122"/>
      <c r="F226" s="122"/>
      <c r="G226" s="122"/>
      <c r="H226" s="122"/>
      <c r="I226" s="122"/>
      <c r="J226" s="122"/>
      <c r="K226" s="122"/>
      <c r="L226" s="122"/>
      <c r="M226" s="122"/>
      <c r="N226" s="122"/>
      <c r="O226" s="122"/>
      <c r="P226" s="122"/>
      <c r="Q226" s="122"/>
      <c r="R226" s="122"/>
      <c r="S226" s="122"/>
      <c r="T226" s="153" t="s">
        <v>1544</v>
      </c>
      <c r="U226" s="120">
        <f>U227</f>
        <v>75000</v>
      </c>
      <c r="V226" s="120">
        <v>0</v>
      </c>
      <c r="W226" s="120">
        <v>0</v>
      </c>
      <c r="X226" s="118"/>
    </row>
    <row r="227" spans="1:27" ht="69" customHeight="1" x14ac:dyDescent="0.25">
      <c r="A227" s="118"/>
      <c r="B227" s="122" t="s">
        <v>136</v>
      </c>
      <c r="C227" s="122" t="s">
        <v>126</v>
      </c>
      <c r="D227" s="230" t="s">
        <v>791</v>
      </c>
      <c r="E227" s="122"/>
      <c r="F227" s="122"/>
      <c r="G227" s="122"/>
      <c r="H227" s="122"/>
      <c r="I227" s="122"/>
      <c r="J227" s="122"/>
      <c r="K227" s="122"/>
      <c r="L227" s="122"/>
      <c r="M227" s="122"/>
      <c r="N227" s="122"/>
      <c r="O227" s="122"/>
      <c r="P227" s="122"/>
      <c r="Q227" s="122"/>
      <c r="R227" s="122"/>
      <c r="S227" s="122" t="s">
        <v>275</v>
      </c>
      <c r="T227" s="135" t="s">
        <v>565</v>
      </c>
      <c r="U227" s="120">
        <f>П4ВСР!Z180</f>
        <v>75000</v>
      </c>
      <c r="V227" s="120">
        <v>0</v>
      </c>
      <c r="W227" s="120">
        <v>0</v>
      </c>
      <c r="X227" s="118"/>
    </row>
    <row r="228" spans="1:27" ht="36.75" customHeight="1" x14ac:dyDescent="0.25">
      <c r="A228" s="118"/>
      <c r="B228" s="160" t="s">
        <v>136</v>
      </c>
      <c r="C228" s="160" t="s">
        <v>127</v>
      </c>
      <c r="D228" s="134"/>
      <c r="E228" s="122"/>
      <c r="F228" s="122"/>
      <c r="G228" s="122"/>
      <c r="H228" s="122"/>
      <c r="I228" s="122"/>
      <c r="J228" s="122"/>
      <c r="K228" s="122"/>
      <c r="L228" s="122"/>
      <c r="M228" s="122"/>
      <c r="N228" s="122"/>
      <c r="O228" s="122"/>
      <c r="P228" s="122"/>
      <c r="Q228" s="122"/>
      <c r="R228" s="122"/>
      <c r="S228" s="122"/>
      <c r="T228" s="159" t="s">
        <v>605</v>
      </c>
      <c r="U228" s="120">
        <f>U229+U231+U235+U233+U237+U239+U241</f>
        <v>54649854.230000004</v>
      </c>
      <c r="V228" s="120">
        <f>V229+V231+V235+V233</f>
        <v>25761780.670000002</v>
      </c>
      <c r="W228" s="120">
        <f>W229+W231+W235+W233</f>
        <v>21944044.210000001</v>
      </c>
      <c r="X228" s="118"/>
    </row>
    <row r="229" spans="1:27" ht="141.75" customHeight="1" x14ac:dyDescent="0.25">
      <c r="A229" s="118"/>
      <c r="B229" s="161" t="s">
        <v>136</v>
      </c>
      <c r="C229" s="161" t="s">
        <v>127</v>
      </c>
      <c r="D229" s="161" t="s">
        <v>557</v>
      </c>
      <c r="E229" s="161"/>
      <c r="F229" s="161"/>
      <c r="G229" s="161"/>
      <c r="H229" s="161"/>
      <c r="I229" s="161"/>
      <c r="J229" s="161"/>
      <c r="K229" s="161"/>
      <c r="L229" s="161"/>
      <c r="M229" s="161"/>
      <c r="N229" s="161"/>
      <c r="O229" s="161"/>
      <c r="P229" s="161"/>
      <c r="Q229" s="161"/>
      <c r="R229" s="161"/>
      <c r="S229" s="161"/>
      <c r="T229" s="153" t="s">
        <v>1237</v>
      </c>
      <c r="U229" s="120">
        <f>U230</f>
        <v>33425877</v>
      </c>
      <c r="V229" s="120">
        <f>V230</f>
        <v>20044044.210000001</v>
      </c>
      <c r="W229" s="120">
        <f>W230</f>
        <v>20044044.210000001</v>
      </c>
      <c r="X229" s="118"/>
      <c r="AA229" s="127"/>
    </row>
    <row r="230" spans="1:27" ht="50.25" customHeight="1" x14ac:dyDescent="0.25">
      <c r="A230" s="118"/>
      <c r="B230" s="136" t="s">
        <v>136</v>
      </c>
      <c r="C230" s="136" t="s">
        <v>127</v>
      </c>
      <c r="D230" s="161" t="s">
        <v>557</v>
      </c>
      <c r="E230" s="136"/>
      <c r="F230" s="136"/>
      <c r="G230" s="136"/>
      <c r="H230" s="136"/>
      <c r="I230" s="136"/>
      <c r="J230" s="136"/>
      <c r="K230" s="136"/>
      <c r="L230" s="136"/>
      <c r="M230" s="136"/>
      <c r="N230" s="136"/>
      <c r="O230" s="136"/>
      <c r="P230" s="136"/>
      <c r="Q230" s="136"/>
      <c r="R230" s="136"/>
      <c r="S230" s="136" t="s">
        <v>275</v>
      </c>
      <c r="T230" s="135" t="s">
        <v>565</v>
      </c>
      <c r="U230" s="120">
        <f>П4ВСР!Z183</f>
        <v>33425877</v>
      </c>
      <c r="V230" s="120">
        <f>П4ВСР!AA183</f>
        <v>20044044.210000001</v>
      </c>
      <c r="W230" s="120">
        <f>П4ВСР!AB183</f>
        <v>20044044.210000001</v>
      </c>
      <c r="X230" s="118"/>
    </row>
    <row r="231" spans="1:27" ht="151.5" customHeight="1" x14ac:dyDescent="0.25">
      <c r="A231" s="118"/>
      <c r="B231" s="161" t="s">
        <v>136</v>
      </c>
      <c r="C231" s="161" t="s">
        <v>127</v>
      </c>
      <c r="D231" s="161" t="s">
        <v>558</v>
      </c>
      <c r="E231" s="161"/>
      <c r="F231" s="161"/>
      <c r="G231" s="161"/>
      <c r="H231" s="161"/>
      <c r="I231" s="161"/>
      <c r="J231" s="161"/>
      <c r="K231" s="161"/>
      <c r="L231" s="161"/>
      <c r="M231" s="161"/>
      <c r="N231" s="161"/>
      <c r="O231" s="161"/>
      <c r="P231" s="161"/>
      <c r="Q231" s="161"/>
      <c r="R231" s="161"/>
      <c r="S231" s="161"/>
      <c r="T231" s="153" t="s">
        <v>1238</v>
      </c>
      <c r="U231" s="120">
        <f>U232</f>
        <v>0.6</v>
      </c>
      <c r="V231" s="120">
        <f>V232</f>
        <v>5717736.46</v>
      </c>
      <c r="W231" s="120">
        <f>W232</f>
        <v>1900000</v>
      </c>
      <c r="X231" s="118"/>
    </row>
    <row r="232" spans="1:27" ht="45.75" customHeight="1" x14ac:dyDescent="0.25">
      <c r="A232" s="118"/>
      <c r="B232" s="136" t="s">
        <v>136</v>
      </c>
      <c r="C232" s="136" t="s">
        <v>127</v>
      </c>
      <c r="D232" s="161" t="s">
        <v>558</v>
      </c>
      <c r="E232" s="136"/>
      <c r="F232" s="136"/>
      <c r="G232" s="136"/>
      <c r="H232" s="136"/>
      <c r="I232" s="136"/>
      <c r="J232" s="136"/>
      <c r="K232" s="136"/>
      <c r="L232" s="136"/>
      <c r="M232" s="136"/>
      <c r="N232" s="136"/>
      <c r="O232" s="136"/>
      <c r="P232" s="136"/>
      <c r="Q232" s="136"/>
      <c r="R232" s="136"/>
      <c r="S232" s="136" t="s">
        <v>275</v>
      </c>
      <c r="T232" s="135" t="s">
        <v>565</v>
      </c>
      <c r="U232" s="120">
        <f>П4ВСР!Z185</f>
        <v>0.6</v>
      </c>
      <c r="V232" s="120">
        <f>П4ВСР!AA185</f>
        <v>5717736.46</v>
      </c>
      <c r="W232" s="120">
        <f>П4ВСР!AB185</f>
        <v>1900000</v>
      </c>
      <c r="X232" s="118"/>
    </row>
    <row r="233" spans="1:27" ht="147.75" customHeight="1" x14ac:dyDescent="0.25">
      <c r="A233" s="118"/>
      <c r="B233" s="136" t="s">
        <v>136</v>
      </c>
      <c r="C233" s="136" t="s">
        <v>127</v>
      </c>
      <c r="D233" s="161" t="s">
        <v>558</v>
      </c>
      <c r="E233" s="136"/>
      <c r="F233" s="136"/>
      <c r="G233" s="136"/>
      <c r="H233" s="136"/>
      <c r="I233" s="136"/>
      <c r="J233" s="136"/>
      <c r="K233" s="136"/>
      <c r="L233" s="136"/>
      <c r="M233" s="136"/>
      <c r="N233" s="136"/>
      <c r="O233" s="136"/>
      <c r="P233" s="136"/>
      <c r="Q233" s="136"/>
      <c r="R233" s="136"/>
      <c r="S233" s="136"/>
      <c r="T233" s="153" t="s">
        <v>1238</v>
      </c>
      <c r="U233" s="120">
        <f>U234</f>
        <v>8950999.4000000004</v>
      </c>
      <c r="V233" s="120">
        <v>0</v>
      </c>
      <c r="W233" s="120">
        <v>0</v>
      </c>
      <c r="X233" s="118"/>
    </row>
    <row r="234" spans="1:27" ht="29.25" customHeight="1" x14ac:dyDescent="0.25">
      <c r="A234" s="118"/>
      <c r="B234" s="136" t="s">
        <v>136</v>
      </c>
      <c r="C234" s="136" t="s">
        <v>127</v>
      </c>
      <c r="D234" s="161" t="s">
        <v>558</v>
      </c>
      <c r="E234" s="136"/>
      <c r="F234" s="136"/>
      <c r="G234" s="136"/>
      <c r="H234" s="136"/>
      <c r="I234" s="136"/>
      <c r="J234" s="136"/>
      <c r="K234" s="136"/>
      <c r="L234" s="136"/>
      <c r="M234" s="136"/>
      <c r="N234" s="136"/>
      <c r="O234" s="136"/>
      <c r="P234" s="136"/>
      <c r="Q234" s="136"/>
      <c r="R234" s="136"/>
      <c r="S234" s="136" t="s">
        <v>427</v>
      </c>
      <c r="T234" s="135" t="s">
        <v>770</v>
      </c>
      <c r="U234" s="120">
        <f>П4ВСР!Z456</f>
        <v>8950999.4000000004</v>
      </c>
      <c r="V234" s="120">
        <v>0</v>
      </c>
      <c r="W234" s="120">
        <v>0</v>
      </c>
      <c r="X234" s="118"/>
    </row>
    <row r="235" spans="1:27" ht="166.5" customHeight="1" x14ac:dyDescent="0.25">
      <c r="A235" s="118"/>
      <c r="B235" s="136" t="s">
        <v>136</v>
      </c>
      <c r="C235" s="136" t="s">
        <v>127</v>
      </c>
      <c r="D235" s="161" t="s">
        <v>777</v>
      </c>
      <c r="E235" s="136"/>
      <c r="F235" s="136"/>
      <c r="G235" s="136"/>
      <c r="H235" s="136"/>
      <c r="I235" s="136"/>
      <c r="J235" s="136"/>
      <c r="K235" s="136"/>
      <c r="L235" s="136"/>
      <c r="M235" s="136"/>
      <c r="N235" s="136"/>
      <c r="O235" s="136"/>
      <c r="P235" s="136"/>
      <c r="Q235" s="136"/>
      <c r="R235" s="136"/>
      <c r="S235" s="136"/>
      <c r="T235" s="247" t="s">
        <v>1515</v>
      </c>
      <c r="U235" s="120">
        <f>U236</f>
        <v>5514714.2100000009</v>
      </c>
      <c r="V235" s="120">
        <v>0</v>
      </c>
      <c r="W235" s="120">
        <v>0</v>
      </c>
      <c r="X235" s="118"/>
    </row>
    <row r="236" spans="1:27" ht="43.5" customHeight="1" x14ac:dyDescent="0.25">
      <c r="A236" s="118"/>
      <c r="B236" s="136" t="s">
        <v>136</v>
      </c>
      <c r="C236" s="136" t="s">
        <v>127</v>
      </c>
      <c r="D236" s="161" t="s">
        <v>777</v>
      </c>
      <c r="E236" s="136"/>
      <c r="F236" s="136"/>
      <c r="G236" s="136"/>
      <c r="H236" s="136"/>
      <c r="I236" s="136"/>
      <c r="J236" s="136"/>
      <c r="K236" s="136"/>
      <c r="L236" s="136"/>
      <c r="M236" s="136"/>
      <c r="N236" s="136"/>
      <c r="O236" s="136"/>
      <c r="P236" s="136"/>
      <c r="Q236" s="136"/>
      <c r="R236" s="136"/>
      <c r="S236" s="136" t="s">
        <v>275</v>
      </c>
      <c r="T236" s="248" t="s">
        <v>565</v>
      </c>
      <c r="U236" s="120">
        <f>П4ВСР!Z187</f>
        <v>5514714.2100000009</v>
      </c>
      <c r="V236" s="120">
        <v>0</v>
      </c>
      <c r="W236" s="120">
        <v>0</v>
      </c>
      <c r="X236" s="118"/>
    </row>
    <row r="237" spans="1:27" ht="113.25" customHeight="1" x14ac:dyDescent="0.25">
      <c r="A237" s="118"/>
      <c r="B237" s="136" t="s">
        <v>136</v>
      </c>
      <c r="C237" s="136" t="s">
        <v>127</v>
      </c>
      <c r="D237" s="161" t="s">
        <v>974</v>
      </c>
      <c r="E237" s="136"/>
      <c r="F237" s="136"/>
      <c r="G237" s="136"/>
      <c r="H237" s="136"/>
      <c r="I237" s="136"/>
      <c r="J237" s="136"/>
      <c r="K237" s="136"/>
      <c r="L237" s="136"/>
      <c r="M237" s="136"/>
      <c r="N237" s="136"/>
      <c r="O237" s="136"/>
      <c r="P237" s="136"/>
      <c r="Q237" s="136"/>
      <c r="R237" s="136"/>
      <c r="S237" s="136"/>
      <c r="T237" s="440" t="s">
        <v>1514</v>
      </c>
      <c r="U237" s="120">
        <f>U238</f>
        <v>3477000</v>
      </c>
      <c r="V237" s="120">
        <v>0</v>
      </c>
      <c r="W237" s="120">
        <v>0</v>
      </c>
      <c r="X237" s="118"/>
    </row>
    <row r="238" spans="1:27" ht="41.25" customHeight="1" x14ac:dyDescent="0.25">
      <c r="A238" s="118"/>
      <c r="B238" s="136" t="s">
        <v>136</v>
      </c>
      <c r="C238" s="136" t="s">
        <v>127</v>
      </c>
      <c r="D238" s="161" t="s">
        <v>974</v>
      </c>
      <c r="E238" s="136"/>
      <c r="F238" s="136"/>
      <c r="G238" s="136"/>
      <c r="H238" s="136"/>
      <c r="I238" s="136"/>
      <c r="J238" s="136"/>
      <c r="K238" s="136"/>
      <c r="L238" s="136"/>
      <c r="M238" s="136"/>
      <c r="N238" s="136"/>
      <c r="O238" s="136"/>
      <c r="P238" s="136"/>
      <c r="Q238" s="136"/>
      <c r="R238" s="136"/>
      <c r="S238" s="136" t="s">
        <v>275</v>
      </c>
      <c r="T238" s="441" t="s">
        <v>565</v>
      </c>
      <c r="U238" s="120">
        <f>П4ВСР!Z189</f>
        <v>3477000</v>
      </c>
      <c r="V238" s="120">
        <v>0</v>
      </c>
      <c r="W238" s="120">
        <v>0</v>
      </c>
      <c r="X238" s="118"/>
    </row>
    <row r="239" spans="1:27" ht="1.5" hidden="1" customHeight="1" x14ac:dyDescent="0.25">
      <c r="A239" s="118"/>
      <c r="B239" s="136" t="s">
        <v>136</v>
      </c>
      <c r="C239" s="136" t="s">
        <v>127</v>
      </c>
      <c r="D239" s="493" t="s">
        <v>991</v>
      </c>
      <c r="E239" s="136"/>
      <c r="F239" s="136"/>
      <c r="G239" s="136"/>
      <c r="H239" s="136"/>
      <c r="I239" s="136"/>
      <c r="J239" s="136"/>
      <c r="K239" s="136"/>
      <c r="L239" s="136"/>
      <c r="M239" s="136"/>
      <c r="N239" s="136"/>
      <c r="O239" s="136"/>
      <c r="P239" s="136"/>
      <c r="Q239" s="136"/>
      <c r="R239" s="136"/>
      <c r="S239" s="443"/>
      <c r="T239" s="440" t="s">
        <v>995</v>
      </c>
      <c r="U239" s="180">
        <f>U240</f>
        <v>0</v>
      </c>
      <c r="V239" s="120">
        <v>0</v>
      </c>
      <c r="W239" s="120">
        <v>0</v>
      </c>
      <c r="X239" s="118"/>
    </row>
    <row r="240" spans="1:27" ht="21.75" hidden="1" customHeight="1" x14ac:dyDescent="0.25">
      <c r="A240" s="118"/>
      <c r="B240" s="163" t="s">
        <v>136</v>
      </c>
      <c r="C240" s="163" t="s">
        <v>127</v>
      </c>
      <c r="D240" s="511" t="s">
        <v>991</v>
      </c>
      <c r="E240" s="163"/>
      <c r="F240" s="163"/>
      <c r="G240" s="163"/>
      <c r="H240" s="163"/>
      <c r="I240" s="163"/>
      <c r="J240" s="163"/>
      <c r="K240" s="163"/>
      <c r="L240" s="163"/>
      <c r="M240" s="163"/>
      <c r="N240" s="163"/>
      <c r="O240" s="163"/>
      <c r="P240" s="163"/>
      <c r="Q240" s="163"/>
      <c r="R240" s="163"/>
      <c r="S240" s="512" t="s">
        <v>275</v>
      </c>
      <c r="T240" s="501" t="s">
        <v>996</v>
      </c>
      <c r="U240" s="513">
        <f>П4ВСР!Z190</f>
        <v>0</v>
      </c>
      <c r="V240" s="120">
        <v>0</v>
      </c>
      <c r="W240" s="120">
        <v>0</v>
      </c>
      <c r="X240" s="118"/>
    </row>
    <row r="241" spans="1:27" ht="144.75" customHeight="1" x14ac:dyDescent="0.25">
      <c r="A241" s="179"/>
      <c r="B241" s="163" t="s">
        <v>136</v>
      </c>
      <c r="C241" s="163" t="s">
        <v>127</v>
      </c>
      <c r="D241" s="493" t="s">
        <v>1523</v>
      </c>
      <c r="E241" s="163"/>
      <c r="F241" s="163"/>
      <c r="G241" s="163"/>
      <c r="H241" s="163"/>
      <c r="I241" s="163"/>
      <c r="J241" s="163"/>
      <c r="K241" s="163"/>
      <c r="L241" s="163"/>
      <c r="M241" s="163"/>
      <c r="N241" s="163"/>
      <c r="O241" s="163"/>
      <c r="P241" s="163"/>
      <c r="Q241" s="163"/>
      <c r="R241" s="163"/>
      <c r="S241" s="512"/>
      <c r="T241" s="509" t="s">
        <v>1524</v>
      </c>
      <c r="U241" s="516">
        <f>U242</f>
        <v>3281263.02</v>
      </c>
      <c r="V241" s="180">
        <v>0</v>
      </c>
      <c r="W241" s="120">
        <v>0</v>
      </c>
      <c r="X241" s="118"/>
    </row>
    <row r="242" spans="1:27" ht="41.25" customHeight="1" x14ac:dyDescent="0.25">
      <c r="A242" s="179"/>
      <c r="B242" s="492" t="s">
        <v>136</v>
      </c>
      <c r="C242" s="492" t="s">
        <v>127</v>
      </c>
      <c r="D242" s="493" t="s">
        <v>1523</v>
      </c>
      <c r="E242" s="492"/>
      <c r="F242" s="492"/>
      <c r="G242" s="492"/>
      <c r="H242" s="492"/>
      <c r="I242" s="492"/>
      <c r="J242" s="492"/>
      <c r="K242" s="492"/>
      <c r="L242" s="492"/>
      <c r="M242" s="492"/>
      <c r="N242" s="492"/>
      <c r="O242" s="492"/>
      <c r="P242" s="492"/>
      <c r="Q242" s="492"/>
      <c r="R242" s="492"/>
      <c r="S242" s="492" t="s">
        <v>275</v>
      </c>
      <c r="T242" s="223" t="s">
        <v>565</v>
      </c>
      <c r="U242" s="516">
        <f>П4ВСР!Z192</f>
        <v>3281263.02</v>
      </c>
      <c r="V242" s="180">
        <v>0</v>
      </c>
      <c r="W242" s="120">
        <v>0</v>
      </c>
      <c r="X242" s="118"/>
    </row>
    <row r="243" spans="1:27" ht="36" customHeight="1" x14ac:dyDescent="0.25">
      <c r="A243" s="118" t="s">
        <v>149</v>
      </c>
      <c r="B243" s="514" t="s">
        <v>136</v>
      </c>
      <c r="C243" s="514" t="s">
        <v>129</v>
      </c>
      <c r="D243" s="514"/>
      <c r="E243" s="514"/>
      <c r="F243" s="514"/>
      <c r="G243" s="514"/>
      <c r="H243" s="514"/>
      <c r="I243" s="514"/>
      <c r="J243" s="514"/>
      <c r="K243" s="514"/>
      <c r="L243" s="514"/>
      <c r="M243" s="514"/>
      <c r="N243" s="514"/>
      <c r="O243" s="514"/>
      <c r="P243" s="514"/>
      <c r="Q243" s="514"/>
      <c r="R243" s="514"/>
      <c r="S243" s="514"/>
      <c r="T243" s="494" t="s">
        <v>149</v>
      </c>
      <c r="U243" s="515">
        <f>U246+U248+U252+U254+U244+U256+U258+U260+U262+U264+U266+U250</f>
        <v>1330000</v>
      </c>
      <c r="V243" s="120">
        <f>V246+V248+V252</f>
        <v>200000</v>
      </c>
      <c r="W243" s="120">
        <f>W246+W248+W252</f>
        <v>200000</v>
      </c>
      <c r="X243" s="118" t="s">
        <v>149</v>
      </c>
    </row>
    <row r="244" spans="1:27" ht="119.25" hidden="1" customHeight="1" x14ac:dyDescent="0.25">
      <c r="A244" s="118"/>
      <c r="B244" s="119" t="s">
        <v>136</v>
      </c>
      <c r="C244" s="119" t="s">
        <v>129</v>
      </c>
      <c r="D244" s="119" t="s">
        <v>892</v>
      </c>
      <c r="E244" s="119"/>
      <c r="F244" s="119"/>
      <c r="G244" s="119"/>
      <c r="H244" s="119"/>
      <c r="I244" s="119"/>
      <c r="J244" s="119"/>
      <c r="K244" s="119"/>
      <c r="L244" s="119"/>
      <c r="M244" s="119"/>
      <c r="N244" s="119"/>
      <c r="O244" s="119"/>
      <c r="P244" s="119"/>
      <c r="Q244" s="119"/>
      <c r="R244" s="119"/>
      <c r="S244" s="119"/>
      <c r="T244" s="153" t="s">
        <v>891</v>
      </c>
      <c r="U244" s="120">
        <f>U245</f>
        <v>0</v>
      </c>
      <c r="V244" s="120">
        <v>0</v>
      </c>
      <c r="W244" s="120">
        <v>0</v>
      </c>
      <c r="X244" s="118"/>
    </row>
    <row r="245" spans="1:27" ht="30" hidden="1" customHeight="1" x14ac:dyDescent="0.25">
      <c r="A245" s="118"/>
      <c r="B245" s="119" t="s">
        <v>136</v>
      </c>
      <c r="C245" s="119" t="s">
        <v>129</v>
      </c>
      <c r="D245" s="119" t="s">
        <v>892</v>
      </c>
      <c r="E245" s="119"/>
      <c r="F245" s="119"/>
      <c r="G245" s="119"/>
      <c r="H245" s="119"/>
      <c r="I245" s="119"/>
      <c r="J245" s="119"/>
      <c r="K245" s="119"/>
      <c r="L245" s="119"/>
      <c r="M245" s="119"/>
      <c r="N245" s="119"/>
      <c r="O245" s="119"/>
      <c r="P245" s="119"/>
      <c r="Q245" s="119"/>
      <c r="R245" s="119"/>
      <c r="S245" s="119" t="s">
        <v>427</v>
      </c>
      <c r="T245" s="153" t="s">
        <v>770</v>
      </c>
      <c r="U245" s="120">
        <f>П4ВСР!Z444</f>
        <v>0</v>
      </c>
      <c r="V245" s="120">
        <v>0</v>
      </c>
      <c r="W245" s="120">
        <v>0</v>
      </c>
      <c r="X245" s="118"/>
    </row>
    <row r="246" spans="1:27" ht="138.75" hidden="1" customHeight="1" x14ac:dyDescent="0.25">
      <c r="A246" s="118" t="s">
        <v>340</v>
      </c>
      <c r="B246" s="119" t="s">
        <v>136</v>
      </c>
      <c r="C246" s="119" t="s">
        <v>129</v>
      </c>
      <c r="D246" s="134" t="s">
        <v>559</v>
      </c>
      <c r="E246" s="119"/>
      <c r="F246" s="119"/>
      <c r="G246" s="119"/>
      <c r="H246" s="119"/>
      <c r="I246" s="119"/>
      <c r="J246" s="119"/>
      <c r="K246" s="119"/>
      <c r="L246" s="119"/>
      <c r="M246" s="119"/>
      <c r="N246" s="119"/>
      <c r="O246" s="119"/>
      <c r="P246" s="119"/>
      <c r="Q246" s="119"/>
      <c r="R246" s="119"/>
      <c r="S246" s="119"/>
      <c r="T246" s="153" t="s">
        <v>591</v>
      </c>
      <c r="U246" s="120">
        <f>U247</f>
        <v>0</v>
      </c>
      <c r="V246" s="120">
        <f>V247</f>
        <v>0</v>
      </c>
      <c r="W246" s="120">
        <f>W247</f>
        <v>0</v>
      </c>
      <c r="X246" s="118" t="s">
        <v>340</v>
      </c>
    </row>
    <row r="247" spans="1:27" ht="77.25" hidden="1" customHeight="1" x14ac:dyDescent="0.25">
      <c r="A247" s="118" t="s">
        <v>341</v>
      </c>
      <c r="B247" s="122" t="s">
        <v>136</v>
      </c>
      <c r="C247" s="122" t="s">
        <v>129</v>
      </c>
      <c r="D247" s="134" t="s">
        <v>559</v>
      </c>
      <c r="E247" s="122"/>
      <c r="F247" s="122"/>
      <c r="G247" s="122"/>
      <c r="H247" s="122"/>
      <c r="I247" s="122"/>
      <c r="J247" s="122"/>
      <c r="K247" s="122"/>
      <c r="L247" s="122"/>
      <c r="M247" s="122"/>
      <c r="N247" s="122"/>
      <c r="O247" s="122"/>
      <c r="P247" s="122"/>
      <c r="Q247" s="122"/>
      <c r="R247" s="122"/>
      <c r="S247" s="167" t="s">
        <v>243</v>
      </c>
      <c r="T247" s="135" t="s">
        <v>729</v>
      </c>
      <c r="U247" s="120">
        <f>П4ВСР!Z196</f>
        <v>0</v>
      </c>
      <c r="V247" s="120">
        <f>П4ВСР!AA196</f>
        <v>0</v>
      </c>
      <c r="W247" s="120">
        <f>П4ВСР!AB196</f>
        <v>0</v>
      </c>
      <c r="X247" s="118" t="s">
        <v>341</v>
      </c>
    </row>
    <row r="248" spans="1:27" ht="186" customHeight="1" x14ac:dyDescent="0.25">
      <c r="A248" s="118" t="s">
        <v>342</v>
      </c>
      <c r="B248" s="119" t="s">
        <v>136</v>
      </c>
      <c r="C248" s="119" t="s">
        <v>129</v>
      </c>
      <c r="D248" s="134" t="s">
        <v>560</v>
      </c>
      <c r="E248" s="119"/>
      <c r="F248" s="119"/>
      <c r="G248" s="119"/>
      <c r="H248" s="119"/>
      <c r="I248" s="119"/>
      <c r="J248" s="119"/>
      <c r="K248" s="119"/>
      <c r="L248" s="119"/>
      <c r="M248" s="119"/>
      <c r="N248" s="119"/>
      <c r="O248" s="119"/>
      <c r="P248" s="119"/>
      <c r="Q248" s="119"/>
      <c r="R248" s="119"/>
      <c r="S248" s="119"/>
      <c r="T248" s="153" t="s">
        <v>1239</v>
      </c>
      <c r="U248" s="120">
        <f>U249</f>
        <v>404210.53</v>
      </c>
      <c r="V248" s="120">
        <f>V249</f>
        <v>150000</v>
      </c>
      <c r="W248" s="120">
        <f>W249</f>
        <v>150000</v>
      </c>
      <c r="X248" s="118" t="s">
        <v>342</v>
      </c>
      <c r="AA248" s="127"/>
    </row>
    <row r="249" spans="1:27" ht="32.25" customHeight="1" x14ac:dyDescent="0.25">
      <c r="A249" s="124" t="s">
        <v>343</v>
      </c>
      <c r="B249" s="122" t="s">
        <v>136</v>
      </c>
      <c r="C249" s="122" t="s">
        <v>129</v>
      </c>
      <c r="D249" s="134" t="s">
        <v>560</v>
      </c>
      <c r="E249" s="122"/>
      <c r="F249" s="122"/>
      <c r="G249" s="122"/>
      <c r="H249" s="122"/>
      <c r="I249" s="122"/>
      <c r="J249" s="122"/>
      <c r="K249" s="122"/>
      <c r="L249" s="122"/>
      <c r="M249" s="122"/>
      <c r="N249" s="122"/>
      <c r="O249" s="122"/>
      <c r="P249" s="122"/>
      <c r="Q249" s="122"/>
      <c r="R249" s="122"/>
      <c r="S249" s="167" t="s">
        <v>243</v>
      </c>
      <c r="T249" s="154" t="s">
        <v>1240</v>
      </c>
      <c r="U249" s="120">
        <f>П4ВСР!Z198</f>
        <v>404210.53</v>
      </c>
      <c r="V249" s="120">
        <f>П4ВСР!AA198</f>
        <v>150000</v>
      </c>
      <c r="W249" s="120">
        <f>П4ВСР!AB198</f>
        <v>150000</v>
      </c>
      <c r="X249" s="124" t="s">
        <v>343</v>
      </c>
    </row>
    <row r="250" spans="1:27" ht="186.75" customHeight="1" x14ac:dyDescent="0.25">
      <c r="A250" s="124"/>
      <c r="B250" s="122" t="s">
        <v>136</v>
      </c>
      <c r="C250" s="122" t="s">
        <v>129</v>
      </c>
      <c r="D250" s="230" t="s">
        <v>1509</v>
      </c>
      <c r="E250" s="122"/>
      <c r="F250" s="122"/>
      <c r="G250" s="122"/>
      <c r="H250" s="122"/>
      <c r="I250" s="122"/>
      <c r="J250" s="122"/>
      <c r="K250" s="122"/>
      <c r="L250" s="122"/>
      <c r="M250" s="122"/>
      <c r="N250" s="122"/>
      <c r="O250" s="122"/>
      <c r="P250" s="122"/>
      <c r="Q250" s="122"/>
      <c r="R250" s="122"/>
      <c r="S250" s="167"/>
      <c r="T250" s="153" t="s">
        <v>1239</v>
      </c>
      <c r="U250" s="120">
        <f>U251</f>
        <v>915789.47</v>
      </c>
      <c r="V250" s="120">
        <v>0</v>
      </c>
      <c r="W250" s="120">
        <v>0</v>
      </c>
      <c r="X250" s="124"/>
    </row>
    <row r="251" spans="1:27" ht="32.25" customHeight="1" x14ac:dyDescent="0.25">
      <c r="A251" s="124"/>
      <c r="B251" s="122" t="s">
        <v>136</v>
      </c>
      <c r="C251" s="122" t="s">
        <v>129</v>
      </c>
      <c r="D251" s="230" t="s">
        <v>1509</v>
      </c>
      <c r="E251" s="122"/>
      <c r="F251" s="122"/>
      <c r="G251" s="122"/>
      <c r="H251" s="122"/>
      <c r="I251" s="122"/>
      <c r="J251" s="122"/>
      <c r="K251" s="122"/>
      <c r="L251" s="122"/>
      <c r="M251" s="122"/>
      <c r="N251" s="122"/>
      <c r="O251" s="122"/>
      <c r="P251" s="122"/>
      <c r="Q251" s="122"/>
      <c r="R251" s="122"/>
      <c r="S251" s="122" t="s">
        <v>243</v>
      </c>
      <c r="T251" s="154" t="s">
        <v>760</v>
      </c>
      <c r="U251" s="120">
        <f>П4ВСР!Z199</f>
        <v>915789.47</v>
      </c>
      <c r="V251" s="120">
        <v>0</v>
      </c>
      <c r="W251" s="120">
        <v>0</v>
      </c>
      <c r="X251" s="124"/>
    </row>
    <row r="252" spans="1:27" ht="143.25" customHeight="1" x14ac:dyDescent="0.25">
      <c r="A252" s="118" t="s">
        <v>344</v>
      </c>
      <c r="B252" s="119" t="s">
        <v>136</v>
      </c>
      <c r="C252" s="119" t="s">
        <v>129</v>
      </c>
      <c r="D252" s="134" t="s">
        <v>561</v>
      </c>
      <c r="E252" s="119"/>
      <c r="F252" s="119"/>
      <c r="G252" s="119"/>
      <c r="H252" s="119"/>
      <c r="I252" s="119"/>
      <c r="J252" s="119"/>
      <c r="K252" s="119"/>
      <c r="L252" s="119"/>
      <c r="M252" s="119"/>
      <c r="N252" s="119"/>
      <c r="O252" s="119"/>
      <c r="P252" s="119"/>
      <c r="Q252" s="119"/>
      <c r="R252" s="119"/>
      <c r="S252" s="119"/>
      <c r="T252" s="153" t="s">
        <v>1241</v>
      </c>
      <c r="U252" s="120">
        <f>U253</f>
        <v>10000</v>
      </c>
      <c r="V252" s="120">
        <f>V253</f>
        <v>50000</v>
      </c>
      <c r="W252" s="120">
        <f>W253</f>
        <v>50000</v>
      </c>
      <c r="X252" s="118" t="s">
        <v>344</v>
      </c>
    </row>
    <row r="253" spans="1:27" ht="48.75" customHeight="1" x14ac:dyDescent="0.25">
      <c r="A253" s="118" t="s">
        <v>345</v>
      </c>
      <c r="B253" s="122" t="s">
        <v>136</v>
      </c>
      <c r="C253" s="122" t="s">
        <v>129</v>
      </c>
      <c r="D253" s="134" t="s">
        <v>561</v>
      </c>
      <c r="E253" s="122"/>
      <c r="F253" s="122"/>
      <c r="G253" s="122"/>
      <c r="H253" s="122"/>
      <c r="I253" s="122"/>
      <c r="J253" s="122"/>
      <c r="K253" s="122"/>
      <c r="L253" s="122"/>
      <c r="M253" s="122"/>
      <c r="N253" s="122"/>
      <c r="O253" s="122"/>
      <c r="P253" s="122"/>
      <c r="Q253" s="122"/>
      <c r="R253" s="122"/>
      <c r="S253" s="122" t="s">
        <v>275</v>
      </c>
      <c r="T253" s="135" t="s">
        <v>565</v>
      </c>
      <c r="U253" s="120">
        <f>П4ВСР!Z202</f>
        <v>10000</v>
      </c>
      <c r="V253" s="120">
        <f>П4ВСР!AA202</f>
        <v>50000</v>
      </c>
      <c r="W253" s="120">
        <f>П4ВСР!AB202</f>
        <v>50000</v>
      </c>
      <c r="X253" s="118" t="s">
        <v>345</v>
      </c>
    </row>
    <row r="254" spans="1:27" ht="120.75" hidden="1" customHeight="1" x14ac:dyDescent="0.25">
      <c r="A254" s="118"/>
      <c r="B254" s="136" t="s">
        <v>136</v>
      </c>
      <c r="C254" s="136" t="s">
        <v>129</v>
      </c>
      <c r="D254" s="230" t="s">
        <v>873</v>
      </c>
      <c r="E254" s="136"/>
      <c r="F254" s="136"/>
      <c r="G254" s="136"/>
      <c r="H254" s="136"/>
      <c r="I254" s="136"/>
      <c r="J254" s="136"/>
      <c r="K254" s="136"/>
      <c r="L254" s="136"/>
      <c r="M254" s="136"/>
      <c r="N254" s="136"/>
      <c r="O254" s="136"/>
      <c r="P254" s="136"/>
      <c r="Q254" s="136"/>
      <c r="R254" s="136"/>
      <c r="S254" s="136"/>
      <c r="T254" s="135" t="s">
        <v>874</v>
      </c>
      <c r="U254" s="120">
        <f>U255</f>
        <v>0</v>
      </c>
      <c r="V254" s="120">
        <f t="shared" ref="V254:W254" si="10">V255</f>
        <v>0</v>
      </c>
      <c r="W254" s="120">
        <f t="shared" si="10"/>
        <v>0</v>
      </c>
      <c r="X254" s="118"/>
    </row>
    <row r="255" spans="1:27" ht="91.5" hidden="1" customHeight="1" x14ac:dyDescent="0.25">
      <c r="A255" s="118"/>
      <c r="B255" s="136" t="s">
        <v>136</v>
      </c>
      <c r="C255" s="136" t="s">
        <v>129</v>
      </c>
      <c r="D255" s="230" t="s">
        <v>873</v>
      </c>
      <c r="E255" s="136"/>
      <c r="F255" s="136"/>
      <c r="G255" s="136"/>
      <c r="H255" s="136"/>
      <c r="I255" s="136"/>
      <c r="J255" s="136"/>
      <c r="K255" s="136"/>
      <c r="L255" s="136"/>
      <c r="M255" s="136"/>
      <c r="N255" s="136"/>
      <c r="O255" s="136"/>
      <c r="P255" s="136"/>
      <c r="Q255" s="136"/>
      <c r="R255" s="136"/>
      <c r="S255" s="136" t="s">
        <v>275</v>
      </c>
      <c r="T255" s="135" t="s">
        <v>875</v>
      </c>
      <c r="U255" s="120">
        <f>П4ВСР!Z204</f>
        <v>0</v>
      </c>
      <c r="V255" s="120">
        <f>П4ВСР!AA204</f>
        <v>0</v>
      </c>
      <c r="W255" s="120">
        <f>П4ВСР!AB204</f>
        <v>0</v>
      </c>
      <c r="X255" s="118"/>
    </row>
    <row r="256" spans="1:27" ht="148.5" customHeight="1" x14ac:dyDescent="0.25">
      <c r="A256" s="118"/>
      <c r="B256" s="136" t="s">
        <v>136</v>
      </c>
      <c r="C256" s="136" t="s">
        <v>129</v>
      </c>
      <c r="D256" s="230" t="s">
        <v>1450</v>
      </c>
      <c r="E256" s="136"/>
      <c r="F256" s="136"/>
      <c r="G256" s="136"/>
      <c r="H256" s="136"/>
      <c r="I256" s="136"/>
      <c r="J256" s="136"/>
      <c r="K256" s="136"/>
      <c r="L256" s="136"/>
      <c r="M256" s="136"/>
      <c r="N256" s="136"/>
      <c r="O256" s="136"/>
      <c r="P256" s="136"/>
      <c r="Q256" s="136"/>
      <c r="R256" s="136"/>
      <c r="S256" s="136"/>
      <c r="T256" s="757" t="s">
        <v>1449</v>
      </c>
      <c r="U256" s="120">
        <f>U257</f>
        <v>0</v>
      </c>
      <c r="V256" s="120">
        <v>0</v>
      </c>
      <c r="W256" s="120">
        <v>0</v>
      </c>
      <c r="X256" s="118"/>
    </row>
    <row r="257" spans="1:24" ht="32.25" customHeight="1" x14ac:dyDescent="0.25">
      <c r="A257" s="118"/>
      <c r="B257" s="136" t="s">
        <v>136</v>
      </c>
      <c r="C257" s="136" t="s">
        <v>129</v>
      </c>
      <c r="D257" s="230" t="s">
        <v>1450</v>
      </c>
      <c r="E257" s="136"/>
      <c r="F257" s="136"/>
      <c r="G257" s="136"/>
      <c r="H257" s="136"/>
      <c r="I257" s="136"/>
      <c r="J257" s="136"/>
      <c r="K257" s="136"/>
      <c r="L257" s="136"/>
      <c r="M257" s="136"/>
      <c r="N257" s="136"/>
      <c r="O257" s="136"/>
      <c r="P257" s="136"/>
      <c r="Q257" s="136"/>
      <c r="R257" s="136"/>
      <c r="S257" s="136" t="s">
        <v>243</v>
      </c>
      <c r="T257" s="154" t="s">
        <v>760</v>
      </c>
      <c r="U257" s="120">
        <f>П4ВСР!Z205</f>
        <v>0</v>
      </c>
      <c r="V257" s="120">
        <v>0</v>
      </c>
      <c r="W257" s="120">
        <v>0</v>
      </c>
      <c r="X257" s="118"/>
    </row>
    <row r="258" spans="1:24" ht="165" customHeight="1" x14ac:dyDescent="0.25">
      <c r="A258" s="118"/>
      <c r="B258" s="136" t="s">
        <v>136</v>
      </c>
      <c r="C258" s="136" t="s">
        <v>129</v>
      </c>
      <c r="D258" s="230" t="s">
        <v>1452</v>
      </c>
      <c r="E258" s="136"/>
      <c r="F258" s="136"/>
      <c r="G258" s="136"/>
      <c r="H258" s="136"/>
      <c r="I258" s="136"/>
      <c r="J258" s="136"/>
      <c r="K258" s="136"/>
      <c r="L258" s="136"/>
      <c r="M258" s="136"/>
      <c r="N258" s="136"/>
      <c r="O258" s="136"/>
      <c r="P258" s="136"/>
      <c r="Q258" s="136"/>
      <c r="R258" s="136"/>
      <c r="S258" s="136"/>
      <c r="T258" s="254" t="s">
        <v>1451</v>
      </c>
      <c r="U258" s="120">
        <f>U259</f>
        <v>0</v>
      </c>
      <c r="V258" s="120">
        <v>0</v>
      </c>
      <c r="W258" s="120">
        <v>0</v>
      </c>
      <c r="X258" s="118"/>
    </row>
    <row r="259" spans="1:24" ht="32.25" customHeight="1" x14ac:dyDescent="0.25">
      <c r="A259" s="118"/>
      <c r="B259" s="136" t="s">
        <v>136</v>
      </c>
      <c r="C259" s="136" t="s">
        <v>129</v>
      </c>
      <c r="D259" s="230" t="s">
        <v>1452</v>
      </c>
      <c r="E259" s="136"/>
      <c r="F259" s="136"/>
      <c r="G259" s="136"/>
      <c r="H259" s="136"/>
      <c r="I259" s="136"/>
      <c r="J259" s="136"/>
      <c r="K259" s="136"/>
      <c r="L259" s="136"/>
      <c r="M259" s="136"/>
      <c r="N259" s="136"/>
      <c r="O259" s="136"/>
      <c r="P259" s="136"/>
      <c r="Q259" s="136"/>
      <c r="R259" s="136"/>
      <c r="S259" s="136" t="s">
        <v>243</v>
      </c>
      <c r="T259" s="154" t="s">
        <v>760</v>
      </c>
      <c r="U259" s="120">
        <f>П4ВСР!Z207</f>
        <v>0</v>
      </c>
      <c r="V259" s="120">
        <v>0</v>
      </c>
      <c r="W259" s="120">
        <v>0</v>
      </c>
      <c r="X259" s="118"/>
    </row>
    <row r="260" spans="1:24" ht="174" customHeight="1" x14ac:dyDescent="0.25">
      <c r="A260" s="118"/>
      <c r="B260" s="136" t="s">
        <v>136</v>
      </c>
      <c r="C260" s="136" t="s">
        <v>129</v>
      </c>
      <c r="D260" s="230" t="s">
        <v>1454</v>
      </c>
      <c r="E260" s="136"/>
      <c r="F260" s="136"/>
      <c r="G260" s="136"/>
      <c r="H260" s="136"/>
      <c r="I260" s="136"/>
      <c r="J260" s="136"/>
      <c r="K260" s="136"/>
      <c r="L260" s="136"/>
      <c r="M260" s="136"/>
      <c r="N260" s="136"/>
      <c r="O260" s="136"/>
      <c r="P260" s="136"/>
      <c r="Q260" s="136"/>
      <c r="R260" s="136"/>
      <c r="S260" s="136"/>
      <c r="T260" s="254" t="s">
        <v>1453</v>
      </c>
      <c r="U260" s="120">
        <f>U261</f>
        <v>0</v>
      </c>
      <c r="V260" s="120">
        <v>0</v>
      </c>
      <c r="W260" s="120">
        <v>0</v>
      </c>
      <c r="X260" s="118"/>
    </row>
    <row r="261" spans="1:24" ht="32.25" customHeight="1" x14ac:dyDescent="0.25">
      <c r="A261" s="118"/>
      <c r="B261" s="136" t="s">
        <v>136</v>
      </c>
      <c r="C261" s="136" t="s">
        <v>129</v>
      </c>
      <c r="D261" s="230" t="s">
        <v>1454</v>
      </c>
      <c r="E261" s="136"/>
      <c r="F261" s="136"/>
      <c r="G261" s="136"/>
      <c r="H261" s="136"/>
      <c r="I261" s="136"/>
      <c r="J261" s="136"/>
      <c r="K261" s="136"/>
      <c r="L261" s="136"/>
      <c r="M261" s="136"/>
      <c r="N261" s="136"/>
      <c r="O261" s="136"/>
      <c r="P261" s="136"/>
      <c r="Q261" s="136"/>
      <c r="R261" s="136"/>
      <c r="S261" s="136" t="s">
        <v>243</v>
      </c>
      <c r="T261" s="154" t="s">
        <v>760</v>
      </c>
      <c r="U261" s="120">
        <f>П4ВСР!Z209</f>
        <v>0</v>
      </c>
      <c r="V261" s="120">
        <v>0</v>
      </c>
      <c r="W261" s="120">
        <v>0</v>
      </c>
      <c r="X261" s="118"/>
    </row>
    <row r="262" spans="1:24" ht="151.5" customHeight="1" x14ac:dyDescent="0.25">
      <c r="A262" s="118"/>
      <c r="B262" s="136" t="s">
        <v>136</v>
      </c>
      <c r="C262" s="136" t="s">
        <v>129</v>
      </c>
      <c r="D262" s="230" t="s">
        <v>1456</v>
      </c>
      <c r="E262" s="136"/>
      <c r="F262" s="136"/>
      <c r="G262" s="136"/>
      <c r="H262" s="136"/>
      <c r="I262" s="136"/>
      <c r="J262" s="136"/>
      <c r="K262" s="136"/>
      <c r="L262" s="136"/>
      <c r="M262" s="136"/>
      <c r="N262" s="136"/>
      <c r="O262" s="136"/>
      <c r="P262" s="136"/>
      <c r="Q262" s="136"/>
      <c r="R262" s="136"/>
      <c r="S262" s="136"/>
      <c r="T262" s="254" t="s">
        <v>1455</v>
      </c>
      <c r="U262" s="120">
        <f>U263</f>
        <v>0</v>
      </c>
      <c r="V262" s="120">
        <v>0</v>
      </c>
      <c r="W262" s="120">
        <v>0</v>
      </c>
      <c r="X262" s="118"/>
    </row>
    <row r="263" spans="1:24" ht="32.25" customHeight="1" x14ac:dyDescent="0.25">
      <c r="A263" s="118"/>
      <c r="B263" s="136" t="s">
        <v>136</v>
      </c>
      <c r="C263" s="136" t="s">
        <v>129</v>
      </c>
      <c r="D263" s="230" t="s">
        <v>1456</v>
      </c>
      <c r="E263" s="136"/>
      <c r="F263" s="136"/>
      <c r="G263" s="136"/>
      <c r="H263" s="136"/>
      <c r="I263" s="136"/>
      <c r="J263" s="136"/>
      <c r="K263" s="136"/>
      <c r="L263" s="136"/>
      <c r="M263" s="136"/>
      <c r="N263" s="136"/>
      <c r="O263" s="136"/>
      <c r="P263" s="136"/>
      <c r="Q263" s="136"/>
      <c r="R263" s="136"/>
      <c r="S263" s="136" t="s">
        <v>243</v>
      </c>
      <c r="T263" s="154" t="s">
        <v>760</v>
      </c>
      <c r="U263" s="120">
        <f>П4ВСР!Z211</f>
        <v>0</v>
      </c>
      <c r="V263" s="120">
        <v>0</v>
      </c>
      <c r="W263" s="120">
        <v>0</v>
      </c>
      <c r="X263" s="118"/>
    </row>
    <row r="264" spans="1:24" ht="199.5" customHeight="1" x14ac:dyDescent="0.25">
      <c r="A264" s="118"/>
      <c r="B264" s="136" t="s">
        <v>136</v>
      </c>
      <c r="C264" s="136" t="s">
        <v>129</v>
      </c>
      <c r="D264" s="230" t="s">
        <v>1458</v>
      </c>
      <c r="E264" s="136"/>
      <c r="F264" s="136"/>
      <c r="G264" s="136"/>
      <c r="H264" s="136"/>
      <c r="I264" s="136"/>
      <c r="J264" s="136"/>
      <c r="K264" s="136"/>
      <c r="L264" s="136"/>
      <c r="M264" s="136"/>
      <c r="N264" s="136"/>
      <c r="O264" s="136"/>
      <c r="P264" s="136"/>
      <c r="Q264" s="136"/>
      <c r="R264" s="136"/>
      <c r="S264" s="136"/>
      <c r="T264" s="254" t="s">
        <v>1457</v>
      </c>
      <c r="U264" s="120">
        <f>U265</f>
        <v>0</v>
      </c>
      <c r="V264" s="120">
        <v>0</v>
      </c>
      <c r="W264" s="120">
        <v>0</v>
      </c>
      <c r="X264" s="118"/>
    </row>
    <row r="265" spans="1:24" ht="32.25" customHeight="1" x14ac:dyDescent="0.25">
      <c r="A265" s="118"/>
      <c r="B265" s="136" t="s">
        <v>136</v>
      </c>
      <c r="C265" s="136" t="s">
        <v>129</v>
      </c>
      <c r="D265" s="230" t="s">
        <v>1458</v>
      </c>
      <c r="E265" s="136"/>
      <c r="F265" s="136"/>
      <c r="G265" s="136"/>
      <c r="H265" s="136"/>
      <c r="I265" s="136"/>
      <c r="J265" s="136"/>
      <c r="K265" s="136"/>
      <c r="L265" s="136"/>
      <c r="M265" s="136"/>
      <c r="N265" s="136"/>
      <c r="O265" s="136"/>
      <c r="P265" s="136"/>
      <c r="Q265" s="136"/>
      <c r="R265" s="136"/>
      <c r="S265" s="136" t="s">
        <v>243</v>
      </c>
      <c r="T265" s="749" t="s">
        <v>760</v>
      </c>
      <c r="U265" s="120">
        <f>П4ВСР!Z213</f>
        <v>0</v>
      </c>
      <c r="V265" s="120">
        <v>0</v>
      </c>
      <c r="W265" s="120">
        <v>0</v>
      </c>
      <c r="X265" s="118"/>
    </row>
    <row r="266" spans="1:24" ht="195.75" customHeight="1" x14ac:dyDescent="0.25">
      <c r="A266" s="118"/>
      <c r="B266" s="136" t="s">
        <v>136</v>
      </c>
      <c r="C266" s="136" t="s">
        <v>129</v>
      </c>
      <c r="D266" s="230" t="s">
        <v>1460</v>
      </c>
      <c r="E266" s="136"/>
      <c r="F266" s="136"/>
      <c r="G266" s="136"/>
      <c r="H266" s="136"/>
      <c r="I266" s="136"/>
      <c r="J266" s="136"/>
      <c r="K266" s="136"/>
      <c r="L266" s="136"/>
      <c r="M266" s="136"/>
      <c r="N266" s="136"/>
      <c r="O266" s="136"/>
      <c r="P266" s="136"/>
      <c r="Q266" s="136"/>
      <c r="R266" s="136"/>
      <c r="S266" s="443"/>
      <c r="T266" s="891" t="s">
        <v>1459</v>
      </c>
      <c r="U266" s="180">
        <f>U267</f>
        <v>0</v>
      </c>
      <c r="V266" s="120">
        <v>0</v>
      </c>
      <c r="W266" s="120">
        <v>0</v>
      </c>
      <c r="X266" s="118"/>
    </row>
    <row r="267" spans="1:24" ht="32.25" customHeight="1" x14ac:dyDescent="0.25">
      <c r="A267" s="118"/>
      <c r="B267" s="136" t="s">
        <v>136</v>
      </c>
      <c r="C267" s="136" t="s">
        <v>129</v>
      </c>
      <c r="D267" s="230" t="s">
        <v>1460</v>
      </c>
      <c r="E267" s="136"/>
      <c r="F267" s="136"/>
      <c r="G267" s="136"/>
      <c r="H267" s="136"/>
      <c r="I267" s="136"/>
      <c r="J267" s="136"/>
      <c r="K267" s="136"/>
      <c r="L267" s="136"/>
      <c r="M267" s="136"/>
      <c r="N267" s="136"/>
      <c r="O267" s="136"/>
      <c r="P267" s="136"/>
      <c r="Q267" s="136"/>
      <c r="R267" s="136"/>
      <c r="S267" s="136" t="s">
        <v>243</v>
      </c>
      <c r="T267" s="890" t="s">
        <v>760</v>
      </c>
      <c r="U267" s="120">
        <f>П4ВСР!Z215</f>
        <v>0</v>
      </c>
      <c r="V267" s="120">
        <v>0</v>
      </c>
      <c r="W267" s="120">
        <v>0</v>
      </c>
      <c r="X267" s="118"/>
    </row>
    <row r="268" spans="1:24" ht="37.5" customHeight="1" x14ac:dyDescent="0.25">
      <c r="A268" s="116" t="s">
        <v>347</v>
      </c>
      <c r="B268" s="126" t="s">
        <v>124</v>
      </c>
      <c r="C268" s="126" t="s">
        <v>133</v>
      </c>
      <c r="D268" s="126"/>
      <c r="E268" s="126"/>
      <c r="F268" s="126"/>
      <c r="G268" s="126"/>
      <c r="H268" s="126"/>
      <c r="I268" s="126"/>
      <c r="J268" s="126"/>
      <c r="K268" s="126"/>
      <c r="L268" s="126"/>
      <c r="M268" s="126"/>
      <c r="N268" s="126"/>
      <c r="O268" s="126"/>
      <c r="P268" s="126"/>
      <c r="Q268" s="126"/>
      <c r="R268" s="126"/>
      <c r="S268" s="126"/>
      <c r="T268" s="116" t="s">
        <v>347</v>
      </c>
      <c r="U268" s="117">
        <f>U269+U290+U305</f>
        <v>178378428.91</v>
      </c>
      <c r="V268" s="117">
        <f>V269+V290+V305</f>
        <v>71599041.829999998</v>
      </c>
      <c r="W268" s="117">
        <f>W269+W290+W305</f>
        <v>71599041.829999998</v>
      </c>
      <c r="X268" s="116" t="s">
        <v>347</v>
      </c>
    </row>
    <row r="269" spans="1:24" ht="26.25" customHeight="1" x14ac:dyDescent="0.25">
      <c r="A269" s="118" t="s">
        <v>150</v>
      </c>
      <c r="B269" s="119" t="s">
        <v>124</v>
      </c>
      <c r="C269" s="119" t="s">
        <v>122</v>
      </c>
      <c r="D269" s="119"/>
      <c r="E269" s="119"/>
      <c r="F269" s="119"/>
      <c r="G269" s="119"/>
      <c r="H269" s="119"/>
      <c r="I269" s="119"/>
      <c r="J269" s="119"/>
      <c r="K269" s="119"/>
      <c r="L269" s="119"/>
      <c r="M269" s="119"/>
      <c r="N269" s="119"/>
      <c r="O269" s="119"/>
      <c r="P269" s="119"/>
      <c r="Q269" s="119"/>
      <c r="R269" s="119"/>
      <c r="S269" s="119"/>
      <c r="T269" s="118" t="s">
        <v>150</v>
      </c>
      <c r="U269" s="120">
        <f>U272+U274+U284+U270+U282+U276+U278+U286</f>
        <v>40378917.469999999</v>
      </c>
      <c r="V269" s="120">
        <f>V272+V274+V284+V270+V282+V280+V288</f>
        <v>10000000</v>
      </c>
      <c r="W269" s="120">
        <f>W272+W274+W284+W270+W282+W280+W288</f>
        <v>10000000</v>
      </c>
      <c r="X269" s="118" t="s">
        <v>150</v>
      </c>
    </row>
    <row r="270" spans="1:24" ht="0.75" customHeight="1" x14ac:dyDescent="0.25">
      <c r="A270" s="118"/>
      <c r="B270" s="166" t="s">
        <v>124</v>
      </c>
      <c r="C270" s="166" t="s">
        <v>122</v>
      </c>
      <c r="D270" s="161" t="s">
        <v>736</v>
      </c>
      <c r="E270" s="119"/>
      <c r="F270" s="119"/>
      <c r="G270" s="119"/>
      <c r="H270" s="119"/>
      <c r="I270" s="119"/>
      <c r="J270" s="119"/>
      <c r="K270" s="119"/>
      <c r="L270" s="119"/>
      <c r="M270" s="119"/>
      <c r="N270" s="119"/>
      <c r="O270" s="119"/>
      <c r="P270" s="119"/>
      <c r="Q270" s="119"/>
      <c r="R270" s="119"/>
      <c r="S270" s="119"/>
      <c r="T270" s="285" t="s">
        <v>734</v>
      </c>
      <c r="U270" s="120">
        <f>U271</f>
        <v>0</v>
      </c>
      <c r="V270" s="120">
        <f>V271</f>
        <v>0</v>
      </c>
      <c r="W270" s="120">
        <f>W271</f>
        <v>0</v>
      </c>
      <c r="X270" s="118"/>
    </row>
    <row r="271" spans="1:24" ht="41.25" hidden="1" customHeight="1" x14ac:dyDescent="0.25">
      <c r="A271" s="118"/>
      <c r="B271" s="166" t="s">
        <v>124</v>
      </c>
      <c r="C271" s="166" t="s">
        <v>122</v>
      </c>
      <c r="D271" s="161" t="s">
        <v>736</v>
      </c>
      <c r="E271" s="119"/>
      <c r="F271" s="119"/>
      <c r="G271" s="119"/>
      <c r="H271" s="119"/>
      <c r="I271" s="119"/>
      <c r="J271" s="119"/>
      <c r="K271" s="119"/>
      <c r="L271" s="119"/>
      <c r="M271" s="119"/>
      <c r="N271" s="119"/>
      <c r="O271" s="119"/>
      <c r="P271" s="119"/>
      <c r="Q271" s="119"/>
      <c r="R271" s="119"/>
      <c r="S271" s="166" t="s">
        <v>275</v>
      </c>
      <c r="T271" s="153" t="s">
        <v>735</v>
      </c>
      <c r="U271" s="120">
        <f>П4ВСР!Z220</f>
        <v>0</v>
      </c>
      <c r="V271" s="120">
        <f>П4ВСР!AA220</f>
        <v>0</v>
      </c>
      <c r="W271" s="120">
        <f>П4ВСР!AB220</f>
        <v>0</v>
      </c>
      <c r="X271" s="118"/>
    </row>
    <row r="272" spans="1:24" ht="60.75" hidden="1" customHeight="1" x14ac:dyDescent="0.25">
      <c r="A272" s="118" t="s">
        <v>348</v>
      </c>
      <c r="B272" s="119" t="s">
        <v>124</v>
      </c>
      <c r="C272" s="119" t="s">
        <v>122</v>
      </c>
      <c r="D272" s="161" t="s">
        <v>736</v>
      </c>
      <c r="E272" s="119"/>
      <c r="F272" s="119"/>
      <c r="G272" s="119"/>
      <c r="H272" s="119"/>
      <c r="I272" s="119"/>
      <c r="J272" s="119"/>
      <c r="K272" s="119"/>
      <c r="L272" s="119"/>
      <c r="M272" s="119"/>
      <c r="N272" s="119"/>
      <c r="O272" s="119"/>
      <c r="P272" s="119"/>
      <c r="Q272" s="119"/>
      <c r="R272" s="119"/>
      <c r="S272" s="119"/>
      <c r="T272" s="467" t="s">
        <v>734</v>
      </c>
      <c r="U272" s="120">
        <f>U273</f>
        <v>0</v>
      </c>
      <c r="V272" s="120">
        <f>V273</f>
        <v>0</v>
      </c>
      <c r="W272" s="120">
        <f>W273</f>
        <v>0</v>
      </c>
      <c r="X272" s="118" t="s">
        <v>348</v>
      </c>
    </row>
    <row r="273" spans="1:24" ht="68.25" hidden="1" customHeight="1" x14ac:dyDescent="0.25">
      <c r="A273" s="118" t="s">
        <v>349</v>
      </c>
      <c r="B273" s="122" t="s">
        <v>124</v>
      </c>
      <c r="C273" s="255" t="s">
        <v>122</v>
      </c>
      <c r="D273" s="161" t="s">
        <v>736</v>
      </c>
      <c r="E273" s="258"/>
      <c r="F273" s="122"/>
      <c r="G273" s="122"/>
      <c r="H273" s="122"/>
      <c r="I273" s="122"/>
      <c r="J273" s="122"/>
      <c r="K273" s="122"/>
      <c r="L273" s="122"/>
      <c r="M273" s="122"/>
      <c r="N273" s="122"/>
      <c r="O273" s="122"/>
      <c r="P273" s="122"/>
      <c r="Q273" s="122"/>
      <c r="R273" s="122"/>
      <c r="S273" s="122" t="s">
        <v>427</v>
      </c>
      <c r="T273" s="291" t="s">
        <v>770</v>
      </c>
      <c r="U273" s="120">
        <f>П4ВСР!Z466</f>
        <v>0</v>
      </c>
      <c r="V273" s="120">
        <f>П4ВСР!AA222</f>
        <v>0</v>
      </c>
      <c r="W273" s="120">
        <f>П4ВСР!AB222</f>
        <v>0</v>
      </c>
      <c r="X273" s="118" t="s">
        <v>349</v>
      </c>
    </row>
    <row r="274" spans="1:24" ht="43.5" hidden="1" customHeight="1" x14ac:dyDescent="0.25">
      <c r="A274" s="118"/>
      <c r="B274" s="148" t="s">
        <v>124</v>
      </c>
      <c r="C274" s="256" t="s">
        <v>122</v>
      </c>
      <c r="D274" s="233" t="s">
        <v>983</v>
      </c>
      <c r="E274" s="259"/>
      <c r="F274" s="148"/>
      <c r="G274" s="148"/>
      <c r="H274" s="148"/>
      <c r="I274" s="148"/>
      <c r="J274" s="148"/>
      <c r="K274" s="148"/>
      <c r="L274" s="148"/>
      <c r="M274" s="148"/>
      <c r="N274" s="148"/>
      <c r="O274" s="148"/>
      <c r="P274" s="148"/>
      <c r="Q274" s="148"/>
      <c r="R274" s="148"/>
      <c r="S274" s="148"/>
      <c r="T274" s="467" t="s">
        <v>734</v>
      </c>
      <c r="U274" s="120">
        <f>U275</f>
        <v>0</v>
      </c>
      <c r="V274" s="120">
        <f>V275</f>
        <v>0</v>
      </c>
      <c r="W274" s="120">
        <f>W275</f>
        <v>0</v>
      </c>
      <c r="X274" s="118"/>
    </row>
    <row r="275" spans="1:24" ht="87" hidden="1" customHeight="1" x14ac:dyDescent="0.25">
      <c r="A275" s="118"/>
      <c r="B275" s="541" t="s">
        <v>124</v>
      </c>
      <c r="C275" s="542" t="s">
        <v>122</v>
      </c>
      <c r="D275" s="543" t="s">
        <v>983</v>
      </c>
      <c r="E275" s="544"/>
      <c r="F275" s="541"/>
      <c r="G275" s="541"/>
      <c r="H275" s="541"/>
      <c r="I275" s="541"/>
      <c r="J275" s="541"/>
      <c r="K275" s="541"/>
      <c r="L275" s="541"/>
      <c r="M275" s="541"/>
      <c r="N275" s="541"/>
      <c r="O275" s="541"/>
      <c r="P275" s="541"/>
      <c r="Q275" s="541"/>
      <c r="R275" s="541"/>
      <c r="S275" s="541" t="s">
        <v>275</v>
      </c>
      <c r="T275" s="540" t="s">
        <v>735</v>
      </c>
      <c r="U275" s="120">
        <f>П4ВСР!Z224</f>
        <v>0</v>
      </c>
      <c r="V275" s="120">
        <f>П4ВСР!AA224</f>
        <v>0</v>
      </c>
      <c r="W275" s="120">
        <f>П4ВСР!AB224</f>
        <v>0</v>
      </c>
      <c r="X275" s="118"/>
    </row>
    <row r="276" spans="1:24" ht="153" customHeight="1" x14ac:dyDescent="0.25">
      <c r="A276" s="179"/>
      <c r="B276" s="541" t="s">
        <v>124</v>
      </c>
      <c r="C276" s="542" t="s">
        <v>122</v>
      </c>
      <c r="D276" s="543" t="s">
        <v>1041</v>
      </c>
      <c r="E276" s="146"/>
      <c r="F276" s="146"/>
      <c r="G276" s="146"/>
      <c r="H276" s="146"/>
      <c r="I276" s="146"/>
      <c r="J276" s="146"/>
      <c r="K276" s="146"/>
      <c r="L276" s="146"/>
      <c r="M276" s="146"/>
      <c r="N276" s="146"/>
      <c r="O276" s="146"/>
      <c r="P276" s="146"/>
      <c r="Q276" s="146"/>
      <c r="R276" s="146"/>
      <c r="S276" s="146"/>
      <c r="T276" s="153" t="s">
        <v>1513</v>
      </c>
      <c r="U276" s="180">
        <f>U277</f>
        <v>183013.83000000002</v>
      </c>
      <c r="V276" s="120">
        <v>0</v>
      </c>
      <c r="W276" s="120">
        <v>0</v>
      </c>
      <c r="X276" s="118"/>
    </row>
    <row r="277" spans="1:24" ht="50.25" customHeight="1" x14ac:dyDescent="0.25">
      <c r="A277" s="179"/>
      <c r="B277" s="148" t="s">
        <v>124</v>
      </c>
      <c r="C277" s="148" t="s">
        <v>122</v>
      </c>
      <c r="D277" s="233" t="s">
        <v>1041</v>
      </c>
      <c r="E277" s="146"/>
      <c r="F277" s="146"/>
      <c r="G277" s="146"/>
      <c r="H277" s="146"/>
      <c r="I277" s="146"/>
      <c r="J277" s="146"/>
      <c r="K277" s="146"/>
      <c r="L277" s="146"/>
      <c r="M277" s="146"/>
      <c r="N277" s="146"/>
      <c r="O277" s="146"/>
      <c r="P277" s="146"/>
      <c r="Q277" s="146"/>
      <c r="R277" s="146"/>
      <c r="S277" s="146" t="s">
        <v>275</v>
      </c>
      <c r="T277" s="539" t="s">
        <v>565</v>
      </c>
      <c r="U277" s="180">
        <f>П4ВСР!Z222</f>
        <v>183013.83000000002</v>
      </c>
      <c r="V277" s="120">
        <v>0</v>
      </c>
      <c r="W277" s="120">
        <v>0</v>
      </c>
      <c r="X277" s="118"/>
    </row>
    <row r="278" spans="1:24" ht="0.75" hidden="1" customHeight="1" x14ac:dyDescent="0.25">
      <c r="A278" s="179"/>
      <c r="B278" s="541" t="s">
        <v>124</v>
      </c>
      <c r="C278" s="542" t="s">
        <v>122</v>
      </c>
      <c r="D278" s="543" t="s">
        <v>1041</v>
      </c>
      <c r="E278" s="146"/>
      <c r="F278" s="146"/>
      <c r="G278" s="146"/>
      <c r="H278" s="146"/>
      <c r="I278" s="146"/>
      <c r="J278" s="146"/>
      <c r="K278" s="146"/>
      <c r="L278" s="146"/>
      <c r="M278" s="146"/>
      <c r="N278" s="146"/>
      <c r="O278" s="146"/>
      <c r="P278" s="146"/>
      <c r="Q278" s="146"/>
      <c r="R278" s="146"/>
      <c r="S278" s="146"/>
      <c r="T278" s="550" t="s">
        <v>1040</v>
      </c>
      <c r="U278" s="180">
        <f>U279</f>
        <v>2751868.86</v>
      </c>
      <c r="V278" s="120">
        <v>0</v>
      </c>
      <c r="W278" s="120">
        <v>0</v>
      </c>
      <c r="X278" s="118"/>
    </row>
    <row r="279" spans="1:24" ht="43.5" hidden="1" customHeight="1" x14ac:dyDescent="0.25">
      <c r="A279" s="179"/>
      <c r="B279" s="148" t="s">
        <v>124</v>
      </c>
      <c r="C279" s="148" t="s">
        <v>122</v>
      </c>
      <c r="D279" s="233" t="s">
        <v>1041</v>
      </c>
      <c r="E279" s="146"/>
      <c r="F279" s="146"/>
      <c r="G279" s="146"/>
      <c r="H279" s="146"/>
      <c r="I279" s="146"/>
      <c r="J279" s="146"/>
      <c r="K279" s="146"/>
      <c r="L279" s="146"/>
      <c r="M279" s="146"/>
      <c r="N279" s="146"/>
      <c r="O279" s="146"/>
      <c r="P279" s="146"/>
      <c r="Q279" s="146"/>
      <c r="R279" s="146"/>
      <c r="S279" s="146" t="s">
        <v>427</v>
      </c>
      <c r="T279" s="584" t="s">
        <v>770</v>
      </c>
      <c r="U279" s="180">
        <f>П4ВСР!Z475</f>
        <v>2751868.86</v>
      </c>
      <c r="V279" s="120">
        <v>0</v>
      </c>
      <c r="W279" s="120">
        <v>0</v>
      </c>
      <c r="X279" s="118"/>
    </row>
    <row r="280" spans="1:24" ht="200.25" hidden="1" customHeight="1" x14ac:dyDescent="0.25">
      <c r="A280" s="179"/>
      <c r="B280" s="148"/>
      <c r="C280" s="148"/>
      <c r="D280" s="230"/>
      <c r="E280" s="146"/>
      <c r="F280" s="146"/>
      <c r="G280" s="146"/>
      <c r="H280" s="146"/>
      <c r="I280" s="146"/>
      <c r="J280" s="146"/>
      <c r="K280" s="146"/>
      <c r="L280" s="146"/>
      <c r="M280" s="146"/>
      <c r="N280" s="146"/>
      <c r="O280" s="146"/>
      <c r="P280" s="146"/>
      <c r="Q280" s="146"/>
      <c r="R280" s="146"/>
      <c r="S280" s="146"/>
      <c r="T280" s="155"/>
      <c r="U280" s="180"/>
      <c r="V280" s="120"/>
      <c r="W280" s="120"/>
      <c r="X280" s="118"/>
    </row>
    <row r="281" spans="1:24" ht="75" hidden="1" customHeight="1" x14ac:dyDescent="0.25">
      <c r="A281" s="179"/>
      <c r="B281" s="148"/>
      <c r="C281" s="148"/>
      <c r="D281" s="230"/>
      <c r="E281" s="146"/>
      <c r="F281" s="146"/>
      <c r="G281" s="146"/>
      <c r="H281" s="146"/>
      <c r="I281" s="146"/>
      <c r="J281" s="146"/>
      <c r="K281" s="146"/>
      <c r="L281" s="146"/>
      <c r="M281" s="146"/>
      <c r="N281" s="146"/>
      <c r="O281" s="146"/>
      <c r="P281" s="146"/>
      <c r="Q281" s="146"/>
      <c r="R281" s="146"/>
      <c r="S281" s="146"/>
      <c r="T281" s="583"/>
      <c r="U281" s="180"/>
      <c r="V281" s="120"/>
      <c r="W281" s="120"/>
      <c r="X281" s="118"/>
    </row>
    <row r="282" spans="1:24" ht="202.5" customHeight="1" x14ac:dyDescent="0.25">
      <c r="A282" s="179"/>
      <c r="B282" s="549" t="s">
        <v>124</v>
      </c>
      <c r="C282" s="549" t="s">
        <v>122</v>
      </c>
      <c r="D282" s="233" t="s">
        <v>564</v>
      </c>
      <c r="E282" s="549"/>
      <c r="F282" s="549"/>
      <c r="G282" s="549"/>
      <c r="H282" s="549"/>
      <c r="I282" s="549"/>
      <c r="J282" s="549"/>
      <c r="K282" s="549"/>
      <c r="L282" s="549"/>
      <c r="M282" s="549"/>
      <c r="N282" s="549"/>
      <c r="O282" s="549"/>
      <c r="P282" s="549"/>
      <c r="Q282" s="549"/>
      <c r="R282" s="549"/>
      <c r="S282" s="549"/>
      <c r="T282" s="545" t="s">
        <v>1399</v>
      </c>
      <c r="U282" s="180">
        <f>U283</f>
        <v>12311198.02</v>
      </c>
      <c r="V282" s="120">
        <f>V283</f>
        <v>0</v>
      </c>
      <c r="W282" s="120">
        <f>W283</f>
        <v>0</v>
      </c>
      <c r="X282" s="118"/>
    </row>
    <row r="283" spans="1:24" ht="80.25" customHeight="1" x14ac:dyDescent="0.25">
      <c r="A283" s="118"/>
      <c r="B283" s="519" t="s">
        <v>124</v>
      </c>
      <c r="C283" s="546" t="s">
        <v>122</v>
      </c>
      <c r="D283" s="547" t="s">
        <v>564</v>
      </c>
      <c r="E283" s="548"/>
      <c r="F283" s="519"/>
      <c r="G283" s="519"/>
      <c r="H283" s="519"/>
      <c r="I283" s="519"/>
      <c r="J283" s="519"/>
      <c r="K283" s="519"/>
      <c r="L283" s="519"/>
      <c r="M283" s="519"/>
      <c r="N283" s="519"/>
      <c r="O283" s="519"/>
      <c r="P283" s="519"/>
      <c r="Q283" s="519"/>
      <c r="R283" s="519"/>
      <c r="S283" s="546" t="s">
        <v>350</v>
      </c>
      <c r="T283" s="260" t="s">
        <v>757</v>
      </c>
      <c r="U283" s="180">
        <f>П4ВСР!Z226</f>
        <v>12311198.02</v>
      </c>
      <c r="V283" s="180">
        <f>П4ВСР!AA226</f>
        <v>0</v>
      </c>
      <c r="W283" s="180">
        <f>П4ВСР!AB226</f>
        <v>0</v>
      </c>
      <c r="X283" s="118"/>
    </row>
    <row r="284" spans="1:24" ht="253.5" customHeight="1" x14ac:dyDescent="0.25">
      <c r="A284" s="118"/>
      <c r="B284" s="149" t="s">
        <v>124</v>
      </c>
      <c r="C284" s="257" t="s">
        <v>122</v>
      </c>
      <c r="D284" s="233" t="s">
        <v>1435</v>
      </c>
      <c r="E284" s="150"/>
      <c r="F284" s="151"/>
      <c r="G284" s="151"/>
      <c r="H284" s="151"/>
      <c r="I284" s="151"/>
      <c r="J284" s="151"/>
      <c r="K284" s="151"/>
      <c r="L284" s="151"/>
      <c r="M284" s="151"/>
      <c r="N284" s="151"/>
      <c r="O284" s="151"/>
      <c r="P284" s="151"/>
      <c r="Q284" s="151"/>
      <c r="R284" s="151"/>
      <c r="S284" s="234"/>
      <c r="T284" s="753" t="s">
        <v>1434</v>
      </c>
      <c r="U284" s="180">
        <f>U285</f>
        <v>0</v>
      </c>
      <c r="V284" s="120">
        <f>V285</f>
        <v>0</v>
      </c>
      <c r="W284" s="120">
        <f>W285</f>
        <v>0</v>
      </c>
      <c r="X284" s="118"/>
    </row>
    <row r="285" spans="1:24" ht="66" customHeight="1" x14ac:dyDescent="0.25">
      <c r="A285" s="118"/>
      <c r="B285" s="541" t="s">
        <v>124</v>
      </c>
      <c r="C285" s="745" t="s">
        <v>122</v>
      </c>
      <c r="D285" s="543" t="s">
        <v>1435</v>
      </c>
      <c r="E285" s="746"/>
      <c r="F285" s="746"/>
      <c r="G285" s="746"/>
      <c r="H285" s="746"/>
      <c r="I285" s="746"/>
      <c r="J285" s="746"/>
      <c r="K285" s="746"/>
      <c r="L285" s="746"/>
      <c r="M285" s="746"/>
      <c r="N285" s="746"/>
      <c r="O285" s="746"/>
      <c r="P285" s="746"/>
      <c r="Q285" s="746"/>
      <c r="R285" s="746"/>
      <c r="S285" s="746" t="s">
        <v>350</v>
      </c>
      <c r="T285" s="895" t="s">
        <v>757</v>
      </c>
      <c r="U285" s="747">
        <f>П4ВСР!Z227</f>
        <v>0</v>
      </c>
      <c r="V285" s="747">
        <f>П4ВСР!AA234</f>
        <v>0</v>
      </c>
      <c r="W285" s="747">
        <f>П4ВСР!AB234</f>
        <v>0</v>
      </c>
      <c r="X285" s="118"/>
    </row>
    <row r="286" spans="1:24" ht="243" customHeight="1" x14ac:dyDescent="0.25">
      <c r="A286" s="179"/>
      <c r="B286" s="148" t="s">
        <v>124</v>
      </c>
      <c r="C286" s="148" t="s">
        <v>122</v>
      </c>
      <c r="D286" s="233" t="s">
        <v>756</v>
      </c>
      <c r="E286" s="837"/>
      <c r="F286" s="837"/>
      <c r="G286" s="837"/>
      <c r="H286" s="837"/>
      <c r="I286" s="837"/>
      <c r="J286" s="837"/>
      <c r="K286" s="837"/>
      <c r="L286" s="837"/>
      <c r="M286" s="837"/>
      <c r="N286" s="837"/>
      <c r="O286" s="837"/>
      <c r="P286" s="837"/>
      <c r="Q286" s="837"/>
      <c r="R286" s="837"/>
      <c r="S286" s="837"/>
      <c r="T286" s="885" t="s">
        <v>1434</v>
      </c>
      <c r="U286" s="516">
        <f>U287</f>
        <v>25132836.760000002</v>
      </c>
      <c r="V286" s="516">
        <v>0</v>
      </c>
      <c r="W286" s="516">
        <v>0</v>
      </c>
      <c r="X286" s="744"/>
    </row>
    <row r="287" spans="1:24" ht="66" customHeight="1" x14ac:dyDescent="0.25">
      <c r="A287" s="179"/>
      <c r="B287" s="148" t="s">
        <v>124</v>
      </c>
      <c r="C287" s="148" t="s">
        <v>122</v>
      </c>
      <c r="D287" s="233" t="s">
        <v>756</v>
      </c>
      <c r="E287" s="837"/>
      <c r="F287" s="837"/>
      <c r="G287" s="837"/>
      <c r="H287" s="837"/>
      <c r="I287" s="837"/>
      <c r="J287" s="837"/>
      <c r="K287" s="837"/>
      <c r="L287" s="837"/>
      <c r="M287" s="837"/>
      <c r="N287" s="837"/>
      <c r="O287" s="837"/>
      <c r="P287" s="837"/>
      <c r="Q287" s="837"/>
      <c r="R287" s="837"/>
      <c r="S287" s="837" t="s">
        <v>350</v>
      </c>
      <c r="T287" s="894" t="s">
        <v>757</v>
      </c>
      <c r="U287" s="516">
        <f>П4ВСР!Z229</f>
        <v>25132836.760000002</v>
      </c>
      <c r="V287" s="516">
        <v>0</v>
      </c>
      <c r="W287" s="516">
        <v>0</v>
      </c>
      <c r="X287" s="744"/>
    </row>
    <row r="288" spans="1:24" ht="185.25" customHeight="1" x14ac:dyDescent="0.25">
      <c r="A288" s="179"/>
      <c r="B288" s="148" t="s">
        <v>124</v>
      </c>
      <c r="C288" s="148" t="s">
        <v>122</v>
      </c>
      <c r="D288" s="233" t="s">
        <v>1094</v>
      </c>
      <c r="E288" s="146"/>
      <c r="F288" s="146"/>
      <c r="G288" s="146"/>
      <c r="H288" s="146"/>
      <c r="I288" s="146"/>
      <c r="J288" s="146"/>
      <c r="K288" s="146"/>
      <c r="L288" s="146"/>
      <c r="M288" s="146"/>
      <c r="N288" s="146"/>
      <c r="O288" s="146"/>
      <c r="P288" s="146"/>
      <c r="Q288" s="146"/>
      <c r="R288" s="146"/>
      <c r="S288" s="146"/>
      <c r="T288" s="748" t="s">
        <v>1329</v>
      </c>
      <c r="U288" s="516">
        <v>0</v>
      </c>
      <c r="V288" s="516">
        <f>V289</f>
        <v>10000000</v>
      </c>
      <c r="W288" s="516">
        <f>П4ВСР!AB231</f>
        <v>10000000</v>
      </c>
      <c r="X288" s="744"/>
    </row>
    <row r="289" spans="1:27" ht="66" customHeight="1" x14ac:dyDescent="0.25">
      <c r="A289" s="179"/>
      <c r="B289" s="148" t="s">
        <v>124</v>
      </c>
      <c r="C289" s="148" t="s">
        <v>122</v>
      </c>
      <c r="D289" s="233" t="s">
        <v>1094</v>
      </c>
      <c r="E289" s="146"/>
      <c r="F289" s="146"/>
      <c r="G289" s="146"/>
      <c r="H289" s="146"/>
      <c r="I289" s="146"/>
      <c r="J289" s="146"/>
      <c r="K289" s="146"/>
      <c r="L289" s="146"/>
      <c r="M289" s="146"/>
      <c r="N289" s="146"/>
      <c r="O289" s="146"/>
      <c r="P289" s="146"/>
      <c r="Q289" s="146"/>
      <c r="R289" s="146"/>
      <c r="S289" s="146" t="s">
        <v>350</v>
      </c>
      <c r="T289" s="583" t="s">
        <v>757</v>
      </c>
      <c r="U289" s="516">
        <f>П4ВСР!Z231</f>
        <v>0</v>
      </c>
      <c r="V289" s="516">
        <f>П4ВСР!AA231</f>
        <v>10000000</v>
      </c>
      <c r="W289" s="516">
        <f>П4ВСР!AB237</f>
        <v>0</v>
      </c>
      <c r="X289" s="744"/>
    </row>
    <row r="290" spans="1:27" ht="18.600000000000001" customHeight="1" x14ac:dyDescent="0.25">
      <c r="A290" s="118" t="s">
        <v>151</v>
      </c>
      <c r="B290" s="514" t="s">
        <v>124</v>
      </c>
      <c r="C290" s="514" t="s">
        <v>132</v>
      </c>
      <c r="D290" s="514"/>
      <c r="E290" s="514"/>
      <c r="F290" s="514"/>
      <c r="G290" s="514"/>
      <c r="H290" s="514"/>
      <c r="I290" s="514"/>
      <c r="J290" s="514"/>
      <c r="K290" s="514"/>
      <c r="L290" s="514"/>
      <c r="M290" s="514"/>
      <c r="N290" s="514"/>
      <c r="O290" s="514"/>
      <c r="P290" s="514"/>
      <c r="Q290" s="514"/>
      <c r="R290" s="514"/>
      <c r="S290" s="514"/>
      <c r="T290" s="494" t="s">
        <v>151</v>
      </c>
      <c r="U290" s="515">
        <f>U291+U293+U301+U295+U299+U297+U303</f>
        <v>126208908.52</v>
      </c>
      <c r="V290" s="515">
        <f>V291+V293+V301+V295</f>
        <v>61149041.829999998</v>
      </c>
      <c r="W290" s="515">
        <f>W291+W293+W301+W295</f>
        <v>61149041.829999998</v>
      </c>
      <c r="X290" s="118" t="s">
        <v>151</v>
      </c>
    </row>
    <row r="291" spans="1:27" ht="117" hidden="1" customHeight="1" x14ac:dyDescent="0.25">
      <c r="A291" s="118"/>
      <c r="B291" s="134" t="s">
        <v>124</v>
      </c>
      <c r="C291" s="134" t="s">
        <v>132</v>
      </c>
      <c r="D291" s="134" t="s">
        <v>563</v>
      </c>
      <c r="E291" s="134"/>
      <c r="F291" s="134"/>
      <c r="G291" s="134"/>
      <c r="H291" s="134"/>
      <c r="I291" s="134"/>
      <c r="J291" s="134"/>
      <c r="K291" s="134"/>
      <c r="L291" s="134"/>
      <c r="M291" s="134"/>
      <c r="N291" s="134"/>
      <c r="O291" s="134"/>
      <c r="P291" s="134"/>
      <c r="Q291" s="134"/>
      <c r="R291" s="134"/>
      <c r="S291" s="134"/>
      <c r="T291" s="153" t="s">
        <v>562</v>
      </c>
      <c r="U291" s="120">
        <f>U292</f>
        <v>0</v>
      </c>
      <c r="V291" s="120">
        <f>V292</f>
        <v>0</v>
      </c>
      <c r="W291" s="120">
        <f>W292</f>
        <v>0</v>
      </c>
      <c r="X291" s="118"/>
    </row>
    <row r="292" spans="1:27" ht="81" hidden="1" customHeight="1" x14ac:dyDescent="0.25">
      <c r="A292" s="118"/>
      <c r="B292" s="134" t="s">
        <v>124</v>
      </c>
      <c r="C292" s="134" t="s">
        <v>132</v>
      </c>
      <c r="D292" s="134" t="s">
        <v>563</v>
      </c>
      <c r="E292" s="134"/>
      <c r="F292" s="134"/>
      <c r="G292" s="134"/>
      <c r="H292" s="134"/>
      <c r="I292" s="134"/>
      <c r="J292" s="134"/>
      <c r="K292" s="134"/>
      <c r="L292" s="134"/>
      <c r="M292" s="134"/>
      <c r="N292" s="134"/>
      <c r="O292" s="134"/>
      <c r="P292" s="134"/>
      <c r="Q292" s="134"/>
      <c r="R292" s="134"/>
      <c r="S292" s="134" t="s">
        <v>275</v>
      </c>
      <c r="T292" s="135" t="s">
        <v>346</v>
      </c>
      <c r="U292" s="120">
        <f>П4ВСР!Z237</f>
        <v>0</v>
      </c>
      <c r="V292" s="120">
        <f>П4ВСР!AA237</f>
        <v>0</v>
      </c>
      <c r="W292" s="120">
        <f>П4ВСР!AB237</f>
        <v>0</v>
      </c>
      <c r="X292" s="118"/>
    </row>
    <row r="293" spans="1:27" ht="183" customHeight="1" x14ac:dyDescent="0.25">
      <c r="A293" s="118"/>
      <c r="B293" s="134" t="s">
        <v>124</v>
      </c>
      <c r="C293" s="134" t="s">
        <v>132</v>
      </c>
      <c r="D293" s="134" t="s">
        <v>567</v>
      </c>
      <c r="E293" s="134"/>
      <c r="F293" s="134"/>
      <c r="G293" s="134"/>
      <c r="H293" s="134"/>
      <c r="I293" s="134"/>
      <c r="J293" s="134"/>
      <c r="K293" s="134"/>
      <c r="L293" s="134"/>
      <c r="M293" s="134"/>
      <c r="N293" s="134"/>
      <c r="O293" s="134"/>
      <c r="P293" s="134"/>
      <c r="Q293" s="134"/>
      <c r="R293" s="134"/>
      <c r="S293" s="134"/>
      <c r="T293" s="153" t="s">
        <v>1284</v>
      </c>
      <c r="U293" s="120">
        <f>U294</f>
        <v>9777615.4200000018</v>
      </c>
      <c r="V293" s="120">
        <f>V294</f>
        <v>1718956.1900000004</v>
      </c>
      <c r="W293" s="120">
        <f>W294</f>
        <v>1718956.1900000004</v>
      </c>
      <c r="X293" s="118"/>
      <c r="AA293" s="127"/>
    </row>
    <row r="294" spans="1:27" ht="50.25" customHeight="1" x14ac:dyDescent="0.25">
      <c r="A294" s="118"/>
      <c r="B294" s="134" t="s">
        <v>124</v>
      </c>
      <c r="C294" s="134" t="s">
        <v>132</v>
      </c>
      <c r="D294" s="134" t="s">
        <v>567</v>
      </c>
      <c r="E294" s="134"/>
      <c r="F294" s="134"/>
      <c r="G294" s="134"/>
      <c r="H294" s="134"/>
      <c r="I294" s="134"/>
      <c r="J294" s="134"/>
      <c r="K294" s="134"/>
      <c r="L294" s="134"/>
      <c r="M294" s="134"/>
      <c r="N294" s="134"/>
      <c r="O294" s="134"/>
      <c r="P294" s="134"/>
      <c r="Q294" s="134"/>
      <c r="R294" s="134"/>
      <c r="S294" s="134" t="s">
        <v>275</v>
      </c>
      <c r="T294" s="135" t="s">
        <v>565</v>
      </c>
      <c r="U294" s="120">
        <f>П4ВСР!Z239</f>
        <v>9777615.4200000018</v>
      </c>
      <c r="V294" s="120">
        <f>П4ВСР!AA239</f>
        <v>1718956.1900000004</v>
      </c>
      <c r="W294" s="120">
        <f>П4ВСР!AB239</f>
        <v>1718956.1900000004</v>
      </c>
      <c r="X294" s="118"/>
    </row>
    <row r="295" spans="1:27" ht="202.5" hidden="1" customHeight="1" x14ac:dyDescent="0.25">
      <c r="A295" s="118"/>
      <c r="B295" s="230" t="s">
        <v>124</v>
      </c>
      <c r="C295" s="230" t="s">
        <v>132</v>
      </c>
      <c r="D295" s="230" t="s">
        <v>772</v>
      </c>
      <c r="E295" s="134"/>
      <c r="F295" s="134"/>
      <c r="G295" s="134"/>
      <c r="H295" s="134"/>
      <c r="I295" s="134"/>
      <c r="J295" s="134"/>
      <c r="K295" s="134"/>
      <c r="L295" s="134"/>
      <c r="M295" s="134"/>
      <c r="N295" s="134"/>
      <c r="O295" s="134"/>
      <c r="P295" s="134"/>
      <c r="Q295" s="134"/>
      <c r="R295" s="134"/>
      <c r="S295" s="134"/>
      <c r="T295" s="135" t="s">
        <v>566</v>
      </c>
      <c r="U295" s="120">
        <f>U296</f>
        <v>6436193.8999999994</v>
      </c>
      <c r="V295" s="120">
        <v>0</v>
      </c>
      <c r="W295" s="120">
        <v>0</v>
      </c>
      <c r="X295" s="118"/>
    </row>
    <row r="296" spans="1:27" ht="39.75" customHeight="1" x14ac:dyDescent="0.25">
      <c r="A296" s="118"/>
      <c r="B296" s="230" t="s">
        <v>124</v>
      </c>
      <c r="C296" s="230" t="s">
        <v>132</v>
      </c>
      <c r="D296" s="230" t="s">
        <v>772</v>
      </c>
      <c r="E296" s="134"/>
      <c r="F296" s="134"/>
      <c r="G296" s="134"/>
      <c r="H296" s="134"/>
      <c r="I296" s="134"/>
      <c r="J296" s="134"/>
      <c r="K296" s="134"/>
      <c r="L296" s="134"/>
      <c r="M296" s="134"/>
      <c r="N296" s="134"/>
      <c r="O296" s="134"/>
      <c r="P296" s="134"/>
      <c r="Q296" s="134"/>
      <c r="R296" s="134"/>
      <c r="S296" s="230" t="s">
        <v>427</v>
      </c>
      <c r="T296" s="162" t="s">
        <v>770</v>
      </c>
      <c r="U296" s="120">
        <f>П4ВСР!Z486</f>
        <v>6436193.8999999994</v>
      </c>
      <c r="V296" s="120">
        <v>0</v>
      </c>
      <c r="W296" s="120">
        <v>0</v>
      </c>
      <c r="X296" s="118"/>
    </row>
    <row r="297" spans="1:27" ht="149.25" customHeight="1" x14ac:dyDescent="0.25">
      <c r="A297" s="118"/>
      <c r="B297" s="230" t="s">
        <v>124</v>
      </c>
      <c r="C297" s="230" t="s">
        <v>132</v>
      </c>
      <c r="D297" s="230" t="s">
        <v>1041</v>
      </c>
      <c r="E297" s="134"/>
      <c r="F297" s="134"/>
      <c r="G297" s="134"/>
      <c r="H297" s="134"/>
      <c r="I297" s="134"/>
      <c r="J297" s="134"/>
      <c r="K297" s="134"/>
      <c r="L297" s="134"/>
      <c r="M297" s="134"/>
      <c r="N297" s="134"/>
      <c r="O297" s="134"/>
      <c r="P297" s="134"/>
      <c r="Q297" s="134"/>
      <c r="R297" s="134"/>
      <c r="S297" s="888"/>
      <c r="T297" s="867" t="s">
        <v>1398</v>
      </c>
      <c r="U297" s="180">
        <f>U298</f>
        <v>0</v>
      </c>
      <c r="V297" s="120">
        <v>0</v>
      </c>
      <c r="W297" s="120">
        <v>0</v>
      </c>
      <c r="X297" s="118"/>
    </row>
    <row r="298" spans="1:27" ht="33" customHeight="1" x14ac:dyDescent="0.25">
      <c r="A298" s="118"/>
      <c r="B298" s="230" t="s">
        <v>124</v>
      </c>
      <c r="C298" s="230" t="s">
        <v>132</v>
      </c>
      <c r="D298" s="230" t="s">
        <v>1041</v>
      </c>
      <c r="E298" s="134"/>
      <c r="F298" s="134"/>
      <c r="G298" s="134"/>
      <c r="H298" s="134"/>
      <c r="I298" s="134"/>
      <c r="J298" s="134"/>
      <c r="K298" s="134"/>
      <c r="L298" s="134"/>
      <c r="M298" s="134"/>
      <c r="N298" s="134"/>
      <c r="O298" s="134"/>
      <c r="P298" s="134"/>
      <c r="Q298" s="134"/>
      <c r="R298" s="134"/>
      <c r="S298" s="230" t="s">
        <v>275</v>
      </c>
      <c r="T298" s="738" t="s">
        <v>770</v>
      </c>
      <c r="U298" s="120">
        <f>П4ВСР!Z502</f>
        <v>0</v>
      </c>
      <c r="V298" s="120">
        <v>0</v>
      </c>
      <c r="W298" s="120">
        <v>0</v>
      </c>
      <c r="X298" s="118"/>
    </row>
    <row r="299" spans="1:27" ht="197.25" customHeight="1" x14ac:dyDescent="0.25">
      <c r="A299" s="118"/>
      <c r="B299" s="230" t="s">
        <v>124</v>
      </c>
      <c r="C299" s="230" t="s">
        <v>132</v>
      </c>
      <c r="D299" s="230" t="s">
        <v>1037</v>
      </c>
      <c r="E299" s="134"/>
      <c r="F299" s="134"/>
      <c r="G299" s="134"/>
      <c r="H299" s="134"/>
      <c r="I299" s="134"/>
      <c r="J299" s="134"/>
      <c r="K299" s="134"/>
      <c r="L299" s="134"/>
      <c r="M299" s="134"/>
      <c r="N299" s="134"/>
      <c r="O299" s="134"/>
      <c r="P299" s="134"/>
      <c r="Q299" s="134"/>
      <c r="R299" s="134"/>
      <c r="S299" s="230"/>
      <c r="T299" s="153" t="s">
        <v>1422</v>
      </c>
      <c r="U299" s="120">
        <f>U300</f>
        <v>95000</v>
      </c>
      <c r="V299" s="120">
        <v>0</v>
      </c>
      <c r="W299" s="120">
        <v>0</v>
      </c>
      <c r="X299" s="118"/>
    </row>
    <row r="300" spans="1:27" ht="40.5" customHeight="1" x14ac:dyDescent="0.25">
      <c r="A300" s="118"/>
      <c r="B300" s="230" t="s">
        <v>124</v>
      </c>
      <c r="C300" s="230" t="s">
        <v>132</v>
      </c>
      <c r="D300" s="230" t="s">
        <v>1037</v>
      </c>
      <c r="E300" s="134"/>
      <c r="F300" s="134"/>
      <c r="G300" s="134"/>
      <c r="H300" s="134"/>
      <c r="I300" s="134"/>
      <c r="J300" s="134"/>
      <c r="K300" s="134"/>
      <c r="L300" s="134"/>
      <c r="M300" s="134"/>
      <c r="N300" s="134"/>
      <c r="O300" s="134"/>
      <c r="P300" s="134"/>
      <c r="Q300" s="134"/>
      <c r="R300" s="134"/>
      <c r="S300" s="230" t="s">
        <v>427</v>
      </c>
      <c r="T300" s="135" t="s">
        <v>770</v>
      </c>
      <c r="U300" s="120">
        <f>П4ВСР!Z497</f>
        <v>95000</v>
      </c>
      <c r="V300" s="120">
        <v>0</v>
      </c>
      <c r="W300" s="120">
        <v>0</v>
      </c>
      <c r="X300" s="118"/>
    </row>
    <row r="301" spans="1:27" ht="240" customHeight="1" x14ac:dyDescent="0.25">
      <c r="A301" s="124" t="s">
        <v>226</v>
      </c>
      <c r="B301" s="119" t="s">
        <v>124</v>
      </c>
      <c r="C301" s="119" t="s">
        <v>132</v>
      </c>
      <c r="D301" s="166" t="s">
        <v>722</v>
      </c>
      <c r="E301" s="119"/>
      <c r="F301" s="119"/>
      <c r="G301" s="119"/>
      <c r="H301" s="119"/>
      <c r="I301" s="119"/>
      <c r="J301" s="119"/>
      <c r="K301" s="119"/>
      <c r="L301" s="119"/>
      <c r="M301" s="119"/>
      <c r="N301" s="119"/>
      <c r="O301" s="119"/>
      <c r="P301" s="119"/>
      <c r="Q301" s="119"/>
      <c r="R301" s="119"/>
      <c r="S301" s="119"/>
      <c r="T301" s="281" t="s">
        <v>1242</v>
      </c>
      <c r="U301" s="120">
        <f>U302</f>
        <v>107044858.99999999</v>
      </c>
      <c r="V301" s="120">
        <f>V302</f>
        <v>59430085.640000001</v>
      </c>
      <c r="W301" s="120">
        <f>W302</f>
        <v>59430085.640000001</v>
      </c>
      <c r="X301" s="124" t="s">
        <v>226</v>
      </c>
      <c r="AA301" s="127"/>
    </row>
    <row r="302" spans="1:27" ht="35.25" customHeight="1" x14ac:dyDescent="0.25">
      <c r="A302" s="124" t="s">
        <v>351</v>
      </c>
      <c r="B302" s="122" t="s">
        <v>124</v>
      </c>
      <c r="C302" s="122" t="s">
        <v>132</v>
      </c>
      <c r="D302" s="119" t="s">
        <v>722</v>
      </c>
      <c r="E302" s="122"/>
      <c r="F302" s="122"/>
      <c r="G302" s="122"/>
      <c r="H302" s="122"/>
      <c r="I302" s="122"/>
      <c r="J302" s="122"/>
      <c r="K302" s="122"/>
      <c r="L302" s="122"/>
      <c r="M302" s="122"/>
      <c r="N302" s="122"/>
      <c r="O302" s="122"/>
      <c r="P302" s="122"/>
      <c r="Q302" s="122"/>
      <c r="R302" s="122"/>
      <c r="S302" s="122" t="s">
        <v>243</v>
      </c>
      <c r="T302" s="154" t="s">
        <v>760</v>
      </c>
      <c r="U302" s="120">
        <f>П4ВСР!Z241</f>
        <v>107044858.99999999</v>
      </c>
      <c r="V302" s="120">
        <f>П4ВСР!AA241</f>
        <v>59430085.640000001</v>
      </c>
      <c r="W302" s="120">
        <f>П4ВСР!AB241</f>
        <v>59430085.640000001</v>
      </c>
      <c r="X302" s="124" t="s">
        <v>351</v>
      </c>
    </row>
    <row r="303" spans="1:27" ht="66" customHeight="1" x14ac:dyDescent="0.25">
      <c r="A303" s="124"/>
      <c r="B303" s="122" t="s">
        <v>124</v>
      </c>
      <c r="C303" s="122" t="s">
        <v>132</v>
      </c>
      <c r="D303" s="161" t="s">
        <v>1485</v>
      </c>
      <c r="E303" s="122"/>
      <c r="F303" s="122"/>
      <c r="G303" s="122"/>
      <c r="H303" s="122"/>
      <c r="I303" s="122"/>
      <c r="J303" s="122"/>
      <c r="K303" s="122"/>
      <c r="L303" s="122"/>
      <c r="M303" s="122"/>
      <c r="N303" s="122"/>
      <c r="O303" s="122"/>
      <c r="P303" s="122"/>
      <c r="Q303" s="122"/>
      <c r="R303" s="122"/>
      <c r="S303" s="122"/>
      <c r="T303" s="153" t="s">
        <v>1492</v>
      </c>
      <c r="U303" s="120">
        <f>U304</f>
        <v>2855240.2</v>
      </c>
      <c r="V303" s="120">
        <v>0</v>
      </c>
      <c r="W303" s="120">
        <v>0</v>
      </c>
      <c r="X303" s="124"/>
    </row>
    <row r="304" spans="1:27" ht="52.5" customHeight="1" x14ac:dyDescent="0.25">
      <c r="A304" s="124"/>
      <c r="B304" s="122" t="s">
        <v>124</v>
      </c>
      <c r="C304" s="122" t="s">
        <v>132</v>
      </c>
      <c r="D304" s="161" t="s">
        <v>1485</v>
      </c>
      <c r="E304" s="122"/>
      <c r="F304" s="122"/>
      <c r="G304" s="122"/>
      <c r="H304" s="122"/>
      <c r="I304" s="122"/>
      <c r="J304" s="122"/>
      <c r="K304" s="122"/>
      <c r="L304" s="122"/>
      <c r="M304" s="122"/>
      <c r="N304" s="122"/>
      <c r="O304" s="122"/>
      <c r="P304" s="122"/>
      <c r="Q304" s="122"/>
      <c r="R304" s="122"/>
      <c r="S304" s="122" t="s">
        <v>275</v>
      </c>
      <c r="T304" s="1013" t="s">
        <v>565</v>
      </c>
      <c r="U304" s="120">
        <f>П4ВСР!Z242</f>
        <v>2855240.2</v>
      </c>
      <c r="V304" s="120">
        <v>0</v>
      </c>
      <c r="W304" s="120">
        <v>0</v>
      </c>
      <c r="X304" s="124"/>
    </row>
    <row r="305" spans="1:27" ht="18.600000000000001" customHeight="1" x14ac:dyDescent="0.25">
      <c r="A305" s="118" t="s">
        <v>152</v>
      </c>
      <c r="B305" s="119" t="s">
        <v>124</v>
      </c>
      <c r="C305" s="119" t="s">
        <v>123</v>
      </c>
      <c r="D305" s="119"/>
      <c r="E305" s="119"/>
      <c r="F305" s="119"/>
      <c r="G305" s="119"/>
      <c r="H305" s="119"/>
      <c r="I305" s="119"/>
      <c r="J305" s="119"/>
      <c r="K305" s="119"/>
      <c r="L305" s="119"/>
      <c r="M305" s="119"/>
      <c r="N305" s="119"/>
      <c r="O305" s="119"/>
      <c r="P305" s="119"/>
      <c r="Q305" s="119"/>
      <c r="R305" s="119"/>
      <c r="S305" s="119"/>
      <c r="T305" s="118" t="s">
        <v>152</v>
      </c>
      <c r="U305" s="120">
        <f>U306+U310+U312+U316+U318+U322+U324+U335+U308+U331+U314+U333+U337+U320+U329+U327+U339</f>
        <v>11790602.919999998</v>
      </c>
      <c r="V305" s="120">
        <f>V306+V310+V312+V316+V318+V322+V324+V335+V308+V331+V314</f>
        <v>450000</v>
      </c>
      <c r="W305" s="120">
        <f>W306+W310+W312+W316+W318+W322+W324+W335+W308+W331+W314</f>
        <v>450000</v>
      </c>
      <c r="X305" s="118" t="s">
        <v>152</v>
      </c>
    </row>
    <row r="306" spans="1:27" ht="206.25" customHeight="1" x14ac:dyDescent="0.25">
      <c r="A306" s="118" t="s">
        <v>352</v>
      </c>
      <c r="B306" s="134" t="s">
        <v>124</v>
      </c>
      <c r="C306" s="134" t="s">
        <v>123</v>
      </c>
      <c r="D306" s="134" t="s">
        <v>568</v>
      </c>
      <c r="E306" s="134"/>
      <c r="F306" s="134"/>
      <c r="G306" s="134"/>
      <c r="H306" s="134"/>
      <c r="I306" s="134"/>
      <c r="J306" s="134"/>
      <c r="K306" s="134"/>
      <c r="L306" s="134"/>
      <c r="M306" s="134"/>
      <c r="N306" s="134"/>
      <c r="O306" s="134"/>
      <c r="P306" s="134"/>
      <c r="Q306" s="134"/>
      <c r="R306" s="134"/>
      <c r="S306" s="134"/>
      <c r="T306" s="152" t="s">
        <v>1243</v>
      </c>
      <c r="U306" s="120">
        <f>U307</f>
        <v>84095</v>
      </c>
      <c r="V306" s="120">
        <f>V307</f>
        <v>200000</v>
      </c>
      <c r="W306" s="120">
        <f>W307</f>
        <v>200000</v>
      </c>
      <c r="X306" s="118" t="s">
        <v>352</v>
      </c>
      <c r="AA306" s="127"/>
    </row>
    <row r="307" spans="1:27" ht="50.25" customHeight="1" x14ac:dyDescent="0.25">
      <c r="A307" s="118" t="s">
        <v>353</v>
      </c>
      <c r="B307" s="140" t="s">
        <v>124</v>
      </c>
      <c r="C307" s="140" t="s">
        <v>123</v>
      </c>
      <c r="D307" s="134" t="s">
        <v>568</v>
      </c>
      <c r="E307" s="140"/>
      <c r="F307" s="140"/>
      <c r="G307" s="140"/>
      <c r="H307" s="140"/>
      <c r="I307" s="140"/>
      <c r="J307" s="140"/>
      <c r="K307" s="140"/>
      <c r="L307" s="140"/>
      <c r="M307" s="140"/>
      <c r="N307" s="140"/>
      <c r="O307" s="140"/>
      <c r="P307" s="140"/>
      <c r="Q307" s="140"/>
      <c r="R307" s="140"/>
      <c r="S307" s="140" t="s">
        <v>275</v>
      </c>
      <c r="T307" s="135" t="s">
        <v>565</v>
      </c>
      <c r="U307" s="120">
        <f>П4ВСР!Z246</f>
        <v>84095</v>
      </c>
      <c r="V307" s="120">
        <f>П4ВСР!AA246</f>
        <v>200000</v>
      </c>
      <c r="W307" s="120">
        <f>П4ВСР!AB246</f>
        <v>200000</v>
      </c>
      <c r="X307" s="118" t="s">
        <v>353</v>
      </c>
      <c r="AA307" s="127"/>
    </row>
    <row r="308" spans="1:27" ht="204" customHeight="1" x14ac:dyDescent="0.25">
      <c r="A308" s="118"/>
      <c r="B308" s="140" t="s">
        <v>124</v>
      </c>
      <c r="C308" s="140" t="s">
        <v>123</v>
      </c>
      <c r="D308" s="134" t="s">
        <v>568</v>
      </c>
      <c r="E308" s="140"/>
      <c r="F308" s="140"/>
      <c r="G308" s="140"/>
      <c r="H308" s="140"/>
      <c r="I308" s="140"/>
      <c r="J308" s="140"/>
      <c r="K308" s="140"/>
      <c r="L308" s="140"/>
      <c r="M308" s="140"/>
      <c r="N308" s="140"/>
      <c r="O308" s="140"/>
      <c r="P308" s="140"/>
      <c r="Q308" s="140"/>
      <c r="R308" s="140"/>
      <c r="S308" s="140"/>
      <c r="T308" s="152" t="s">
        <v>1512</v>
      </c>
      <c r="U308" s="120">
        <f>U309</f>
        <v>715905</v>
      </c>
      <c r="V308" s="120">
        <f>V309</f>
        <v>0</v>
      </c>
      <c r="W308" s="120">
        <f>W309</f>
        <v>0</v>
      </c>
      <c r="X308" s="118"/>
    </row>
    <row r="309" spans="1:27" ht="36" customHeight="1" x14ac:dyDescent="0.25">
      <c r="A309" s="118"/>
      <c r="B309" s="140" t="s">
        <v>124</v>
      </c>
      <c r="C309" s="140" t="s">
        <v>123</v>
      </c>
      <c r="D309" s="134" t="s">
        <v>568</v>
      </c>
      <c r="E309" s="140"/>
      <c r="F309" s="140"/>
      <c r="G309" s="140"/>
      <c r="H309" s="140"/>
      <c r="I309" s="140"/>
      <c r="J309" s="140"/>
      <c r="K309" s="140"/>
      <c r="L309" s="140"/>
      <c r="M309" s="140"/>
      <c r="N309" s="140"/>
      <c r="O309" s="140"/>
      <c r="P309" s="140"/>
      <c r="Q309" s="140"/>
      <c r="R309" s="140"/>
      <c r="S309" s="140" t="s">
        <v>427</v>
      </c>
      <c r="T309" s="135" t="s">
        <v>770</v>
      </c>
      <c r="U309" s="120">
        <f>П4ВСР!Z507</f>
        <v>715905</v>
      </c>
      <c r="V309" s="120">
        <v>0</v>
      </c>
      <c r="W309" s="120">
        <v>0</v>
      </c>
      <c r="X309" s="118"/>
    </row>
    <row r="310" spans="1:27" ht="102.75" customHeight="1" x14ac:dyDescent="0.25">
      <c r="A310" s="118" t="s">
        <v>354</v>
      </c>
      <c r="B310" s="134" t="s">
        <v>124</v>
      </c>
      <c r="C310" s="134" t="s">
        <v>123</v>
      </c>
      <c r="D310" s="134" t="s">
        <v>569</v>
      </c>
      <c r="E310" s="134"/>
      <c r="F310" s="134"/>
      <c r="G310" s="134"/>
      <c r="H310" s="134"/>
      <c r="I310" s="134"/>
      <c r="J310" s="134"/>
      <c r="K310" s="134"/>
      <c r="L310" s="134"/>
      <c r="M310" s="134"/>
      <c r="N310" s="134"/>
      <c r="O310" s="134"/>
      <c r="P310" s="134"/>
      <c r="Q310" s="134"/>
      <c r="R310" s="134"/>
      <c r="S310" s="134"/>
      <c r="T310" s="153" t="s">
        <v>1244</v>
      </c>
      <c r="U310" s="120">
        <f>U311</f>
        <v>849.25</v>
      </c>
      <c r="V310" s="120">
        <f>V311</f>
        <v>100000</v>
      </c>
      <c r="W310" s="120">
        <f>W311</f>
        <v>100000</v>
      </c>
      <c r="X310" s="118" t="s">
        <v>354</v>
      </c>
    </row>
    <row r="311" spans="1:27" ht="53.25" customHeight="1" x14ac:dyDescent="0.25">
      <c r="A311" s="118" t="s">
        <v>355</v>
      </c>
      <c r="B311" s="140" t="s">
        <v>124</v>
      </c>
      <c r="C311" s="140" t="s">
        <v>123</v>
      </c>
      <c r="D311" s="134" t="s">
        <v>569</v>
      </c>
      <c r="E311" s="140"/>
      <c r="F311" s="140"/>
      <c r="G311" s="140"/>
      <c r="H311" s="140"/>
      <c r="I311" s="140"/>
      <c r="J311" s="140"/>
      <c r="K311" s="140"/>
      <c r="L311" s="140"/>
      <c r="M311" s="140"/>
      <c r="N311" s="140"/>
      <c r="O311" s="140"/>
      <c r="P311" s="140"/>
      <c r="Q311" s="140"/>
      <c r="R311" s="140"/>
      <c r="S311" s="140" t="s">
        <v>275</v>
      </c>
      <c r="T311" s="135" t="s">
        <v>565</v>
      </c>
      <c r="U311" s="120">
        <f>П4ВСР!Z248</f>
        <v>849.25</v>
      </c>
      <c r="V311" s="120">
        <f>П4ВСР!AA248</f>
        <v>100000</v>
      </c>
      <c r="W311" s="120">
        <f>П4ВСР!AB248</f>
        <v>100000</v>
      </c>
      <c r="X311" s="118" t="s">
        <v>355</v>
      </c>
    </row>
    <row r="312" spans="1:27" ht="108.75" hidden="1" customHeight="1" x14ac:dyDescent="0.25">
      <c r="A312" s="118"/>
      <c r="B312" s="140" t="s">
        <v>124</v>
      </c>
      <c r="C312" s="140" t="s">
        <v>123</v>
      </c>
      <c r="D312" s="134" t="s">
        <v>570</v>
      </c>
      <c r="E312" s="140"/>
      <c r="F312" s="140"/>
      <c r="G312" s="140"/>
      <c r="H312" s="140"/>
      <c r="I312" s="140"/>
      <c r="J312" s="140"/>
      <c r="K312" s="140"/>
      <c r="L312" s="140"/>
      <c r="M312" s="140"/>
      <c r="N312" s="140"/>
      <c r="O312" s="140"/>
      <c r="P312" s="140"/>
      <c r="Q312" s="140"/>
      <c r="R312" s="140"/>
      <c r="S312" s="140"/>
      <c r="T312" s="153" t="s">
        <v>571</v>
      </c>
      <c r="U312" s="120">
        <f>U313</f>
        <v>0</v>
      </c>
      <c r="V312" s="120">
        <f>V313</f>
        <v>0</v>
      </c>
      <c r="W312" s="120">
        <f>W313</f>
        <v>0</v>
      </c>
      <c r="X312" s="118"/>
    </row>
    <row r="313" spans="1:27" ht="117.75" hidden="1" customHeight="1" x14ac:dyDescent="0.25">
      <c r="A313" s="118"/>
      <c r="B313" s="140" t="s">
        <v>124</v>
      </c>
      <c r="C313" s="140" t="s">
        <v>123</v>
      </c>
      <c r="D313" s="134" t="s">
        <v>570</v>
      </c>
      <c r="E313" s="140"/>
      <c r="F313" s="140"/>
      <c r="G313" s="140"/>
      <c r="H313" s="140"/>
      <c r="I313" s="140"/>
      <c r="J313" s="140"/>
      <c r="K313" s="140"/>
      <c r="L313" s="140"/>
      <c r="M313" s="140"/>
      <c r="N313" s="140"/>
      <c r="O313" s="140"/>
      <c r="P313" s="140"/>
      <c r="Q313" s="140"/>
      <c r="R313" s="140"/>
      <c r="S313" s="140" t="s">
        <v>275</v>
      </c>
      <c r="T313" s="135" t="s">
        <v>571</v>
      </c>
      <c r="U313" s="120">
        <f>П4ВСР!Z250</f>
        <v>0</v>
      </c>
      <c r="V313" s="120">
        <f>П4ВСР!AA250</f>
        <v>0</v>
      </c>
      <c r="W313" s="120">
        <f>П4ВСР!AB250</f>
        <v>0</v>
      </c>
      <c r="X313" s="118"/>
    </row>
    <row r="314" spans="1:27" ht="99" customHeight="1" x14ac:dyDescent="0.25">
      <c r="A314" s="118"/>
      <c r="B314" s="140" t="s">
        <v>124</v>
      </c>
      <c r="C314" s="140" t="s">
        <v>123</v>
      </c>
      <c r="D314" s="134" t="s">
        <v>569</v>
      </c>
      <c r="E314" s="140"/>
      <c r="F314" s="140"/>
      <c r="G314" s="140"/>
      <c r="H314" s="140"/>
      <c r="I314" s="140"/>
      <c r="J314" s="140"/>
      <c r="K314" s="140"/>
      <c r="L314" s="140"/>
      <c r="M314" s="140"/>
      <c r="N314" s="140"/>
      <c r="O314" s="140"/>
      <c r="P314" s="140"/>
      <c r="Q314" s="140"/>
      <c r="R314" s="140"/>
      <c r="S314" s="140"/>
      <c r="T314" s="153" t="s">
        <v>1244</v>
      </c>
      <c r="U314" s="120">
        <f>U315</f>
        <v>1449150.75</v>
      </c>
      <c r="V314" s="120">
        <v>0</v>
      </c>
      <c r="W314" s="120">
        <v>0</v>
      </c>
      <c r="X314" s="118"/>
    </row>
    <row r="315" spans="1:27" ht="36.75" customHeight="1" x14ac:dyDescent="0.25">
      <c r="A315" s="118"/>
      <c r="B315" s="140" t="s">
        <v>124</v>
      </c>
      <c r="C315" s="140" t="s">
        <v>123</v>
      </c>
      <c r="D315" s="134" t="s">
        <v>569</v>
      </c>
      <c r="E315" s="140"/>
      <c r="F315" s="140"/>
      <c r="G315" s="140"/>
      <c r="H315" s="140"/>
      <c r="I315" s="140"/>
      <c r="J315" s="140"/>
      <c r="K315" s="140"/>
      <c r="L315" s="140"/>
      <c r="M315" s="140"/>
      <c r="N315" s="140"/>
      <c r="O315" s="140"/>
      <c r="P315" s="140"/>
      <c r="Q315" s="140"/>
      <c r="R315" s="140"/>
      <c r="S315" s="140" t="s">
        <v>427</v>
      </c>
      <c r="T315" s="135" t="s">
        <v>770</v>
      </c>
      <c r="U315" s="120">
        <f>П4ВСР!Z519</f>
        <v>1449150.75</v>
      </c>
      <c r="V315" s="120">
        <v>0</v>
      </c>
      <c r="W315" s="120">
        <v>0</v>
      </c>
      <c r="X315" s="118"/>
    </row>
    <row r="316" spans="1:27" ht="33" hidden="1" customHeight="1" x14ac:dyDescent="0.25">
      <c r="A316" s="118" t="s">
        <v>356</v>
      </c>
      <c r="B316" s="134" t="s">
        <v>124</v>
      </c>
      <c r="C316" s="134" t="s">
        <v>123</v>
      </c>
      <c r="D316" s="134" t="s">
        <v>572</v>
      </c>
      <c r="E316" s="134"/>
      <c r="F316" s="134"/>
      <c r="G316" s="134"/>
      <c r="H316" s="134"/>
      <c r="I316" s="134"/>
      <c r="J316" s="134"/>
      <c r="K316" s="134"/>
      <c r="L316" s="134"/>
      <c r="M316" s="134"/>
      <c r="N316" s="134"/>
      <c r="O316" s="134"/>
      <c r="P316" s="134"/>
      <c r="Q316" s="134"/>
      <c r="R316" s="134"/>
      <c r="S316" s="134"/>
      <c r="T316" s="153" t="s">
        <v>575</v>
      </c>
      <c r="U316" s="120">
        <f>U317</f>
        <v>0</v>
      </c>
      <c r="V316" s="120">
        <f>V317</f>
        <v>0</v>
      </c>
      <c r="W316" s="120">
        <f>W317</f>
        <v>0</v>
      </c>
      <c r="X316" s="118" t="s">
        <v>356</v>
      </c>
    </row>
    <row r="317" spans="1:27" ht="63" hidden="1" customHeight="1" x14ac:dyDescent="0.25">
      <c r="A317" s="118" t="s">
        <v>357</v>
      </c>
      <c r="B317" s="140" t="s">
        <v>124</v>
      </c>
      <c r="C317" s="140" t="s">
        <v>123</v>
      </c>
      <c r="D317" s="134" t="s">
        <v>572</v>
      </c>
      <c r="E317" s="140"/>
      <c r="F317" s="140"/>
      <c r="G317" s="140"/>
      <c r="H317" s="140"/>
      <c r="I317" s="140"/>
      <c r="J317" s="140"/>
      <c r="K317" s="140"/>
      <c r="L317" s="140"/>
      <c r="M317" s="140"/>
      <c r="N317" s="140"/>
      <c r="O317" s="140"/>
      <c r="P317" s="140"/>
      <c r="Q317" s="140"/>
      <c r="R317" s="140"/>
      <c r="S317" s="140" t="s">
        <v>275</v>
      </c>
      <c r="T317" s="135" t="s">
        <v>357</v>
      </c>
      <c r="U317" s="120">
        <f>П4ВСР!Z252</f>
        <v>0</v>
      </c>
      <c r="V317" s="120">
        <f>П4ВСР!AA252</f>
        <v>0</v>
      </c>
      <c r="W317" s="120">
        <f>П4ВСР!AB252</f>
        <v>0</v>
      </c>
      <c r="X317" s="118" t="s">
        <v>357</v>
      </c>
    </row>
    <row r="318" spans="1:27" ht="72" customHeight="1" x14ac:dyDescent="0.25">
      <c r="A318" s="118" t="s">
        <v>358</v>
      </c>
      <c r="B318" s="140" t="s">
        <v>124</v>
      </c>
      <c r="C318" s="140" t="s">
        <v>123</v>
      </c>
      <c r="D318" s="134" t="s">
        <v>573</v>
      </c>
      <c r="E318" s="140"/>
      <c r="F318" s="140"/>
      <c r="G318" s="140"/>
      <c r="H318" s="140"/>
      <c r="I318" s="140"/>
      <c r="J318" s="140"/>
      <c r="K318" s="140"/>
      <c r="L318" s="140"/>
      <c r="M318" s="140"/>
      <c r="N318" s="140"/>
      <c r="O318" s="140"/>
      <c r="P318" s="140"/>
      <c r="Q318" s="140"/>
      <c r="R318" s="140"/>
      <c r="S318" s="140"/>
      <c r="T318" s="118" t="s">
        <v>1245</v>
      </c>
      <c r="U318" s="120">
        <f>U319</f>
        <v>1749111.1500000001</v>
      </c>
      <c r="V318" s="120">
        <f>V319</f>
        <v>50000</v>
      </c>
      <c r="W318" s="120">
        <f>W319</f>
        <v>50000</v>
      </c>
      <c r="X318" s="118" t="s">
        <v>358</v>
      </c>
    </row>
    <row r="319" spans="1:27" ht="48.75" customHeight="1" x14ac:dyDescent="0.25">
      <c r="A319" s="118" t="s">
        <v>359</v>
      </c>
      <c r="B319" s="140" t="s">
        <v>124</v>
      </c>
      <c r="C319" s="140" t="s">
        <v>123</v>
      </c>
      <c r="D319" s="134" t="s">
        <v>573</v>
      </c>
      <c r="E319" s="140"/>
      <c r="F319" s="140"/>
      <c r="G319" s="140"/>
      <c r="H319" s="140"/>
      <c r="I319" s="140"/>
      <c r="J319" s="140"/>
      <c r="K319" s="140"/>
      <c r="L319" s="140"/>
      <c r="M319" s="140"/>
      <c r="N319" s="140"/>
      <c r="O319" s="140"/>
      <c r="P319" s="140"/>
      <c r="Q319" s="140"/>
      <c r="R319" s="140"/>
      <c r="S319" s="140" t="s">
        <v>275</v>
      </c>
      <c r="T319" s="123" t="s">
        <v>565</v>
      </c>
      <c r="U319" s="120">
        <f>П4ВСР!Z254</f>
        <v>1749111.1500000001</v>
      </c>
      <c r="V319" s="120">
        <f>П4ВСР!AA254</f>
        <v>50000</v>
      </c>
      <c r="W319" s="120">
        <f>П4ВСР!AB254</f>
        <v>50000</v>
      </c>
      <c r="X319" s="118" t="s">
        <v>359</v>
      </c>
    </row>
    <row r="320" spans="1:27" ht="72" customHeight="1" x14ac:dyDescent="0.25">
      <c r="A320" s="118"/>
      <c r="B320" s="140" t="s">
        <v>124</v>
      </c>
      <c r="C320" s="140" t="s">
        <v>123</v>
      </c>
      <c r="D320" s="230" t="s">
        <v>573</v>
      </c>
      <c r="E320" s="140"/>
      <c r="F320" s="140"/>
      <c r="G320" s="140"/>
      <c r="H320" s="140"/>
      <c r="I320" s="140"/>
      <c r="J320" s="140"/>
      <c r="K320" s="140"/>
      <c r="L320" s="140"/>
      <c r="M320" s="140"/>
      <c r="N320" s="140"/>
      <c r="O320" s="140"/>
      <c r="P320" s="140"/>
      <c r="Q320" s="140"/>
      <c r="R320" s="140"/>
      <c r="S320" s="140"/>
      <c r="T320" s="153" t="s">
        <v>1245</v>
      </c>
      <c r="U320" s="120">
        <f>U321</f>
        <v>67000</v>
      </c>
      <c r="V320" s="120">
        <v>0</v>
      </c>
      <c r="W320" s="120">
        <v>0</v>
      </c>
      <c r="X320" s="118"/>
    </row>
    <row r="321" spans="1:24" ht="44.25" customHeight="1" x14ac:dyDescent="0.25">
      <c r="A321" s="118"/>
      <c r="B321" s="140" t="s">
        <v>124</v>
      </c>
      <c r="C321" s="140" t="s">
        <v>123</v>
      </c>
      <c r="D321" s="230" t="s">
        <v>573</v>
      </c>
      <c r="E321" s="140"/>
      <c r="F321" s="140"/>
      <c r="G321" s="140"/>
      <c r="H321" s="140"/>
      <c r="I321" s="140"/>
      <c r="J321" s="140"/>
      <c r="K321" s="140"/>
      <c r="L321" s="140"/>
      <c r="M321" s="140"/>
      <c r="N321" s="140"/>
      <c r="O321" s="140"/>
      <c r="P321" s="140"/>
      <c r="Q321" s="140"/>
      <c r="R321" s="140"/>
      <c r="S321" s="140" t="s">
        <v>427</v>
      </c>
      <c r="T321" s="135" t="s">
        <v>770</v>
      </c>
      <c r="U321" s="120">
        <f>П4ВСР!Z536</f>
        <v>67000</v>
      </c>
      <c r="V321" s="120">
        <v>0</v>
      </c>
      <c r="W321" s="120">
        <v>0</v>
      </c>
      <c r="X321" s="118"/>
    </row>
    <row r="322" spans="1:24" ht="84.75" customHeight="1" x14ac:dyDescent="0.25">
      <c r="A322" s="118" t="s">
        <v>360</v>
      </c>
      <c r="B322" s="134" t="s">
        <v>124</v>
      </c>
      <c r="C322" s="134" t="s">
        <v>123</v>
      </c>
      <c r="D322" s="134" t="s">
        <v>574</v>
      </c>
      <c r="E322" s="134"/>
      <c r="F322" s="134"/>
      <c r="G322" s="134"/>
      <c r="H322" s="134"/>
      <c r="I322" s="134"/>
      <c r="J322" s="134"/>
      <c r="K322" s="134"/>
      <c r="L322" s="134"/>
      <c r="M322" s="134"/>
      <c r="N322" s="134"/>
      <c r="O322" s="134"/>
      <c r="P322" s="134"/>
      <c r="Q322" s="134"/>
      <c r="R322" s="134"/>
      <c r="S322" s="134"/>
      <c r="T322" s="153" t="s">
        <v>1246</v>
      </c>
      <c r="U322" s="120">
        <f>U323</f>
        <v>629830.99</v>
      </c>
      <c r="V322" s="120">
        <f>V323</f>
        <v>100000</v>
      </c>
      <c r="W322" s="120">
        <f>W323</f>
        <v>100000</v>
      </c>
      <c r="X322" s="118" t="s">
        <v>360</v>
      </c>
    </row>
    <row r="323" spans="1:24" ht="54" customHeight="1" x14ac:dyDescent="0.25">
      <c r="A323" s="118" t="s">
        <v>361</v>
      </c>
      <c r="B323" s="140" t="s">
        <v>124</v>
      </c>
      <c r="C323" s="140" t="s">
        <v>123</v>
      </c>
      <c r="D323" s="134" t="s">
        <v>574</v>
      </c>
      <c r="E323" s="140"/>
      <c r="F323" s="140"/>
      <c r="G323" s="140"/>
      <c r="H323" s="140"/>
      <c r="I323" s="140"/>
      <c r="J323" s="140"/>
      <c r="K323" s="140"/>
      <c r="L323" s="140"/>
      <c r="M323" s="140"/>
      <c r="N323" s="140"/>
      <c r="O323" s="140"/>
      <c r="P323" s="140"/>
      <c r="Q323" s="140"/>
      <c r="R323" s="140"/>
      <c r="S323" s="140" t="s">
        <v>275</v>
      </c>
      <c r="T323" s="135" t="s">
        <v>565</v>
      </c>
      <c r="U323" s="120">
        <f>П4ВСР!Z256</f>
        <v>629830.99</v>
      </c>
      <c r="V323" s="120">
        <f>П4ВСР!AA256</f>
        <v>100000</v>
      </c>
      <c r="W323" s="120">
        <f>П4ВСР!AB256</f>
        <v>100000</v>
      </c>
      <c r="X323" s="118" t="s">
        <v>361</v>
      </c>
    </row>
    <row r="324" spans="1:24" ht="73.5" customHeight="1" x14ac:dyDescent="0.25">
      <c r="A324" s="118" t="s">
        <v>362</v>
      </c>
      <c r="B324" s="134" t="s">
        <v>124</v>
      </c>
      <c r="C324" s="134" t="s">
        <v>123</v>
      </c>
      <c r="D324" s="230" t="s">
        <v>1420</v>
      </c>
      <c r="E324" s="134"/>
      <c r="F324" s="134"/>
      <c r="G324" s="134"/>
      <c r="H324" s="134"/>
      <c r="I324" s="134"/>
      <c r="J324" s="134"/>
      <c r="K324" s="134"/>
      <c r="L324" s="134"/>
      <c r="M324" s="134"/>
      <c r="N324" s="134"/>
      <c r="O324" s="134"/>
      <c r="P324" s="134"/>
      <c r="Q324" s="134"/>
      <c r="R324" s="134"/>
      <c r="S324" s="134"/>
      <c r="T324" s="153" t="s">
        <v>1419</v>
      </c>
      <c r="U324" s="120">
        <f>U325</f>
        <v>554704.78</v>
      </c>
      <c r="V324" s="120">
        <f>V325</f>
        <v>0</v>
      </c>
      <c r="W324" s="120">
        <f>W325</f>
        <v>0</v>
      </c>
      <c r="X324" s="118" t="s">
        <v>362</v>
      </c>
    </row>
    <row r="325" spans="1:24" ht="54.75" customHeight="1" x14ac:dyDescent="0.25">
      <c r="A325" s="118" t="s">
        <v>363</v>
      </c>
      <c r="B325" s="140" t="s">
        <v>124</v>
      </c>
      <c r="C325" s="140" t="s">
        <v>123</v>
      </c>
      <c r="D325" s="230" t="s">
        <v>1420</v>
      </c>
      <c r="E325" s="140"/>
      <c r="F325" s="140"/>
      <c r="G325" s="140"/>
      <c r="H325" s="140"/>
      <c r="I325" s="140"/>
      <c r="J325" s="140"/>
      <c r="K325" s="140"/>
      <c r="L325" s="140"/>
      <c r="M325" s="140"/>
      <c r="N325" s="140"/>
      <c r="O325" s="140"/>
      <c r="P325" s="140"/>
      <c r="Q325" s="140"/>
      <c r="R325" s="140"/>
      <c r="S325" s="140" t="s">
        <v>275</v>
      </c>
      <c r="T325" s="135" t="s">
        <v>565</v>
      </c>
      <c r="U325" s="120">
        <f>П4ВСР!Z257+П4ВСР!Z540</f>
        <v>554704.78</v>
      </c>
      <c r="V325" s="120">
        <f>П4ВСР!AA262</f>
        <v>0</v>
      </c>
      <c r="W325" s="120">
        <f>П4ВСР!AB262</f>
        <v>0</v>
      </c>
      <c r="X325" s="118" t="s">
        <v>363</v>
      </c>
    </row>
    <row r="326" spans="1:24" ht="39.75" hidden="1" customHeight="1" x14ac:dyDescent="0.25">
      <c r="A326" s="118"/>
      <c r="B326" s="140" t="s">
        <v>124</v>
      </c>
      <c r="C326" s="140" t="s">
        <v>123</v>
      </c>
      <c r="D326" s="230" t="s">
        <v>1420</v>
      </c>
      <c r="E326" s="140"/>
      <c r="F326" s="140"/>
      <c r="G326" s="140"/>
      <c r="H326" s="140"/>
      <c r="I326" s="140"/>
      <c r="J326" s="140"/>
      <c r="K326" s="140"/>
      <c r="L326" s="140"/>
      <c r="M326" s="140"/>
      <c r="N326" s="140"/>
      <c r="O326" s="140"/>
      <c r="P326" s="140"/>
      <c r="Q326" s="140"/>
      <c r="R326" s="140"/>
      <c r="S326" s="140" t="s">
        <v>275</v>
      </c>
      <c r="T326" s="153" t="s">
        <v>770</v>
      </c>
      <c r="U326" s="120">
        <v>0</v>
      </c>
      <c r="V326" s="120">
        <v>0</v>
      </c>
      <c r="W326" s="120">
        <v>0</v>
      </c>
      <c r="X326" s="118"/>
    </row>
    <row r="327" spans="1:24" ht="69.75" customHeight="1" x14ac:dyDescent="0.25">
      <c r="A327" s="118"/>
      <c r="B327" s="140" t="s">
        <v>124</v>
      </c>
      <c r="C327" s="140" t="s">
        <v>123</v>
      </c>
      <c r="D327" s="230" t="s">
        <v>1420</v>
      </c>
      <c r="E327" s="140"/>
      <c r="F327" s="140"/>
      <c r="G327" s="140"/>
      <c r="H327" s="140"/>
      <c r="I327" s="140"/>
      <c r="J327" s="140"/>
      <c r="K327" s="140"/>
      <c r="L327" s="140"/>
      <c r="M327" s="140"/>
      <c r="N327" s="140"/>
      <c r="O327" s="140"/>
      <c r="P327" s="140"/>
      <c r="Q327" s="140"/>
      <c r="R327" s="140"/>
      <c r="S327" s="140"/>
      <c r="T327" s="153" t="s">
        <v>1419</v>
      </c>
      <c r="U327" s="120">
        <f>U328</f>
        <v>200000</v>
      </c>
      <c r="V327" s="120">
        <v>0</v>
      </c>
      <c r="W327" s="120">
        <v>0</v>
      </c>
      <c r="X327" s="118"/>
    </row>
    <row r="328" spans="1:24" ht="39.75" customHeight="1" x14ac:dyDescent="0.25">
      <c r="A328" s="118"/>
      <c r="B328" s="140" t="s">
        <v>124</v>
      </c>
      <c r="C328" s="140" t="s">
        <v>123</v>
      </c>
      <c r="D328" s="230" t="s">
        <v>1420</v>
      </c>
      <c r="E328" s="140"/>
      <c r="F328" s="140"/>
      <c r="G328" s="140"/>
      <c r="H328" s="140"/>
      <c r="I328" s="140"/>
      <c r="J328" s="140"/>
      <c r="K328" s="140"/>
      <c r="L328" s="140"/>
      <c r="M328" s="140"/>
      <c r="N328" s="140"/>
      <c r="O328" s="140"/>
      <c r="P328" s="140"/>
      <c r="Q328" s="140"/>
      <c r="R328" s="140"/>
      <c r="S328" s="140" t="s">
        <v>427</v>
      </c>
      <c r="T328" s="135" t="s">
        <v>770</v>
      </c>
      <c r="U328" s="120">
        <f>П4ВСР!Z548</f>
        <v>200000</v>
      </c>
      <c r="V328" s="120">
        <v>0</v>
      </c>
      <c r="W328" s="120">
        <v>0</v>
      </c>
      <c r="X328" s="118"/>
    </row>
    <row r="329" spans="1:24" ht="73.5" customHeight="1" x14ac:dyDescent="0.25">
      <c r="A329" s="118"/>
      <c r="B329" s="140" t="s">
        <v>124</v>
      </c>
      <c r="C329" s="140" t="s">
        <v>123</v>
      </c>
      <c r="D329" s="230" t="s">
        <v>1485</v>
      </c>
      <c r="E329" s="140"/>
      <c r="F329" s="140"/>
      <c r="G329" s="140"/>
      <c r="H329" s="140"/>
      <c r="I329" s="140"/>
      <c r="J329" s="140"/>
      <c r="K329" s="140"/>
      <c r="L329" s="140"/>
      <c r="M329" s="140"/>
      <c r="N329" s="140"/>
      <c r="O329" s="140"/>
      <c r="P329" s="140"/>
      <c r="Q329" s="140"/>
      <c r="R329" s="140"/>
      <c r="S329" s="140"/>
      <c r="T329" s="153" t="s">
        <v>1484</v>
      </c>
      <c r="U329" s="120">
        <f>U330</f>
        <v>0</v>
      </c>
      <c r="V329" s="120">
        <v>0</v>
      </c>
      <c r="W329" s="120">
        <v>0</v>
      </c>
      <c r="X329" s="118"/>
    </row>
    <row r="330" spans="1:24" ht="48" customHeight="1" x14ac:dyDescent="0.25">
      <c r="A330" s="118"/>
      <c r="B330" s="140" t="s">
        <v>124</v>
      </c>
      <c r="C330" s="140" t="s">
        <v>123</v>
      </c>
      <c r="D330" s="230" t="s">
        <v>1485</v>
      </c>
      <c r="E330" s="140"/>
      <c r="F330" s="140"/>
      <c r="G330" s="140"/>
      <c r="H330" s="140"/>
      <c r="I330" s="140"/>
      <c r="J330" s="140"/>
      <c r="K330" s="140"/>
      <c r="L330" s="140"/>
      <c r="M330" s="140"/>
      <c r="N330" s="140"/>
      <c r="O330" s="140"/>
      <c r="P330" s="140"/>
      <c r="Q330" s="140"/>
      <c r="R330" s="140"/>
      <c r="S330" s="140" t="s">
        <v>275</v>
      </c>
      <c r="T330" s="135" t="s">
        <v>565</v>
      </c>
      <c r="U330" s="120">
        <f>П4ВСР!Z259</f>
        <v>0</v>
      </c>
      <c r="V330" s="120">
        <v>0</v>
      </c>
      <c r="W330" s="120">
        <v>0</v>
      </c>
      <c r="X330" s="118"/>
    </row>
    <row r="331" spans="1:24" ht="80.25" customHeight="1" x14ac:dyDescent="0.25">
      <c r="A331" s="118"/>
      <c r="B331" s="140" t="s">
        <v>124</v>
      </c>
      <c r="C331" s="140" t="s">
        <v>123</v>
      </c>
      <c r="D331" s="230" t="s">
        <v>872</v>
      </c>
      <c r="E331" s="140"/>
      <c r="F331" s="140"/>
      <c r="G331" s="140"/>
      <c r="H331" s="140"/>
      <c r="I331" s="140"/>
      <c r="J331" s="140"/>
      <c r="K331" s="140"/>
      <c r="L331" s="140"/>
      <c r="M331" s="140"/>
      <c r="N331" s="140"/>
      <c r="O331" s="140"/>
      <c r="P331" s="140"/>
      <c r="Q331" s="140"/>
      <c r="R331" s="140"/>
      <c r="S331" s="140"/>
      <c r="T331" s="153" t="s">
        <v>1247</v>
      </c>
      <c r="U331" s="120">
        <f>U332</f>
        <v>1647151.68</v>
      </c>
      <c r="V331" s="120">
        <v>0</v>
      </c>
      <c r="W331" s="120">
        <v>0</v>
      </c>
      <c r="X331" s="118"/>
    </row>
    <row r="332" spans="1:24" ht="48.75" customHeight="1" x14ac:dyDescent="0.25">
      <c r="A332" s="118"/>
      <c r="B332" s="140" t="s">
        <v>124</v>
      </c>
      <c r="C332" s="140" t="s">
        <v>123</v>
      </c>
      <c r="D332" s="230" t="s">
        <v>872</v>
      </c>
      <c r="E332" s="140"/>
      <c r="F332" s="140"/>
      <c r="G332" s="140"/>
      <c r="H332" s="140"/>
      <c r="I332" s="140"/>
      <c r="J332" s="140"/>
      <c r="K332" s="140"/>
      <c r="L332" s="140"/>
      <c r="M332" s="140"/>
      <c r="N332" s="140"/>
      <c r="O332" s="140"/>
      <c r="P332" s="140"/>
      <c r="Q332" s="140"/>
      <c r="R332" s="140"/>
      <c r="S332" s="140" t="s">
        <v>275</v>
      </c>
      <c r="T332" s="135" t="s">
        <v>565</v>
      </c>
      <c r="U332" s="120">
        <f>П4ВСР!Z261</f>
        <v>1647151.68</v>
      </c>
      <c r="V332" s="120">
        <v>0</v>
      </c>
      <c r="W332" s="120">
        <v>0</v>
      </c>
      <c r="X332" s="118"/>
    </row>
    <row r="333" spans="1:24" ht="84" customHeight="1" x14ac:dyDescent="0.25">
      <c r="A333" s="118"/>
      <c r="B333" s="140" t="s">
        <v>124</v>
      </c>
      <c r="C333" s="140" t="s">
        <v>123</v>
      </c>
      <c r="D333" s="230" t="s">
        <v>872</v>
      </c>
      <c r="E333" s="140"/>
      <c r="F333" s="140"/>
      <c r="G333" s="140"/>
      <c r="H333" s="140"/>
      <c r="I333" s="140"/>
      <c r="J333" s="140"/>
      <c r="K333" s="140"/>
      <c r="L333" s="140"/>
      <c r="M333" s="140"/>
      <c r="N333" s="140"/>
      <c r="O333" s="140"/>
      <c r="P333" s="140"/>
      <c r="Q333" s="140"/>
      <c r="R333" s="140"/>
      <c r="S333" s="140"/>
      <c r="T333" s="153" t="s">
        <v>1247</v>
      </c>
      <c r="U333" s="120">
        <f>U334</f>
        <v>3863799.21</v>
      </c>
      <c r="V333" s="120">
        <v>0</v>
      </c>
      <c r="W333" s="120">
        <v>0</v>
      </c>
      <c r="X333" s="118"/>
    </row>
    <row r="334" spans="1:24" ht="33" customHeight="1" x14ac:dyDescent="0.25">
      <c r="A334" s="118"/>
      <c r="B334" s="140" t="s">
        <v>124</v>
      </c>
      <c r="C334" s="140" t="s">
        <v>123</v>
      </c>
      <c r="D334" s="230" t="s">
        <v>872</v>
      </c>
      <c r="E334" s="140"/>
      <c r="F334" s="140"/>
      <c r="G334" s="140"/>
      <c r="H334" s="140"/>
      <c r="I334" s="140"/>
      <c r="J334" s="140"/>
      <c r="K334" s="140"/>
      <c r="L334" s="140"/>
      <c r="M334" s="140"/>
      <c r="N334" s="140"/>
      <c r="O334" s="140"/>
      <c r="P334" s="140"/>
      <c r="Q334" s="140"/>
      <c r="R334" s="140"/>
      <c r="S334" s="140" t="s">
        <v>427</v>
      </c>
      <c r="T334" s="135" t="s">
        <v>770</v>
      </c>
      <c r="U334" s="120">
        <f>П4ВСР!Z552</f>
        <v>3863799.21</v>
      </c>
      <c r="V334" s="120">
        <v>0</v>
      </c>
      <c r="W334" s="120">
        <v>0</v>
      </c>
      <c r="X334" s="118"/>
    </row>
    <row r="335" spans="1:24" ht="44.25" hidden="1" customHeight="1" x14ac:dyDescent="0.25">
      <c r="A335" s="118" t="s">
        <v>364</v>
      </c>
      <c r="B335" s="134" t="s">
        <v>124</v>
      </c>
      <c r="C335" s="134" t="s">
        <v>123</v>
      </c>
      <c r="D335" s="134" t="s">
        <v>743</v>
      </c>
      <c r="E335" s="134"/>
      <c r="F335" s="134"/>
      <c r="G335" s="134"/>
      <c r="H335" s="134"/>
      <c r="I335" s="134"/>
      <c r="J335" s="134"/>
      <c r="K335" s="134"/>
      <c r="L335" s="134"/>
      <c r="M335" s="134"/>
      <c r="N335" s="134"/>
      <c r="O335" s="134"/>
      <c r="P335" s="134"/>
      <c r="Q335" s="134"/>
      <c r="R335" s="134"/>
      <c r="S335" s="134"/>
      <c r="T335" s="153" t="s">
        <v>741</v>
      </c>
      <c r="U335" s="120">
        <f>U336</f>
        <v>0</v>
      </c>
      <c r="V335" s="120">
        <f>V336</f>
        <v>0</v>
      </c>
      <c r="W335" s="120">
        <f>W336</f>
        <v>0</v>
      </c>
      <c r="X335" s="118" t="s">
        <v>364</v>
      </c>
    </row>
    <row r="336" spans="1:24" ht="51" hidden="1" customHeight="1" x14ac:dyDescent="0.25">
      <c r="A336" s="118" t="s">
        <v>365</v>
      </c>
      <c r="B336" s="140" t="s">
        <v>124</v>
      </c>
      <c r="C336" s="140" t="s">
        <v>123</v>
      </c>
      <c r="D336" s="134" t="s">
        <v>743</v>
      </c>
      <c r="E336" s="140"/>
      <c r="F336" s="140"/>
      <c r="G336" s="140"/>
      <c r="H336" s="140"/>
      <c r="I336" s="140"/>
      <c r="J336" s="140"/>
      <c r="K336" s="140"/>
      <c r="L336" s="140"/>
      <c r="M336" s="140"/>
      <c r="N336" s="140"/>
      <c r="O336" s="140"/>
      <c r="P336" s="140"/>
      <c r="Q336" s="140"/>
      <c r="R336" s="140"/>
      <c r="S336" s="140" t="s">
        <v>275</v>
      </c>
      <c r="T336" s="135" t="s">
        <v>742</v>
      </c>
      <c r="U336" s="120">
        <f>П4ВСР!Z264</f>
        <v>0</v>
      </c>
      <c r="V336" s="120">
        <f>П4ВСР!AA264</f>
        <v>0</v>
      </c>
      <c r="W336" s="120">
        <f>П4ВСР!AB264</f>
        <v>0</v>
      </c>
      <c r="X336" s="118" t="s">
        <v>365</v>
      </c>
    </row>
    <row r="337" spans="1:27" ht="70.5" customHeight="1" x14ac:dyDescent="0.25">
      <c r="A337" s="118"/>
      <c r="B337" s="140" t="s">
        <v>124</v>
      </c>
      <c r="C337" s="140" t="s">
        <v>123</v>
      </c>
      <c r="D337" s="230" t="s">
        <v>1462</v>
      </c>
      <c r="E337" s="140"/>
      <c r="F337" s="140"/>
      <c r="G337" s="140"/>
      <c r="H337" s="140"/>
      <c r="I337" s="140"/>
      <c r="J337" s="140"/>
      <c r="K337" s="140"/>
      <c r="L337" s="140"/>
      <c r="M337" s="140"/>
      <c r="N337" s="140"/>
      <c r="O337" s="140"/>
      <c r="P337" s="140"/>
      <c r="Q337" s="140"/>
      <c r="R337" s="140"/>
      <c r="S337" s="140"/>
      <c r="T337" s="254" t="s">
        <v>1461</v>
      </c>
      <c r="U337" s="120">
        <f>U338</f>
        <v>79005.10999999987</v>
      </c>
      <c r="V337" s="120">
        <v>0</v>
      </c>
      <c r="W337" s="120">
        <v>0</v>
      </c>
      <c r="X337" s="118"/>
    </row>
    <row r="338" spans="1:27" ht="51" customHeight="1" x14ac:dyDescent="0.25">
      <c r="A338" s="118"/>
      <c r="B338" s="140" t="s">
        <v>124</v>
      </c>
      <c r="C338" s="140" t="s">
        <v>123</v>
      </c>
      <c r="D338" s="230" t="s">
        <v>1462</v>
      </c>
      <c r="E338" s="140"/>
      <c r="F338" s="140"/>
      <c r="G338" s="140"/>
      <c r="H338" s="140"/>
      <c r="I338" s="140"/>
      <c r="J338" s="140"/>
      <c r="K338" s="140"/>
      <c r="L338" s="140"/>
      <c r="M338" s="140"/>
      <c r="N338" s="140"/>
      <c r="O338" s="140"/>
      <c r="P338" s="140"/>
      <c r="Q338" s="140"/>
      <c r="R338" s="140"/>
      <c r="S338" s="140" t="s">
        <v>275</v>
      </c>
      <c r="T338" s="135" t="s">
        <v>565</v>
      </c>
      <c r="U338" s="219">
        <f>П4ВСР!Z265</f>
        <v>79005.10999999987</v>
      </c>
      <c r="V338" s="120">
        <v>0</v>
      </c>
      <c r="W338" s="120">
        <v>0</v>
      </c>
      <c r="X338" s="118"/>
    </row>
    <row r="339" spans="1:27" ht="69.75" customHeight="1" x14ac:dyDescent="0.25">
      <c r="A339" s="118"/>
      <c r="B339" s="140" t="s">
        <v>124</v>
      </c>
      <c r="C339" s="140" t="s">
        <v>123</v>
      </c>
      <c r="D339" s="230" t="s">
        <v>1462</v>
      </c>
      <c r="E339" s="140"/>
      <c r="F339" s="140"/>
      <c r="G339" s="140"/>
      <c r="H339" s="140"/>
      <c r="I339" s="140"/>
      <c r="J339" s="140"/>
      <c r="K339" s="140"/>
      <c r="L339" s="140"/>
      <c r="M339" s="140"/>
      <c r="N339" s="140"/>
      <c r="O339" s="140"/>
      <c r="P339" s="140"/>
      <c r="Q339" s="140"/>
      <c r="R339" s="140"/>
      <c r="S339" s="140"/>
      <c r="T339" s="486" t="s">
        <v>1461</v>
      </c>
      <c r="U339" s="219">
        <f>U340</f>
        <v>750000</v>
      </c>
      <c r="V339" s="120">
        <v>0</v>
      </c>
      <c r="W339" s="120">
        <v>0</v>
      </c>
      <c r="X339" s="118"/>
    </row>
    <row r="340" spans="1:27" ht="39.75" customHeight="1" x14ac:dyDescent="0.25">
      <c r="A340" s="118"/>
      <c r="B340" s="140" t="s">
        <v>124</v>
      </c>
      <c r="C340" s="140" t="s">
        <v>123</v>
      </c>
      <c r="D340" s="230" t="s">
        <v>1462</v>
      </c>
      <c r="E340" s="140"/>
      <c r="F340" s="140"/>
      <c r="G340" s="140"/>
      <c r="H340" s="140"/>
      <c r="I340" s="140"/>
      <c r="J340" s="140"/>
      <c r="K340" s="140"/>
      <c r="L340" s="140"/>
      <c r="M340" s="140"/>
      <c r="N340" s="140"/>
      <c r="O340" s="140"/>
      <c r="P340" s="140"/>
      <c r="Q340" s="140"/>
      <c r="R340" s="140"/>
      <c r="S340" s="140" t="s">
        <v>427</v>
      </c>
      <c r="T340" s="135" t="s">
        <v>770</v>
      </c>
      <c r="U340" s="219">
        <f>П4ВСР!Z561</f>
        <v>750000</v>
      </c>
      <c r="V340" s="120">
        <v>0</v>
      </c>
      <c r="W340" s="120">
        <v>0</v>
      </c>
      <c r="X340" s="118"/>
    </row>
    <row r="341" spans="1:27" ht="18.600000000000001" customHeight="1" x14ac:dyDescent="0.25">
      <c r="A341" s="116" t="s">
        <v>366</v>
      </c>
      <c r="B341" s="126" t="s">
        <v>138</v>
      </c>
      <c r="C341" s="126" t="s">
        <v>133</v>
      </c>
      <c r="D341" s="126"/>
      <c r="E341" s="126"/>
      <c r="F341" s="126"/>
      <c r="G341" s="126"/>
      <c r="H341" s="126"/>
      <c r="I341" s="126"/>
      <c r="J341" s="126"/>
      <c r="K341" s="126"/>
      <c r="L341" s="126"/>
      <c r="M341" s="126"/>
      <c r="N341" s="126"/>
      <c r="O341" s="126"/>
      <c r="P341" s="126"/>
      <c r="Q341" s="126"/>
      <c r="R341" s="126"/>
      <c r="S341" s="126"/>
      <c r="T341" s="116" t="s">
        <v>366</v>
      </c>
      <c r="U341" s="117">
        <f>U342+U359+U419+U444+U412</f>
        <v>514127232.35999995</v>
      </c>
      <c r="V341" s="117">
        <f>V342+V359+V419+V444+V412</f>
        <v>471885856.39999992</v>
      </c>
      <c r="W341" s="117">
        <f>W342+W359+W419+W444+W412</f>
        <v>495532900.21999997</v>
      </c>
      <c r="X341" s="116" t="s">
        <v>366</v>
      </c>
    </row>
    <row r="342" spans="1:27" ht="18.600000000000001" customHeight="1" x14ac:dyDescent="0.25">
      <c r="A342" s="118" t="s">
        <v>155</v>
      </c>
      <c r="B342" s="119" t="s">
        <v>138</v>
      </c>
      <c r="C342" s="119" t="s">
        <v>122</v>
      </c>
      <c r="D342" s="119"/>
      <c r="E342" s="119"/>
      <c r="F342" s="119"/>
      <c r="G342" s="119"/>
      <c r="H342" s="119"/>
      <c r="I342" s="119"/>
      <c r="J342" s="119"/>
      <c r="K342" s="119"/>
      <c r="L342" s="119"/>
      <c r="M342" s="119"/>
      <c r="N342" s="119"/>
      <c r="O342" s="119"/>
      <c r="P342" s="119"/>
      <c r="Q342" s="119"/>
      <c r="R342" s="119"/>
      <c r="S342" s="119"/>
      <c r="T342" s="118" t="s">
        <v>155</v>
      </c>
      <c r="U342" s="120">
        <f>U343+U349+U351+U355+U357+U345+U347+U353</f>
        <v>121166056.84999999</v>
      </c>
      <c r="V342" s="120">
        <f>V343+V349+V351+V355+V357+V345+V347</f>
        <v>136187868.88999999</v>
      </c>
      <c r="W342" s="120">
        <f>W343+W349+W351+W355+W357+W345+W347</f>
        <v>148067405.03</v>
      </c>
      <c r="X342" s="118" t="s">
        <v>155</v>
      </c>
    </row>
    <row r="343" spans="1:27" ht="0.75" customHeight="1" x14ac:dyDescent="0.25">
      <c r="A343" s="118"/>
      <c r="B343" s="161" t="s">
        <v>138</v>
      </c>
      <c r="C343" s="161" t="s">
        <v>122</v>
      </c>
      <c r="D343" s="161" t="s">
        <v>762</v>
      </c>
      <c r="E343" s="161"/>
      <c r="F343" s="161"/>
      <c r="G343" s="161"/>
      <c r="H343" s="161"/>
      <c r="I343" s="161"/>
      <c r="J343" s="161"/>
      <c r="K343" s="161"/>
      <c r="L343" s="161"/>
      <c r="M343" s="161"/>
      <c r="N343" s="161"/>
      <c r="O343" s="161"/>
      <c r="P343" s="161"/>
      <c r="Q343" s="161"/>
      <c r="R343" s="161"/>
      <c r="S343" s="161"/>
      <c r="T343" s="285" t="s">
        <v>763</v>
      </c>
      <c r="U343" s="120">
        <f>U344</f>
        <v>0</v>
      </c>
      <c r="V343" s="120">
        <f>V344</f>
        <v>0</v>
      </c>
      <c r="W343" s="120">
        <f>W344</f>
        <v>0</v>
      </c>
      <c r="X343" s="118"/>
    </row>
    <row r="344" spans="1:27" ht="102" hidden="1" customHeight="1" x14ac:dyDescent="0.25">
      <c r="A344" s="118"/>
      <c r="B344" s="136" t="s">
        <v>138</v>
      </c>
      <c r="C344" s="136" t="s">
        <v>122</v>
      </c>
      <c r="D344" s="161" t="s">
        <v>762</v>
      </c>
      <c r="E344" s="136"/>
      <c r="F344" s="136"/>
      <c r="G344" s="136"/>
      <c r="H344" s="136"/>
      <c r="I344" s="136"/>
      <c r="J344" s="136"/>
      <c r="K344" s="136"/>
      <c r="L344" s="136"/>
      <c r="M344" s="136"/>
      <c r="N344" s="136"/>
      <c r="O344" s="136"/>
      <c r="P344" s="136"/>
      <c r="Q344" s="136"/>
      <c r="R344" s="136"/>
      <c r="S344" s="136" t="s">
        <v>294</v>
      </c>
      <c r="T344" s="135" t="s">
        <v>761</v>
      </c>
      <c r="U344" s="120">
        <f>П4ВСР!Z600</f>
        <v>0</v>
      </c>
      <c r="V344" s="120">
        <f>П4ВСР!AA600</f>
        <v>0</v>
      </c>
      <c r="W344" s="120">
        <f>П4ВСР!AB600</f>
        <v>0</v>
      </c>
      <c r="X344" s="118"/>
    </row>
    <row r="345" spans="1:27" ht="173.25" customHeight="1" x14ac:dyDescent="0.25">
      <c r="A345" s="118"/>
      <c r="B345" s="136" t="s">
        <v>138</v>
      </c>
      <c r="C345" s="136" t="s">
        <v>122</v>
      </c>
      <c r="D345" s="161" t="s">
        <v>776</v>
      </c>
      <c r="E345" s="136"/>
      <c r="F345" s="136"/>
      <c r="G345" s="136"/>
      <c r="H345" s="136"/>
      <c r="I345" s="136"/>
      <c r="J345" s="136"/>
      <c r="K345" s="136"/>
      <c r="L345" s="136"/>
      <c r="M345" s="136"/>
      <c r="N345" s="136"/>
      <c r="O345" s="136"/>
      <c r="P345" s="136"/>
      <c r="Q345" s="136"/>
      <c r="R345" s="136"/>
      <c r="S345" s="136"/>
      <c r="T345" s="153" t="s">
        <v>1248</v>
      </c>
      <c r="U345" s="120">
        <f>U346</f>
        <v>201859.71000000002</v>
      </c>
      <c r="V345" s="120">
        <f>V346</f>
        <v>100000</v>
      </c>
      <c r="W345" s="120">
        <f>W346</f>
        <v>100000</v>
      </c>
      <c r="X345" s="118"/>
      <c r="AA345" s="127"/>
    </row>
    <row r="346" spans="1:27" ht="61.5" customHeight="1" x14ac:dyDescent="0.25">
      <c r="A346" s="118"/>
      <c r="B346" s="136" t="s">
        <v>138</v>
      </c>
      <c r="C346" s="136" t="s">
        <v>122</v>
      </c>
      <c r="D346" s="161" t="s">
        <v>776</v>
      </c>
      <c r="E346" s="136"/>
      <c r="F346" s="136"/>
      <c r="G346" s="136"/>
      <c r="H346" s="136"/>
      <c r="I346" s="136"/>
      <c r="J346" s="136"/>
      <c r="K346" s="136"/>
      <c r="L346" s="136"/>
      <c r="M346" s="136"/>
      <c r="N346" s="136"/>
      <c r="O346" s="136"/>
      <c r="P346" s="136"/>
      <c r="Q346" s="136"/>
      <c r="R346" s="136"/>
      <c r="S346" s="136" t="s">
        <v>294</v>
      </c>
      <c r="T346" s="135" t="s">
        <v>708</v>
      </c>
      <c r="U346" s="120">
        <f>П4ВСР!Z601</f>
        <v>201859.71000000002</v>
      </c>
      <c r="V346" s="120">
        <f>П4ВСР!AA601</f>
        <v>100000</v>
      </c>
      <c r="W346" s="120">
        <f>П4ВСР!AB601</f>
        <v>100000</v>
      </c>
      <c r="X346" s="118"/>
      <c r="AA346" s="127"/>
    </row>
    <row r="347" spans="1:27" ht="140.25" customHeight="1" x14ac:dyDescent="0.25">
      <c r="A347" s="118"/>
      <c r="B347" s="136" t="s">
        <v>138</v>
      </c>
      <c r="C347" s="136" t="s">
        <v>122</v>
      </c>
      <c r="D347" s="161" t="s">
        <v>1094</v>
      </c>
      <c r="E347" s="136"/>
      <c r="F347" s="136"/>
      <c r="G347" s="136"/>
      <c r="H347" s="136"/>
      <c r="I347" s="136"/>
      <c r="J347" s="136"/>
      <c r="K347" s="136"/>
      <c r="L347" s="136"/>
      <c r="M347" s="136"/>
      <c r="N347" s="136"/>
      <c r="O347" s="136"/>
      <c r="P347" s="136"/>
      <c r="Q347" s="136"/>
      <c r="R347" s="136"/>
      <c r="S347" s="136"/>
      <c r="T347" s="155" t="s">
        <v>1331</v>
      </c>
      <c r="U347" s="120">
        <f>U348</f>
        <v>66161123.019999996</v>
      </c>
      <c r="V347" s="120">
        <f>V348</f>
        <v>73403958.049999997</v>
      </c>
      <c r="W347" s="120">
        <f>W348</f>
        <v>73611170.960000008</v>
      </c>
      <c r="X347" s="118"/>
      <c r="AA347" s="127"/>
    </row>
    <row r="348" spans="1:27" ht="60.75" customHeight="1" x14ac:dyDescent="0.25">
      <c r="A348" s="118"/>
      <c r="B348" s="136" t="s">
        <v>138</v>
      </c>
      <c r="C348" s="136" t="s">
        <v>122</v>
      </c>
      <c r="D348" s="161" t="s">
        <v>1094</v>
      </c>
      <c r="E348" s="136"/>
      <c r="F348" s="136"/>
      <c r="G348" s="136"/>
      <c r="H348" s="136"/>
      <c r="I348" s="136"/>
      <c r="J348" s="136"/>
      <c r="K348" s="136"/>
      <c r="L348" s="136"/>
      <c r="M348" s="136"/>
      <c r="N348" s="136"/>
      <c r="O348" s="136"/>
      <c r="P348" s="136"/>
      <c r="Q348" s="136"/>
      <c r="R348" s="136"/>
      <c r="S348" s="136" t="s">
        <v>294</v>
      </c>
      <c r="T348" s="135" t="s">
        <v>708</v>
      </c>
      <c r="U348" s="120">
        <f>П4ВСР!Z603</f>
        <v>66161123.019999996</v>
      </c>
      <c r="V348" s="120">
        <f>П4ВСР!AA603</f>
        <v>73403958.049999997</v>
      </c>
      <c r="W348" s="120">
        <f>П4ВСР!AB603</f>
        <v>73611170.960000008</v>
      </c>
      <c r="X348" s="118"/>
      <c r="AA348" s="127"/>
    </row>
    <row r="349" spans="1:27" ht="127.5" customHeight="1" x14ac:dyDescent="0.25">
      <c r="A349" s="118" t="s">
        <v>429</v>
      </c>
      <c r="B349" s="161" t="s">
        <v>138</v>
      </c>
      <c r="C349" s="161" t="s">
        <v>122</v>
      </c>
      <c r="D349" s="161" t="s">
        <v>621</v>
      </c>
      <c r="E349" s="161"/>
      <c r="F349" s="161"/>
      <c r="G349" s="161"/>
      <c r="H349" s="161"/>
      <c r="I349" s="161"/>
      <c r="J349" s="161"/>
      <c r="K349" s="161"/>
      <c r="L349" s="161"/>
      <c r="M349" s="161"/>
      <c r="N349" s="161"/>
      <c r="O349" s="161"/>
      <c r="P349" s="161"/>
      <c r="Q349" s="161"/>
      <c r="R349" s="161"/>
      <c r="S349" s="161"/>
      <c r="T349" s="153" t="s">
        <v>1408</v>
      </c>
      <c r="U349" s="120">
        <f>U350</f>
        <v>5123068</v>
      </c>
      <c r="V349" s="120">
        <f>V350</f>
        <v>0</v>
      </c>
      <c r="W349" s="120">
        <f>W350</f>
        <v>0</v>
      </c>
      <c r="X349" s="118" t="s">
        <v>429</v>
      </c>
    </row>
    <row r="350" spans="1:27" ht="71.25" customHeight="1" x14ac:dyDescent="0.25">
      <c r="A350" s="118" t="s">
        <v>430</v>
      </c>
      <c r="B350" s="136" t="s">
        <v>138</v>
      </c>
      <c r="C350" s="136" t="s">
        <v>122</v>
      </c>
      <c r="D350" s="161" t="s">
        <v>621</v>
      </c>
      <c r="E350" s="136"/>
      <c r="F350" s="136"/>
      <c r="G350" s="136"/>
      <c r="H350" s="136"/>
      <c r="I350" s="136"/>
      <c r="J350" s="136"/>
      <c r="K350" s="136"/>
      <c r="L350" s="136"/>
      <c r="M350" s="136"/>
      <c r="N350" s="136"/>
      <c r="O350" s="136"/>
      <c r="P350" s="136"/>
      <c r="Q350" s="136"/>
      <c r="R350" s="136"/>
      <c r="S350" s="136" t="s">
        <v>294</v>
      </c>
      <c r="T350" s="135" t="s">
        <v>708</v>
      </c>
      <c r="U350" s="120">
        <f>П4ВСР!Z606</f>
        <v>5123068</v>
      </c>
      <c r="V350" s="120">
        <f>П4ВСР!AA606</f>
        <v>0</v>
      </c>
      <c r="W350" s="120">
        <f>П4ВСР!AB606</f>
        <v>0</v>
      </c>
      <c r="X350" s="118" t="s">
        <v>430</v>
      </c>
    </row>
    <row r="351" spans="1:27" ht="112.5" customHeight="1" x14ac:dyDescent="0.25">
      <c r="A351" s="118" t="s">
        <v>431</v>
      </c>
      <c r="B351" s="161" t="s">
        <v>138</v>
      </c>
      <c r="C351" s="161" t="s">
        <v>122</v>
      </c>
      <c r="D351" s="161" t="s">
        <v>622</v>
      </c>
      <c r="E351" s="161"/>
      <c r="F351" s="161"/>
      <c r="G351" s="161"/>
      <c r="H351" s="161"/>
      <c r="I351" s="161"/>
      <c r="J351" s="161"/>
      <c r="K351" s="161"/>
      <c r="L351" s="161"/>
      <c r="M351" s="161"/>
      <c r="N351" s="161"/>
      <c r="O351" s="161"/>
      <c r="P351" s="161"/>
      <c r="Q351" s="161"/>
      <c r="R351" s="161"/>
      <c r="S351" s="161"/>
      <c r="T351" s="153" t="s">
        <v>1249</v>
      </c>
      <c r="U351" s="120">
        <f>U352</f>
        <v>2100000</v>
      </c>
      <c r="V351" s="120">
        <f>V352</f>
        <v>4241441.93</v>
      </c>
      <c r="W351" s="120">
        <f>W352</f>
        <v>4734115.1599999992</v>
      </c>
      <c r="X351" s="118" t="s">
        <v>431</v>
      </c>
      <c r="AA351" s="127"/>
    </row>
    <row r="352" spans="1:27" ht="58.5" customHeight="1" x14ac:dyDescent="0.25">
      <c r="A352" s="118" t="s">
        <v>432</v>
      </c>
      <c r="B352" s="136" t="s">
        <v>138</v>
      </c>
      <c r="C352" s="136" t="s">
        <v>122</v>
      </c>
      <c r="D352" s="161" t="s">
        <v>622</v>
      </c>
      <c r="E352" s="136"/>
      <c r="F352" s="136"/>
      <c r="G352" s="136"/>
      <c r="H352" s="136"/>
      <c r="I352" s="136"/>
      <c r="J352" s="136"/>
      <c r="K352" s="136"/>
      <c r="L352" s="136"/>
      <c r="M352" s="136"/>
      <c r="N352" s="136"/>
      <c r="O352" s="136"/>
      <c r="P352" s="136"/>
      <c r="Q352" s="136"/>
      <c r="R352" s="136"/>
      <c r="S352" s="136" t="s">
        <v>294</v>
      </c>
      <c r="T352" s="135" t="s">
        <v>708</v>
      </c>
      <c r="U352" s="120">
        <f>П4ВСР!Z608</f>
        <v>2100000</v>
      </c>
      <c r="V352" s="120">
        <f>П4ВСР!AA608</f>
        <v>4241441.93</v>
      </c>
      <c r="W352" s="120">
        <f>П4ВСР!AB608</f>
        <v>4734115.1599999992</v>
      </c>
      <c r="X352" s="118" t="s">
        <v>432</v>
      </c>
      <c r="AA352" s="127"/>
    </row>
    <row r="353" spans="1:27" ht="165" hidden="1" customHeight="1" x14ac:dyDescent="0.25">
      <c r="A353" s="118"/>
      <c r="B353" s="520" t="s">
        <v>138</v>
      </c>
      <c r="C353" s="520" t="s">
        <v>122</v>
      </c>
      <c r="D353" s="230" t="s">
        <v>1101</v>
      </c>
      <c r="E353" s="136"/>
      <c r="F353" s="136"/>
      <c r="G353" s="136"/>
      <c r="H353" s="136"/>
      <c r="I353" s="136"/>
      <c r="J353" s="136"/>
      <c r="K353" s="136"/>
      <c r="L353" s="136"/>
      <c r="M353" s="136"/>
      <c r="N353" s="136"/>
      <c r="O353" s="136"/>
      <c r="P353" s="136"/>
      <c r="Q353" s="136"/>
      <c r="R353" s="136"/>
      <c r="S353" s="136"/>
      <c r="T353" s="155" t="s">
        <v>1532</v>
      </c>
      <c r="U353" s="120">
        <f>U354</f>
        <v>0</v>
      </c>
      <c r="V353" s="120">
        <v>0</v>
      </c>
      <c r="W353" s="120">
        <v>0</v>
      </c>
      <c r="X353" s="118"/>
      <c r="AA353" s="127"/>
    </row>
    <row r="354" spans="1:27" ht="60" hidden="1" customHeight="1" x14ac:dyDescent="0.25">
      <c r="A354" s="118"/>
      <c r="B354" s="520" t="s">
        <v>138</v>
      </c>
      <c r="C354" s="520" t="s">
        <v>122</v>
      </c>
      <c r="D354" s="230" t="s">
        <v>1101</v>
      </c>
      <c r="E354" s="136"/>
      <c r="F354" s="136"/>
      <c r="G354" s="136"/>
      <c r="H354" s="136"/>
      <c r="I354" s="136"/>
      <c r="J354" s="136"/>
      <c r="K354" s="136"/>
      <c r="L354" s="136"/>
      <c r="M354" s="136"/>
      <c r="N354" s="136"/>
      <c r="O354" s="136"/>
      <c r="P354" s="136"/>
      <c r="Q354" s="136"/>
      <c r="R354" s="136"/>
      <c r="S354" s="136" t="s">
        <v>294</v>
      </c>
      <c r="T354" s="135" t="s">
        <v>708</v>
      </c>
      <c r="U354" s="120">
        <f>П4ВСР!Z609</f>
        <v>0</v>
      </c>
      <c r="V354" s="120">
        <v>0</v>
      </c>
      <c r="W354" s="120">
        <v>0</v>
      </c>
      <c r="X354" s="118"/>
      <c r="AA354" s="127"/>
    </row>
    <row r="355" spans="1:27" ht="308.25" customHeight="1" x14ac:dyDescent="0.25">
      <c r="A355" s="124" t="s">
        <v>234</v>
      </c>
      <c r="B355" s="164" t="s">
        <v>138</v>
      </c>
      <c r="C355" s="164" t="s">
        <v>122</v>
      </c>
      <c r="D355" s="164" t="s">
        <v>705</v>
      </c>
      <c r="E355" s="161"/>
      <c r="F355" s="161"/>
      <c r="G355" s="161"/>
      <c r="H355" s="161"/>
      <c r="I355" s="161"/>
      <c r="J355" s="161"/>
      <c r="K355" s="161"/>
      <c r="L355" s="161"/>
      <c r="M355" s="161"/>
      <c r="N355" s="161"/>
      <c r="O355" s="161"/>
      <c r="P355" s="161"/>
      <c r="Q355" s="161"/>
      <c r="R355" s="161"/>
      <c r="S355" s="161"/>
      <c r="T355" s="283" t="s">
        <v>1294</v>
      </c>
      <c r="U355" s="120">
        <f>U356</f>
        <v>47420006.119999997</v>
      </c>
      <c r="V355" s="120">
        <f>V356</f>
        <v>58122468.909999996</v>
      </c>
      <c r="W355" s="120">
        <f>W356</f>
        <v>69302118.909999996</v>
      </c>
      <c r="X355" s="124" t="s">
        <v>234</v>
      </c>
      <c r="AA355" s="127"/>
    </row>
    <row r="356" spans="1:27" ht="57.75" customHeight="1" x14ac:dyDescent="0.25">
      <c r="A356" s="124" t="s">
        <v>433</v>
      </c>
      <c r="B356" s="136" t="s">
        <v>138</v>
      </c>
      <c r="C356" s="136" t="s">
        <v>122</v>
      </c>
      <c r="D356" s="164" t="s">
        <v>705</v>
      </c>
      <c r="E356" s="136"/>
      <c r="F356" s="136"/>
      <c r="G356" s="136"/>
      <c r="H356" s="136"/>
      <c r="I356" s="136"/>
      <c r="J356" s="136"/>
      <c r="K356" s="136"/>
      <c r="L356" s="136"/>
      <c r="M356" s="136"/>
      <c r="N356" s="136"/>
      <c r="O356" s="136"/>
      <c r="P356" s="136"/>
      <c r="Q356" s="136"/>
      <c r="R356" s="136"/>
      <c r="S356" s="136" t="s">
        <v>294</v>
      </c>
      <c r="T356" s="749" t="s">
        <v>708</v>
      </c>
      <c r="U356" s="120">
        <f>П4ВСР!Z612</f>
        <v>47420006.119999997</v>
      </c>
      <c r="V356" s="120">
        <f>П4ВСР!AA612</f>
        <v>58122468.909999996</v>
      </c>
      <c r="W356" s="120">
        <f>П4ВСР!AB612</f>
        <v>69302118.909999996</v>
      </c>
      <c r="X356" s="124" t="s">
        <v>433</v>
      </c>
      <c r="AA356" s="127"/>
    </row>
    <row r="357" spans="1:27" ht="111.75" customHeight="1" x14ac:dyDescent="0.25">
      <c r="A357" s="124"/>
      <c r="B357" s="136" t="s">
        <v>138</v>
      </c>
      <c r="C357" s="136" t="s">
        <v>122</v>
      </c>
      <c r="D357" s="161" t="s">
        <v>612</v>
      </c>
      <c r="E357" s="136"/>
      <c r="F357" s="136"/>
      <c r="G357" s="136"/>
      <c r="H357" s="136"/>
      <c r="I357" s="136"/>
      <c r="J357" s="136"/>
      <c r="K357" s="136"/>
      <c r="L357" s="136"/>
      <c r="M357" s="136"/>
      <c r="N357" s="136"/>
      <c r="O357" s="136"/>
      <c r="P357" s="136"/>
      <c r="Q357" s="136"/>
      <c r="R357" s="136"/>
      <c r="S357" s="443"/>
      <c r="T357" s="867" t="s">
        <v>611</v>
      </c>
      <c r="U357" s="180">
        <f>U358</f>
        <v>160000</v>
      </c>
      <c r="V357" s="120">
        <f>V358</f>
        <v>320000</v>
      </c>
      <c r="W357" s="120">
        <f>W358</f>
        <v>320000</v>
      </c>
      <c r="X357" s="124"/>
    </row>
    <row r="358" spans="1:27" ht="74.25" customHeight="1" x14ac:dyDescent="0.25">
      <c r="A358" s="124"/>
      <c r="B358" s="136" t="s">
        <v>138</v>
      </c>
      <c r="C358" s="136" t="s">
        <v>122</v>
      </c>
      <c r="D358" s="161" t="s">
        <v>612</v>
      </c>
      <c r="E358" s="136"/>
      <c r="F358" s="136"/>
      <c r="G358" s="136"/>
      <c r="H358" s="136"/>
      <c r="I358" s="136"/>
      <c r="J358" s="136"/>
      <c r="K358" s="136"/>
      <c r="L358" s="136"/>
      <c r="M358" s="136"/>
      <c r="N358" s="136"/>
      <c r="O358" s="136"/>
      <c r="P358" s="136"/>
      <c r="Q358" s="136"/>
      <c r="R358" s="136"/>
      <c r="S358" s="443" t="s">
        <v>294</v>
      </c>
      <c r="T358" s="868" t="s">
        <v>708</v>
      </c>
      <c r="U358" s="180">
        <f>П4ВСР!Z614</f>
        <v>160000</v>
      </c>
      <c r="V358" s="120">
        <f>П4ВСР!AA614</f>
        <v>320000</v>
      </c>
      <c r="W358" s="120">
        <f>П4ВСР!AB614</f>
        <v>320000</v>
      </c>
      <c r="X358" s="124"/>
    </row>
    <row r="359" spans="1:27" ht="24.75" customHeight="1" x14ac:dyDescent="0.25">
      <c r="A359" s="118" t="s">
        <v>156</v>
      </c>
      <c r="B359" s="119" t="s">
        <v>138</v>
      </c>
      <c r="C359" s="119" t="s">
        <v>132</v>
      </c>
      <c r="D359" s="119"/>
      <c r="E359" s="119"/>
      <c r="F359" s="119"/>
      <c r="G359" s="119"/>
      <c r="H359" s="119"/>
      <c r="I359" s="119"/>
      <c r="J359" s="119"/>
      <c r="K359" s="119"/>
      <c r="L359" s="119"/>
      <c r="M359" s="119"/>
      <c r="N359" s="119"/>
      <c r="O359" s="119"/>
      <c r="P359" s="119"/>
      <c r="Q359" s="119"/>
      <c r="R359" s="119"/>
      <c r="S359" s="119"/>
      <c r="T359" s="494" t="s">
        <v>156</v>
      </c>
      <c r="U359" s="120">
        <f>U360+U364+U368+U370+U372+U374+U382+U384+U400+U402+U404+U406+U408+U410+U362+U388+U396+U390+U392+U394+U366+U378+U386+U380+U398+U376</f>
        <v>348050071.54000002</v>
      </c>
      <c r="V359" s="120">
        <f>V360+V364+V368+V370+V372+V374+V382+V384+V400+V402+V404+V406+V408+V410+V362+V366+V388</f>
        <v>297315831.83999997</v>
      </c>
      <c r="W359" s="120">
        <f>W360+W364+W368+W370+W372+W374+W382+W384+W400+W402+W404+W406+W408+W410+W362+W366+W388</f>
        <v>311275245.13999999</v>
      </c>
      <c r="X359" s="118" t="s">
        <v>156</v>
      </c>
    </row>
    <row r="360" spans="1:27" ht="52.5" hidden="1" customHeight="1" x14ac:dyDescent="0.25">
      <c r="A360" s="118" t="s">
        <v>434</v>
      </c>
      <c r="B360" s="161" t="s">
        <v>138</v>
      </c>
      <c r="C360" s="161" t="s">
        <v>132</v>
      </c>
      <c r="D360" s="161" t="s">
        <v>762</v>
      </c>
      <c r="E360" s="161"/>
      <c r="F360" s="161"/>
      <c r="G360" s="161"/>
      <c r="H360" s="161"/>
      <c r="I360" s="161"/>
      <c r="J360" s="161"/>
      <c r="K360" s="161"/>
      <c r="L360" s="161"/>
      <c r="M360" s="161"/>
      <c r="N360" s="161"/>
      <c r="O360" s="161"/>
      <c r="P360" s="161"/>
      <c r="Q360" s="161"/>
      <c r="R360" s="161"/>
      <c r="S360" s="161"/>
      <c r="T360" s="285" t="s">
        <v>763</v>
      </c>
      <c r="U360" s="120">
        <f>U361</f>
        <v>0</v>
      </c>
      <c r="V360" s="120">
        <f>V361</f>
        <v>0</v>
      </c>
      <c r="W360" s="120">
        <f>W361</f>
        <v>0</v>
      </c>
      <c r="X360" s="118" t="s">
        <v>434</v>
      </c>
    </row>
    <row r="361" spans="1:27" ht="63" hidden="1" customHeight="1" x14ac:dyDescent="0.25">
      <c r="A361" s="118" t="s">
        <v>435</v>
      </c>
      <c r="B361" s="136" t="s">
        <v>138</v>
      </c>
      <c r="C361" s="136" t="s">
        <v>132</v>
      </c>
      <c r="D361" s="161" t="s">
        <v>762</v>
      </c>
      <c r="E361" s="136"/>
      <c r="F361" s="136"/>
      <c r="G361" s="136"/>
      <c r="H361" s="136"/>
      <c r="I361" s="136"/>
      <c r="J361" s="136"/>
      <c r="K361" s="136"/>
      <c r="L361" s="136"/>
      <c r="M361" s="136"/>
      <c r="N361" s="136"/>
      <c r="O361" s="136"/>
      <c r="P361" s="136"/>
      <c r="Q361" s="136"/>
      <c r="R361" s="136"/>
      <c r="S361" s="136" t="s">
        <v>294</v>
      </c>
      <c r="T361" s="135" t="s">
        <v>761</v>
      </c>
      <c r="U361" s="120">
        <f>П4ВСР!Z617</f>
        <v>0</v>
      </c>
      <c r="V361" s="120">
        <f>П4ВСР!AA617</f>
        <v>0</v>
      </c>
      <c r="W361" s="120">
        <f>П4ВСР!AB617</f>
        <v>0</v>
      </c>
      <c r="X361" s="118" t="s">
        <v>435</v>
      </c>
    </row>
    <row r="362" spans="1:27" ht="175.5" customHeight="1" x14ac:dyDescent="0.25">
      <c r="A362" s="118"/>
      <c r="B362" s="136" t="s">
        <v>138</v>
      </c>
      <c r="C362" s="136" t="s">
        <v>132</v>
      </c>
      <c r="D362" s="161" t="s">
        <v>776</v>
      </c>
      <c r="E362" s="136"/>
      <c r="F362" s="136"/>
      <c r="G362" s="136"/>
      <c r="H362" s="136"/>
      <c r="I362" s="136"/>
      <c r="J362" s="136"/>
      <c r="K362" s="136"/>
      <c r="L362" s="136"/>
      <c r="M362" s="136"/>
      <c r="N362" s="136"/>
      <c r="O362" s="136"/>
      <c r="P362" s="136"/>
      <c r="Q362" s="136"/>
      <c r="R362" s="136"/>
      <c r="S362" s="136"/>
      <c r="T362" s="153" t="s">
        <v>1248</v>
      </c>
      <c r="U362" s="219">
        <f>U363</f>
        <v>2677229.7800000003</v>
      </c>
      <c r="V362" s="120">
        <f>V363</f>
        <v>500000</v>
      </c>
      <c r="W362" s="120">
        <f>W363</f>
        <v>500000</v>
      </c>
      <c r="X362" s="118"/>
    </row>
    <row r="363" spans="1:27" ht="63.75" customHeight="1" x14ac:dyDescent="0.25">
      <c r="A363" s="118"/>
      <c r="B363" s="136" t="s">
        <v>138</v>
      </c>
      <c r="C363" s="136" t="s">
        <v>132</v>
      </c>
      <c r="D363" s="161" t="s">
        <v>776</v>
      </c>
      <c r="E363" s="136"/>
      <c r="F363" s="136"/>
      <c r="G363" s="136"/>
      <c r="H363" s="136"/>
      <c r="I363" s="136"/>
      <c r="J363" s="136"/>
      <c r="K363" s="136"/>
      <c r="L363" s="136"/>
      <c r="M363" s="136"/>
      <c r="N363" s="136"/>
      <c r="O363" s="136"/>
      <c r="P363" s="136"/>
      <c r="Q363" s="136"/>
      <c r="R363" s="136"/>
      <c r="S363" s="136" t="s">
        <v>294</v>
      </c>
      <c r="T363" s="135" t="s">
        <v>708</v>
      </c>
      <c r="U363" s="120">
        <f>П4ВСР!Z618</f>
        <v>2677229.7800000003</v>
      </c>
      <c r="V363" s="120">
        <f>П4ВСР!AA618</f>
        <v>500000</v>
      </c>
      <c r="W363" s="120">
        <f>П4ВСР!AB618</f>
        <v>500000</v>
      </c>
      <c r="X363" s="118"/>
    </row>
    <row r="364" spans="1:27" ht="187.5" customHeight="1" x14ac:dyDescent="0.25">
      <c r="A364" s="118" t="s">
        <v>438</v>
      </c>
      <c r="B364" s="161" t="s">
        <v>138</v>
      </c>
      <c r="C364" s="161" t="s">
        <v>132</v>
      </c>
      <c r="D364" s="161" t="s">
        <v>623</v>
      </c>
      <c r="E364" s="161"/>
      <c r="F364" s="161"/>
      <c r="G364" s="161"/>
      <c r="H364" s="161"/>
      <c r="I364" s="161"/>
      <c r="J364" s="161"/>
      <c r="K364" s="161"/>
      <c r="L364" s="161"/>
      <c r="M364" s="161"/>
      <c r="N364" s="161"/>
      <c r="O364" s="161"/>
      <c r="P364" s="161"/>
      <c r="Q364" s="161"/>
      <c r="R364" s="161"/>
      <c r="S364" s="161"/>
      <c r="T364" s="153" t="s">
        <v>1250</v>
      </c>
      <c r="U364" s="219">
        <f>U365</f>
        <v>199421</v>
      </c>
      <c r="V364" s="120">
        <f>V365</f>
        <v>100000</v>
      </c>
      <c r="W364" s="120">
        <f>W365</f>
        <v>100000</v>
      </c>
      <c r="X364" s="118" t="s">
        <v>438</v>
      </c>
    </row>
    <row r="365" spans="1:27" ht="59.25" customHeight="1" x14ac:dyDescent="0.25">
      <c r="A365" s="118" t="s">
        <v>439</v>
      </c>
      <c r="B365" s="136" t="s">
        <v>138</v>
      </c>
      <c r="C365" s="136" t="s">
        <v>132</v>
      </c>
      <c r="D365" s="161" t="s">
        <v>623</v>
      </c>
      <c r="E365" s="136"/>
      <c r="F365" s="136"/>
      <c r="G365" s="136"/>
      <c r="H365" s="136"/>
      <c r="I365" s="136"/>
      <c r="J365" s="136"/>
      <c r="K365" s="136"/>
      <c r="L365" s="136"/>
      <c r="M365" s="136"/>
      <c r="N365" s="136"/>
      <c r="O365" s="136"/>
      <c r="P365" s="136"/>
      <c r="Q365" s="136"/>
      <c r="R365" s="136"/>
      <c r="S365" s="136" t="s">
        <v>294</v>
      </c>
      <c r="T365" s="135" t="s">
        <v>708</v>
      </c>
      <c r="U365" s="219">
        <f>П4ВСР!Z621</f>
        <v>199421</v>
      </c>
      <c r="V365" s="120">
        <f>П4ВСР!AA621</f>
        <v>100000</v>
      </c>
      <c r="W365" s="120">
        <f>П4ВСР!AB621</f>
        <v>100000</v>
      </c>
      <c r="X365" s="118" t="s">
        <v>439</v>
      </c>
    </row>
    <row r="366" spans="1:27" ht="138" customHeight="1" x14ac:dyDescent="0.25">
      <c r="A366" s="118"/>
      <c r="B366" s="136" t="s">
        <v>138</v>
      </c>
      <c r="C366" s="136" t="s">
        <v>132</v>
      </c>
      <c r="D366" s="161" t="s">
        <v>1094</v>
      </c>
      <c r="E366" s="136"/>
      <c r="F366" s="136"/>
      <c r="G366" s="136"/>
      <c r="H366" s="136"/>
      <c r="I366" s="136"/>
      <c r="J366" s="136"/>
      <c r="K366" s="136"/>
      <c r="L366" s="136"/>
      <c r="M366" s="136"/>
      <c r="N366" s="136"/>
      <c r="O366" s="136"/>
      <c r="P366" s="136"/>
      <c r="Q366" s="136"/>
      <c r="R366" s="136"/>
      <c r="S366" s="136"/>
      <c r="T366" s="155" t="s">
        <v>1332</v>
      </c>
      <c r="U366" s="219">
        <f>U367</f>
        <v>83619408.559999987</v>
      </c>
      <c r="V366" s="120">
        <f>V367</f>
        <v>89623372.480000004</v>
      </c>
      <c r="W366" s="120">
        <f>W367</f>
        <v>96421035.700000003</v>
      </c>
      <c r="X366" s="118"/>
    </row>
    <row r="367" spans="1:27" ht="69" customHeight="1" x14ac:dyDescent="0.25">
      <c r="A367" s="118"/>
      <c r="B367" s="136" t="s">
        <v>138</v>
      </c>
      <c r="C367" s="136" t="s">
        <v>132</v>
      </c>
      <c r="D367" s="161" t="s">
        <v>1094</v>
      </c>
      <c r="E367" s="136"/>
      <c r="F367" s="136"/>
      <c r="G367" s="136"/>
      <c r="H367" s="136"/>
      <c r="I367" s="136"/>
      <c r="J367" s="136"/>
      <c r="K367" s="136"/>
      <c r="L367" s="136"/>
      <c r="M367" s="136"/>
      <c r="N367" s="136"/>
      <c r="O367" s="136"/>
      <c r="P367" s="136"/>
      <c r="Q367" s="136"/>
      <c r="R367" s="136"/>
      <c r="S367" s="136" t="s">
        <v>294</v>
      </c>
      <c r="T367" s="135" t="s">
        <v>708</v>
      </c>
      <c r="U367" s="120">
        <f>П4ВСР!Z622</f>
        <v>83619408.559999987</v>
      </c>
      <c r="V367" s="120">
        <f>П4ВСР!AA622</f>
        <v>89623372.480000004</v>
      </c>
      <c r="W367" s="120">
        <f>П4ВСР!AB622</f>
        <v>96421035.700000003</v>
      </c>
      <c r="X367" s="118"/>
    </row>
    <row r="368" spans="1:27" ht="136.5" customHeight="1" x14ac:dyDescent="0.25">
      <c r="A368" s="118" t="s">
        <v>440</v>
      </c>
      <c r="B368" s="161" t="s">
        <v>138</v>
      </c>
      <c r="C368" s="161" t="s">
        <v>132</v>
      </c>
      <c r="D368" s="161" t="s">
        <v>624</v>
      </c>
      <c r="E368" s="161"/>
      <c r="F368" s="161"/>
      <c r="G368" s="161"/>
      <c r="H368" s="161"/>
      <c r="I368" s="161"/>
      <c r="J368" s="161"/>
      <c r="K368" s="161"/>
      <c r="L368" s="161"/>
      <c r="M368" s="161"/>
      <c r="N368" s="161"/>
      <c r="O368" s="161"/>
      <c r="P368" s="161"/>
      <c r="Q368" s="161"/>
      <c r="R368" s="161"/>
      <c r="S368" s="161"/>
      <c r="T368" s="153" t="s">
        <v>1251</v>
      </c>
      <c r="U368" s="120">
        <f>U369</f>
        <v>40534227.529999994</v>
      </c>
      <c r="V368" s="120">
        <f>V369</f>
        <v>22699913.920000002</v>
      </c>
      <c r="W368" s="120">
        <f>W369</f>
        <v>21190033.770000003</v>
      </c>
      <c r="X368" s="118" t="s">
        <v>440</v>
      </c>
    </row>
    <row r="369" spans="1:24" ht="62.25" customHeight="1" x14ac:dyDescent="0.25">
      <c r="A369" s="118" t="s">
        <v>441</v>
      </c>
      <c r="B369" s="136" t="s">
        <v>138</v>
      </c>
      <c r="C369" s="136" t="s">
        <v>132</v>
      </c>
      <c r="D369" s="161" t="s">
        <v>624</v>
      </c>
      <c r="E369" s="136"/>
      <c r="F369" s="136"/>
      <c r="G369" s="136"/>
      <c r="H369" s="136"/>
      <c r="I369" s="136"/>
      <c r="J369" s="136"/>
      <c r="K369" s="136"/>
      <c r="L369" s="136"/>
      <c r="M369" s="136"/>
      <c r="N369" s="136"/>
      <c r="O369" s="136"/>
      <c r="P369" s="136"/>
      <c r="Q369" s="136"/>
      <c r="R369" s="136"/>
      <c r="S369" s="136" t="s">
        <v>294</v>
      </c>
      <c r="T369" s="135" t="s">
        <v>708</v>
      </c>
      <c r="U369" s="120">
        <f>П4ВСР!Z625</f>
        <v>40534227.529999994</v>
      </c>
      <c r="V369" s="120">
        <f>П4ВСР!AA625</f>
        <v>22699913.920000002</v>
      </c>
      <c r="W369" s="120">
        <f>П4ВСР!AB625</f>
        <v>21190033.770000003</v>
      </c>
      <c r="X369" s="118" t="s">
        <v>441</v>
      </c>
    </row>
    <row r="370" spans="1:24" ht="0.75" hidden="1" customHeight="1" x14ac:dyDescent="0.25">
      <c r="A370" s="118" t="s">
        <v>487</v>
      </c>
      <c r="B370" s="161" t="s">
        <v>138</v>
      </c>
      <c r="C370" s="161" t="s">
        <v>132</v>
      </c>
      <c r="D370" s="161" t="s">
        <v>644</v>
      </c>
      <c r="E370" s="161"/>
      <c r="F370" s="161"/>
      <c r="G370" s="161"/>
      <c r="H370" s="161"/>
      <c r="I370" s="161"/>
      <c r="J370" s="161"/>
      <c r="K370" s="161"/>
      <c r="L370" s="161"/>
      <c r="M370" s="161"/>
      <c r="N370" s="161"/>
      <c r="O370" s="161"/>
      <c r="P370" s="161"/>
      <c r="Q370" s="161"/>
      <c r="R370" s="161"/>
      <c r="S370" s="161"/>
      <c r="T370" s="153" t="s">
        <v>643</v>
      </c>
      <c r="U370" s="120">
        <f>U371</f>
        <v>0</v>
      </c>
      <c r="V370" s="120">
        <f>V371</f>
        <v>0</v>
      </c>
      <c r="W370" s="120">
        <f>W371</f>
        <v>0</v>
      </c>
      <c r="X370" s="118" t="s">
        <v>487</v>
      </c>
    </row>
    <row r="371" spans="1:24" ht="40.5" hidden="1" customHeight="1" x14ac:dyDescent="0.25">
      <c r="A371" s="118" t="s">
        <v>488</v>
      </c>
      <c r="B371" s="136" t="s">
        <v>138</v>
      </c>
      <c r="C371" s="136" t="s">
        <v>132</v>
      </c>
      <c r="D371" s="161" t="s">
        <v>644</v>
      </c>
      <c r="E371" s="136"/>
      <c r="F371" s="136"/>
      <c r="G371" s="136"/>
      <c r="H371" s="136"/>
      <c r="I371" s="136"/>
      <c r="J371" s="136"/>
      <c r="K371" s="136"/>
      <c r="L371" s="136"/>
      <c r="M371" s="136"/>
      <c r="N371" s="136"/>
      <c r="O371" s="136"/>
      <c r="P371" s="136"/>
      <c r="Q371" s="136"/>
      <c r="R371" s="136"/>
      <c r="S371" s="136" t="s">
        <v>294</v>
      </c>
      <c r="T371" s="135" t="s">
        <v>488</v>
      </c>
      <c r="U371" s="120">
        <f>П4ВСР!Z741</f>
        <v>0</v>
      </c>
      <c r="V371" s="120">
        <f>П4ВСР!AA741</f>
        <v>0</v>
      </c>
      <c r="W371" s="120">
        <f>П4ВСР!AB741</f>
        <v>0</v>
      </c>
      <c r="X371" s="118" t="s">
        <v>488</v>
      </c>
    </row>
    <row r="372" spans="1:24" ht="41.25" hidden="1" customHeight="1" x14ac:dyDescent="0.25">
      <c r="A372" s="118" t="s">
        <v>442</v>
      </c>
      <c r="B372" s="161" t="s">
        <v>138</v>
      </c>
      <c r="C372" s="161" t="s">
        <v>132</v>
      </c>
      <c r="D372" s="161" t="s">
        <v>626</v>
      </c>
      <c r="E372" s="161"/>
      <c r="F372" s="161"/>
      <c r="G372" s="161"/>
      <c r="H372" s="161"/>
      <c r="I372" s="161"/>
      <c r="J372" s="161"/>
      <c r="K372" s="161"/>
      <c r="L372" s="161"/>
      <c r="M372" s="161"/>
      <c r="N372" s="161"/>
      <c r="O372" s="161"/>
      <c r="P372" s="161"/>
      <c r="Q372" s="161"/>
      <c r="R372" s="161"/>
      <c r="S372" s="161"/>
      <c r="T372" s="153" t="s">
        <v>625</v>
      </c>
      <c r="U372" s="120">
        <f>U373</f>
        <v>0</v>
      </c>
      <c r="V372" s="120">
        <f>V373</f>
        <v>0</v>
      </c>
      <c r="W372" s="120">
        <f>W373</f>
        <v>0</v>
      </c>
      <c r="X372" s="118" t="s">
        <v>442</v>
      </c>
    </row>
    <row r="373" spans="1:24" ht="40.5" hidden="1" customHeight="1" x14ac:dyDescent="0.25">
      <c r="A373" s="118" t="s">
        <v>443</v>
      </c>
      <c r="B373" s="136" t="s">
        <v>138</v>
      </c>
      <c r="C373" s="136" t="s">
        <v>132</v>
      </c>
      <c r="D373" s="161" t="s">
        <v>626</v>
      </c>
      <c r="E373" s="136"/>
      <c r="F373" s="136"/>
      <c r="G373" s="136"/>
      <c r="H373" s="136"/>
      <c r="I373" s="136"/>
      <c r="J373" s="136"/>
      <c r="K373" s="136"/>
      <c r="L373" s="136"/>
      <c r="M373" s="136"/>
      <c r="N373" s="136"/>
      <c r="O373" s="136"/>
      <c r="P373" s="136"/>
      <c r="Q373" s="136"/>
      <c r="R373" s="136"/>
      <c r="S373" s="136" t="s">
        <v>294</v>
      </c>
      <c r="T373" s="135" t="s">
        <v>443</v>
      </c>
      <c r="U373" s="120">
        <f>П4ВСР!Z627</f>
        <v>0</v>
      </c>
      <c r="V373" s="120">
        <f>П4ВСР!AA627</f>
        <v>0</v>
      </c>
      <c r="W373" s="120">
        <f>П4ВСР!AB627</f>
        <v>0</v>
      </c>
      <c r="X373" s="118" t="s">
        <v>443</v>
      </c>
    </row>
    <row r="374" spans="1:24" ht="112.5" customHeight="1" x14ac:dyDescent="0.25">
      <c r="A374" s="118" t="s">
        <v>367</v>
      </c>
      <c r="B374" s="161" t="s">
        <v>138</v>
      </c>
      <c r="C374" s="161" t="s">
        <v>132</v>
      </c>
      <c r="D374" s="161" t="s">
        <v>576</v>
      </c>
      <c r="E374" s="161"/>
      <c r="F374" s="161"/>
      <c r="G374" s="161"/>
      <c r="H374" s="161"/>
      <c r="I374" s="161"/>
      <c r="J374" s="161"/>
      <c r="K374" s="161"/>
      <c r="L374" s="161"/>
      <c r="M374" s="161"/>
      <c r="N374" s="161"/>
      <c r="O374" s="161"/>
      <c r="P374" s="161"/>
      <c r="Q374" s="161"/>
      <c r="R374" s="161"/>
      <c r="S374" s="161"/>
      <c r="T374" s="153" t="s">
        <v>1252</v>
      </c>
      <c r="U374" s="120">
        <f>U375</f>
        <v>15574132.85</v>
      </c>
      <c r="V374" s="120">
        <f>V375</f>
        <v>2103019.1300000008</v>
      </c>
      <c r="W374" s="120">
        <f>W375</f>
        <v>7310252.8699999973</v>
      </c>
      <c r="X374" s="118" t="s">
        <v>367</v>
      </c>
    </row>
    <row r="375" spans="1:24" ht="59.25" customHeight="1" x14ac:dyDescent="0.25">
      <c r="A375" s="118" t="s">
        <v>368</v>
      </c>
      <c r="B375" s="136" t="s">
        <v>138</v>
      </c>
      <c r="C375" s="136" t="s">
        <v>132</v>
      </c>
      <c r="D375" s="161" t="s">
        <v>576</v>
      </c>
      <c r="E375" s="136"/>
      <c r="F375" s="136"/>
      <c r="G375" s="136"/>
      <c r="H375" s="136"/>
      <c r="I375" s="136"/>
      <c r="J375" s="136"/>
      <c r="K375" s="136"/>
      <c r="L375" s="136"/>
      <c r="M375" s="136"/>
      <c r="N375" s="136"/>
      <c r="O375" s="136"/>
      <c r="P375" s="136"/>
      <c r="Q375" s="136"/>
      <c r="R375" s="136"/>
      <c r="S375" s="136" t="s">
        <v>294</v>
      </c>
      <c r="T375" s="135" t="s">
        <v>708</v>
      </c>
      <c r="U375" s="219">
        <f>П4ВСР!Z629</f>
        <v>15574132.85</v>
      </c>
      <c r="V375" s="219">
        <f>П4ВСР!AA629+П4ВСР!AA270</f>
        <v>2103019.1300000008</v>
      </c>
      <c r="W375" s="219">
        <f>П4ВСР!AB629+П4ВСР!AB270</f>
        <v>7310252.8699999973</v>
      </c>
      <c r="X375" s="118" t="s">
        <v>368</v>
      </c>
    </row>
    <row r="376" spans="1:24" ht="160.5" hidden="1" customHeight="1" x14ac:dyDescent="0.25">
      <c r="A376" s="118"/>
      <c r="B376" s="136" t="s">
        <v>138</v>
      </c>
      <c r="C376" s="136" t="s">
        <v>132</v>
      </c>
      <c r="D376" s="230" t="s">
        <v>1101</v>
      </c>
      <c r="E376" s="136"/>
      <c r="F376" s="136"/>
      <c r="G376" s="136"/>
      <c r="H376" s="136"/>
      <c r="I376" s="136"/>
      <c r="J376" s="136"/>
      <c r="K376" s="136"/>
      <c r="L376" s="136"/>
      <c r="M376" s="136"/>
      <c r="N376" s="136"/>
      <c r="O376" s="136"/>
      <c r="P376" s="136"/>
      <c r="Q376" s="136"/>
      <c r="R376" s="136"/>
      <c r="S376" s="136"/>
      <c r="T376" s="155" t="s">
        <v>1533</v>
      </c>
      <c r="U376" s="219">
        <f>U377</f>
        <v>0</v>
      </c>
      <c r="V376" s="219">
        <v>0</v>
      </c>
      <c r="W376" s="219">
        <v>0</v>
      </c>
      <c r="X376" s="118"/>
    </row>
    <row r="377" spans="1:24" ht="59.25" hidden="1" customHeight="1" x14ac:dyDescent="0.25">
      <c r="A377" s="118"/>
      <c r="B377" s="136" t="s">
        <v>138</v>
      </c>
      <c r="C377" s="136" t="s">
        <v>132</v>
      </c>
      <c r="D377" s="230" t="s">
        <v>1101</v>
      </c>
      <c r="E377" s="136"/>
      <c r="F377" s="136"/>
      <c r="G377" s="136"/>
      <c r="H377" s="136"/>
      <c r="I377" s="136"/>
      <c r="J377" s="136"/>
      <c r="K377" s="136"/>
      <c r="L377" s="136"/>
      <c r="M377" s="136"/>
      <c r="N377" s="136"/>
      <c r="O377" s="136"/>
      <c r="P377" s="136"/>
      <c r="Q377" s="136"/>
      <c r="R377" s="136"/>
      <c r="S377" s="136" t="s">
        <v>294</v>
      </c>
      <c r="T377" s="135" t="s">
        <v>708</v>
      </c>
      <c r="U377" s="219">
        <f>П4ВСР!Z630</f>
        <v>0</v>
      </c>
      <c r="V377" s="219">
        <v>0</v>
      </c>
      <c r="W377" s="219">
        <v>0</v>
      </c>
      <c r="X377" s="118"/>
    </row>
    <row r="378" spans="1:24" ht="115.5" customHeight="1" x14ac:dyDescent="0.25">
      <c r="A378" s="118"/>
      <c r="B378" s="136" t="s">
        <v>138</v>
      </c>
      <c r="C378" s="136" t="s">
        <v>132</v>
      </c>
      <c r="D378" s="230" t="s">
        <v>1427</v>
      </c>
      <c r="E378" s="136"/>
      <c r="F378" s="136"/>
      <c r="G378" s="136"/>
      <c r="H378" s="136"/>
      <c r="I378" s="136"/>
      <c r="J378" s="136"/>
      <c r="K378" s="136"/>
      <c r="L378" s="136"/>
      <c r="M378" s="136"/>
      <c r="N378" s="136"/>
      <c r="O378" s="136"/>
      <c r="P378" s="136"/>
      <c r="Q378" s="136"/>
      <c r="R378" s="136"/>
      <c r="S378" s="136"/>
      <c r="T378" s="153" t="s">
        <v>1252</v>
      </c>
      <c r="U378" s="219">
        <f>U379</f>
        <v>0</v>
      </c>
      <c r="V378" s="219">
        <v>0</v>
      </c>
      <c r="W378" s="219">
        <v>0</v>
      </c>
      <c r="X378" s="118"/>
    </row>
    <row r="379" spans="1:24" ht="58.5" customHeight="1" x14ac:dyDescent="0.25">
      <c r="A379" s="118"/>
      <c r="B379" s="136" t="s">
        <v>138</v>
      </c>
      <c r="C379" s="136" t="s">
        <v>132</v>
      </c>
      <c r="D379" s="230" t="s">
        <v>1427</v>
      </c>
      <c r="E379" s="136"/>
      <c r="F379" s="136"/>
      <c r="G379" s="136"/>
      <c r="H379" s="136"/>
      <c r="I379" s="136"/>
      <c r="J379" s="136"/>
      <c r="K379" s="136"/>
      <c r="L379" s="136"/>
      <c r="M379" s="136"/>
      <c r="N379" s="136"/>
      <c r="O379" s="136"/>
      <c r="P379" s="136"/>
      <c r="Q379" s="136"/>
      <c r="R379" s="136"/>
      <c r="S379" s="136" t="s">
        <v>294</v>
      </c>
      <c r="T379" s="135" t="s">
        <v>708</v>
      </c>
      <c r="U379" s="219">
        <f>П4ВСР!Z632</f>
        <v>0</v>
      </c>
      <c r="V379" s="219">
        <v>0</v>
      </c>
      <c r="W379" s="219">
        <v>0</v>
      </c>
      <c r="X379" s="118"/>
    </row>
    <row r="380" spans="1:24" ht="115.5" customHeight="1" x14ac:dyDescent="0.25">
      <c r="A380" s="118"/>
      <c r="B380" s="136" t="s">
        <v>138</v>
      </c>
      <c r="C380" s="136" t="s">
        <v>132</v>
      </c>
      <c r="D380" s="230" t="s">
        <v>1500</v>
      </c>
      <c r="E380" s="136"/>
      <c r="F380" s="136"/>
      <c r="G380" s="136"/>
      <c r="H380" s="136"/>
      <c r="I380" s="136"/>
      <c r="J380" s="136"/>
      <c r="K380" s="136"/>
      <c r="L380" s="136"/>
      <c r="M380" s="136"/>
      <c r="N380" s="136"/>
      <c r="O380" s="136"/>
      <c r="P380" s="136"/>
      <c r="Q380" s="136"/>
      <c r="R380" s="136"/>
      <c r="S380" s="136"/>
      <c r="T380" s="153" t="s">
        <v>1252</v>
      </c>
      <c r="U380" s="219">
        <f>U381</f>
        <v>3404518.22</v>
      </c>
      <c r="V380" s="219">
        <v>0</v>
      </c>
      <c r="W380" s="219">
        <v>0</v>
      </c>
      <c r="X380" s="118"/>
    </row>
    <row r="381" spans="1:24" ht="59.25" customHeight="1" x14ac:dyDescent="0.25">
      <c r="A381" s="118"/>
      <c r="B381" s="136" t="s">
        <v>138</v>
      </c>
      <c r="C381" s="136" t="s">
        <v>132</v>
      </c>
      <c r="D381" s="230" t="s">
        <v>1500</v>
      </c>
      <c r="E381" s="136"/>
      <c r="F381" s="136"/>
      <c r="G381" s="136"/>
      <c r="H381" s="136"/>
      <c r="I381" s="136"/>
      <c r="J381" s="136"/>
      <c r="K381" s="136"/>
      <c r="L381" s="136"/>
      <c r="M381" s="136"/>
      <c r="N381" s="136"/>
      <c r="O381" s="136"/>
      <c r="P381" s="136"/>
      <c r="Q381" s="136"/>
      <c r="R381" s="136"/>
      <c r="S381" s="136" t="s">
        <v>294</v>
      </c>
      <c r="T381" s="135" t="s">
        <v>708</v>
      </c>
      <c r="U381" s="219">
        <f>П4ВСР!Z634</f>
        <v>3404518.22</v>
      </c>
      <c r="V381" s="219">
        <v>0</v>
      </c>
      <c r="W381" s="219">
        <v>0</v>
      </c>
      <c r="X381" s="118"/>
    </row>
    <row r="382" spans="1:24" ht="114" customHeight="1" x14ac:dyDescent="0.25">
      <c r="A382" s="118" t="s">
        <v>445</v>
      </c>
      <c r="B382" s="161" t="s">
        <v>138</v>
      </c>
      <c r="C382" s="161" t="s">
        <v>132</v>
      </c>
      <c r="D382" s="161" t="s">
        <v>627</v>
      </c>
      <c r="E382" s="161"/>
      <c r="F382" s="161"/>
      <c r="G382" s="161"/>
      <c r="H382" s="161"/>
      <c r="I382" s="161"/>
      <c r="J382" s="161"/>
      <c r="K382" s="161"/>
      <c r="L382" s="161"/>
      <c r="M382" s="161"/>
      <c r="N382" s="161"/>
      <c r="O382" s="161"/>
      <c r="P382" s="161"/>
      <c r="Q382" s="161"/>
      <c r="R382" s="161"/>
      <c r="S382" s="161"/>
      <c r="T382" s="153" t="s">
        <v>1253</v>
      </c>
      <c r="U382" s="219">
        <f>U383</f>
        <v>900000</v>
      </c>
      <c r="V382" s="120">
        <f>V383</f>
        <v>400000</v>
      </c>
      <c r="W382" s="120">
        <f>W383</f>
        <v>400000</v>
      </c>
      <c r="X382" s="118" t="s">
        <v>445</v>
      </c>
    </row>
    <row r="383" spans="1:24" ht="53.25" customHeight="1" x14ac:dyDescent="0.25">
      <c r="A383" s="118" t="s">
        <v>446</v>
      </c>
      <c r="B383" s="136" t="s">
        <v>138</v>
      </c>
      <c r="C383" s="136" t="s">
        <v>132</v>
      </c>
      <c r="D383" s="161" t="s">
        <v>627</v>
      </c>
      <c r="E383" s="136"/>
      <c r="F383" s="136"/>
      <c r="G383" s="136"/>
      <c r="H383" s="136"/>
      <c r="I383" s="136"/>
      <c r="J383" s="136"/>
      <c r="K383" s="136"/>
      <c r="L383" s="136"/>
      <c r="M383" s="136"/>
      <c r="N383" s="136"/>
      <c r="O383" s="136"/>
      <c r="P383" s="136"/>
      <c r="Q383" s="136"/>
      <c r="R383" s="136"/>
      <c r="S383" s="136" t="s">
        <v>294</v>
      </c>
      <c r="T383" s="135" t="s">
        <v>708</v>
      </c>
      <c r="U383" s="219">
        <f>П4ВСР!Z637</f>
        <v>900000</v>
      </c>
      <c r="V383" s="219">
        <f>П4ВСР!AA637</f>
        <v>400000</v>
      </c>
      <c r="W383" s="219">
        <f>П4ВСР!AB637</f>
        <v>400000</v>
      </c>
      <c r="X383" s="118" t="s">
        <v>446</v>
      </c>
    </row>
    <row r="384" spans="1:24" ht="175.5" customHeight="1" x14ac:dyDescent="0.25">
      <c r="A384" s="118" t="s">
        <v>447</v>
      </c>
      <c r="B384" s="161" t="s">
        <v>138</v>
      </c>
      <c r="C384" s="161" t="s">
        <v>132</v>
      </c>
      <c r="D384" s="161" t="s">
        <v>628</v>
      </c>
      <c r="E384" s="161"/>
      <c r="F384" s="161"/>
      <c r="G384" s="161"/>
      <c r="H384" s="161"/>
      <c r="I384" s="161"/>
      <c r="J384" s="161"/>
      <c r="K384" s="161"/>
      <c r="L384" s="161"/>
      <c r="M384" s="161"/>
      <c r="N384" s="161"/>
      <c r="O384" s="161"/>
      <c r="P384" s="161"/>
      <c r="Q384" s="161"/>
      <c r="R384" s="161"/>
      <c r="S384" s="161"/>
      <c r="T384" s="153" t="s">
        <v>1254</v>
      </c>
      <c r="U384" s="120">
        <f>U385</f>
        <v>50000</v>
      </c>
      <c r="V384" s="120">
        <f>V385</f>
        <v>50000</v>
      </c>
      <c r="W384" s="120">
        <f>W385</f>
        <v>50000</v>
      </c>
      <c r="X384" s="118" t="s">
        <v>447</v>
      </c>
    </row>
    <row r="385" spans="1:24" ht="54.75" customHeight="1" x14ac:dyDescent="0.25">
      <c r="A385" s="118" t="s">
        <v>448</v>
      </c>
      <c r="B385" s="136" t="s">
        <v>138</v>
      </c>
      <c r="C385" s="136" t="s">
        <v>132</v>
      </c>
      <c r="D385" s="161" t="s">
        <v>628</v>
      </c>
      <c r="E385" s="136"/>
      <c r="F385" s="136"/>
      <c r="G385" s="136"/>
      <c r="H385" s="136"/>
      <c r="I385" s="136"/>
      <c r="J385" s="136"/>
      <c r="K385" s="136"/>
      <c r="L385" s="136"/>
      <c r="M385" s="136"/>
      <c r="N385" s="136"/>
      <c r="O385" s="136"/>
      <c r="P385" s="136"/>
      <c r="Q385" s="136"/>
      <c r="R385" s="136"/>
      <c r="S385" s="136" t="s">
        <v>294</v>
      </c>
      <c r="T385" s="135" t="s">
        <v>708</v>
      </c>
      <c r="U385" s="120">
        <f>П4ВСР!Z639</f>
        <v>50000</v>
      </c>
      <c r="V385" s="120">
        <f>П4ВСР!AA639</f>
        <v>50000</v>
      </c>
      <c r="W385" s="120">
        <f>П4ВСР!AB639</f>
        <v>50000</v>
      </c>
      <c r="X385" s="118" t="s">
        <v>448</v>
      </c>
    </row>
    <row r="386" spans="1:24" ht="105" customHeight="1" x14ac:dyDescent="0.25">
      <c r="A386" s="118"/>
      <c r="B386" s="136" t="s">
        <v>138</v>
      </c>
      <c r="C386" s="136" t="s">
        <v>132</v>
      </c>
      <c r="D386" s="161" t="s">
        <v>1498</v>
      </c>
      <c r="E386" s="136"/>
      <c r="F386" s="136"/>
      <c r="G386" s="136"/>
      <c r="H386" s="136"/>
      <c r="I386" s="136"/>
      <c r="J386" s="136"/>
      <c r="K386" s="136"/>
      <c r="L386" s="136"/>
      <c r="M386" s="136"/>
      <c r="N386" s="136"/>
      <c r="O386" s="136"/>
      <c r="P386" s="136"/>
      <c r="Q386" s="136"/>
      <c r="R386" s="136"/>
      <c r="S386" s="136"/>
      <c r="T386" s="338" t="s">
        <v>1499</v>
      </c>
      <c r="U386" s="120">
        <f>U387</f>
        <v>19805000</v>
      </c>
      <c r="V386" s="120">
        <v>0</v>
      </c>
      <c r="W386" s="120">
        <v>0</v>
      </c>
      <c r="X386" s="118"/>
    </row>
    <row r="387" spans="1:24" ht="54.75" customHeight="1" x14ac:dyDescent="0.25">
      <c r="A387" s="118"/>
      <c r="B387" s="136" t="s">
        <v>138</v>
      </c>
      <c r="C387" s="136" t="s">
        <v>132</v>
      </c>
      <c r="D387" s="161" t="s">
        <v>1498</v>
      </c>
      <c r="E387" s="136"/>
      <c r="F387" s="136"/>
      <c r="G387" s="136"/>
      <c r="H387" s="136"/>
      <c r="I387" s="136"/>
      <c r="J387" s="136"/>
      <c r="K387" s="136"/>
      <c r="L387" s="136"/>
      <c r="M387" s="136"/>
      <c r="N387" s="136"/>
      <c r="O387" s="136"/>
      <c r="P387" s="136"/>
      <c r="Q387" s="136"/>
      <c r="R387" s="136"/>
      <c r="S387" s="136" t="s">
        <v>294</v>
      </c>
      <c r="T387" s="135" t="s">
        <v>708</v>
      </c>
      <c r="U387" s="120">
        <f>П4ВСР!Z640</f>
        <v>19805000</v>
      </c>
      <c r="V387" s="120">
        <v>0</v>
      </c>
      <c r="W387" s="120">
        <v>0</v>
      </c>
      <c r="X387" s="118"/>
    </row>
    <row r="388" spans="1:24" ht="93" customHeight="1" x14ac:dyDescent="0.25">
      <c r="A388" s="118"/>
      <c r="B388" s="136" t="s">
        <v>138</v>
      </c>
      <c r="C388" s="136" t="s">
        <v>132</v>
      </c>
      <c r="D388" s="230" t="s">
        <v>928</v>
      </c>
      <c r="E388" s="136"/>
      <c r="F388" s="136"/>
      <c r="G388" s="136"/>
      <c r="H388" s="136"/>
      <c r="I388" s="136"/>
      <c r="J388" s="136"/>
      <c r="K388" s="136"/>
      <c r="L388" s="136"/>
      <c r="M388" s="136"/>
      <c r="N388" s="136"/>
      <c r="O388" s="136"/>
      <c r="P388" s="136"/>
      <c r="Q388" s="136"/>
      <c r="R388" s="136"/>
      <c r="S388" s="136"/>
      <c r="T388" s="338" t="s">
        <v>929</v>
      </c>
      <c r="U388" s="120">
        <f>U389</f>
        <v>1534123.44</v>
      </c>
      <c r="V388" s="120">
        <f>V389</f>
        <v>245998.02</v>
      </c>
      <c r="W388" s="120">
        <f>W389</f>
        <v>327839.67</v>
      </c>
      <c r="X388" s="118"/>
    </row>
    <row r="389" spans="1:24" ht="68.25" customHeight="1" x14ac:dyDescent="0.25">
      <c r="A389" s="118"/>
      <c r="B389" s="136" t="s">
        <v>138</v>
      </c>
      <c r="C389" s="136" t="s">
        <v>132</v>
      </c>
      <c r="D389" s="230" t="s">
        <v>928</v>
      </c>
      <c r="E389" s="136"/>
      <c r="F389" s="136"/>
      <c r="G389" s="136"/>
      <c r="H389" s="136"/>
      <c r="I389" s="136"/>
      <c r="J389" s="136"/>
      <c r="K389" s="136"/>
      <c r="L389" s="136"/>
      <c r="M389" s="136"/>
      <c r="N389" s="136"/>
      <c r="O389" s="136"/>
      <c r="P389" s="136"/>
      <c r="Q389" s="136"/>
      <c r="R389" s="136"/>
      <c r="S389" s="136" t="s">
        <v>294</v>
      </c>
      <c r="T389" s="154" t="s">
        <v>708</v>
      </c>
      <c r="U389" s="120">
        <f>П4ВСР!Z643</f>
        <v>1534123.44</v>
      </c>
      <c r="V389" s="120">
        <f>П4ВСР!AA642</f>
        <v>245998.02</v>
      </c>
      <c r="W389" s="120">
        <f>П4ВСР!AB642</f>
        <v>327839.67</v>
      </c>
      <c r="X389" s="118"/>
    </row>
    <row r="390" spans="1:24" ht="174" hidden="1" customHeight="1" x14ac:dyDescent="0.25">
      <c r="A390" s="118"/>
      <c r="B390" s="136" t="s">
        <v>138</v>
      </c>
      <c r="C390" s="136" t="s">
        <v>132</v>
      </c>
      <c r="D390" s="230" t="s">
        <v>994</v>
      </c>
      <c r="E390" s="136"/>
      <c r="F390" s="136"/>
      <c r="G390" s="136"/>
      <c r="H390" s="136"/>
      <c r="I390" s="136"/>
      <c r="J390" s="136"/>
      <c r="K390" s="136"/>
      <c r="L390" s="136"/>
      <c r="M390" s="136"/>
      <c r="N390" s="136"/>
      <c r="O390" s="136"/>
      <c r="P390" s="136"/>
      <c r="Q390" s="136"/>
      <c r="R390" s="136"/>
      <c r="S390" s="136"/>
      <c r="T390" s="153" t="s">
        <v>999</v>
      </c>
      <c r="U390" s="120">
        <f>U391</f>
        <v>0</v>
      </c>
      <c r="V390" s="120">
        <f t="shared" ref="V390:X390" si="11">V391</f>
        <v>0</v>
      </c>
      <c r="W390" s="120">
        <f t="shared" si="11"/>
        <v>0</v>
      </c>
      <c r="X390" s="120">
        <f t="shared" si="11"/>
        <v>0</v>
      </c>
    </row>
    <row r="391" spans="1:24" ht="69.75" hidden="1" customHeight="1" x14ac:dyDescent="0.25">
      <c r="A391" s="118"/>
      <c r="B391" s="136" t="s">
        <v>138</v>
      </c>
      <c r="C391" s="136" t="s">
        <v>132</v>
      </c>
      <c r="D391" s="230" t="s">
        <v>994</v>
      </c>
      <c r="E391" s="136"/>
      <c r="F391" s="136"/>
      <c r="G391" s="136"/>
      <c r="H391" s="136"/>
      <c r="I391" s="136"/>
      <c r="J391" s="136"/>
      <c r="K391" s="136"/>
      <c r="L391" s="136"/>
      <c r="M391" s="136"/>
      <c r="N391" s="136"/>
      <c r="O391" s="136"/>
      <c r="P391" s="136"/>
      <c r="Q391" s="136"/>
      <c r="R391" s="136"/>
      <c r="S391" s="136" t="s">
        <v>275</v>
      </c>
      <c r="T391" s="135" t="s">
        <v>368</v>
      </c>
      <c r="U391" s="120">
        <f>П4ВСР!Z272</f>
        <v>0</v>
      </c>
      <c r="V391" s="120">
        <v>0</v>
      </c>
      <c r="W391" s="120">
        <v>0</v>
      </c>
      <c r="X391" s="118"/>
    </row>
    <row r="392" spans="1:24" ht="166.5" hidden="1" customHeight="1" x14ac:dyDescent="0.25">
      <c r="A392" s="118"/>
      <c r="B392" s="136" t="s">
        <v>138</v>
      </c>
      <c r="C392" s="136" t="s">
        <v>132</v>
      </c>
      <c r="D392" s="230" t="s">
        <v>1005</v>
      </c>
      <c r="E392" s="136"/>
      <c r="F392" s="136"/>
      <c r="G392" s="136"/>
      <c r="H392" s="136"/>
      <c r="I392" s="136"/>
      <c r="J392" s="136"/>
      <c r="K392" s="136"/>
      <c r="L392" s="136"/>
      <c r="M392" s="136"/>
      <c r="N392" s="136"/>
      <c r="O392" s="136"/>
      <c r="P392" s="136"/>
      <c r="Q392" s="136"/>
      <c r="R392" s="136"/>
      <c r="S392" s="136"/>
      <c r="T392" s="153" t="s">
        <v>999</v>
      </c>
      <c r="U392" s="120">
        <f>U393</f>
        <v>0</v>
      </c>
      <c r="V392" s="120">
        <v>0</v>
      </c>
      <c r="W392" s="120">
        <v>0</v>
      </c>
      <c r="X392" s="118"/>
    </row>
    <row r="393" spans="1:24" ht="69.75" hidden="1" customHeight="1" x14ac:dyDescent="0.25">
      <c r="A393" s="118"/>
      <c r="B393" s="136" t="s">
        <v>138</v>
      </c>
      <c r="C393" s="136" t="s">
        <v>132</v>
      </c>
      <c r="D393" s="230" t="s">
        <v>1005</v>
      </c>
      <c r="E393" s="136"/>
      <c r="F393" s="136"/>
      <c r="G393" s="136"/>
      <c r="H393" s="136"/>
      <c r="I393" s="136"/>
      <c r="J393" s="136"/>
      <c r="K393" s="136"/>
      <c r="L393" s="136"/>
      <c r="M393" s="136"/>
      <c r="N393" s="136"/>
      <c r="O393" s="136"/>
      <c r="P393" s="136"/>
      <c r="Q393" s="136"/>
      <c r="R393" s="136"/>
      <c r="S393" s="136" t="s">
        <v>275</v>
      </c>
      <c r="T393" s="135" t="s">
        <v>368</v>
      </c>
      <c r="U393" s="120">
        <f>П4ВСР!Z274</f>
        <v>0</v>
      </c>
      <c r="V393" s="120">
        <v>0</v>
      </c>
      <c r="W393" s="120">
        <v>0</v>
      </c>
      <c r="X393" s="118"/>
    </row>
    <row r="394" spans="1:24" ht="161.25" customHeight="1" x14ac:dyDescent="0.25">
      <c r="A394" s="118"/>
      <c r="B394" s="136" t="s">
        <v>138</v>
      </c>
      <c r="C394" s="136" t="s">
        <v>132</v>
      </c>
      <c r="D394" s="230" t="s">
        <v>1501</v>
      </c>
      <c r="E394" s="136"/>
      <c r="F394" s="136"/>
      <c r="G394" s="136"/>
      <c r="H394" s="136"/>
      <c r="I394" s="136"/>
      <c r="J394" s="136"/>
      <c r="K394" s="136"/>
      <c r="L394" s="136"/>
      <c r="M394" s="136"/>
      <c r="N394" s="136"/>
      <c r="O394" s="136"/>
      <c r="P394" s="136"/>
      <c r="Q394" s="136"/>
      <c r="R394" s="136"/>
      <c r="S394" s="136"/>
      <c r="T394" s="839" t="s">
        <v>1502</v>
      </c>
      <c r="U394" s="219">
        <f>U395</f>
        <v>0</v>
      </c>
      <c r="V394" s="120">
        <v>0</v>
      </c>
      <c r="W394" s="120">
        <v>0</v>
      </c>
      <c r="X394" s="118"/>
    </row>
    <row r="395" spans="1:24" ht="47.25" customHeight="1" x14ac:dyDescent="0.25">
      <c r="A395" s="118"/>
      <c r="B395" s="136" t="s">
        <v>138</v>
      </c>
      <c r="C395" s="136" t="s">
        <v>132</v>
      </c>
      <c r="D395" s="230" t="s">
        <v>1501</v>
      </c>
      <c r="E395" s="136"/>
      <c r="F395" s="136"/>
      <c r="G395" s="136"/>
      <c r="H395" s="136"/>
      <c r="I395" s="136"/>
      <c r="J395" s="136"/>
      <c r="K395" s="136"/>
      <c r="L395" s="136"/>
      <c r="M395" s="136"/>
      <c r="N395" s="136"/>
      <c r="O395" s="136"/>
      <c r="P395" s="136"/>
      <c r="Q395" s="136"/>
      <c r="R395" s="136"/>
      <c r="S395" s="136" t="s">
        <v>275</v>
      </c>
      <c r="T395" s="135" t="s">
        <v>565</v>
      </c>
      <c r="U395" s="120">
        <f>П4ВСР!Z269</f>
        <v>0</v>
      </c>
      <c r="V395" s="120">
        <v>0</v>
      </c>
      <c r="W395" s="120">
        <v>0</v>
      </c>
      <c r="X395" s="118"/>
    </row>
    <row r="396" spans="1:24" ht="171" customHeight="1" x14ac:dyDescent="0.25">
      <c r="A396" s="118"/>
      <c r="B396" s="136" t="s">
        <v>138</v>
      </c>
      <c r="C396" s="136" t="s">
        <v>132</v>
      </c>
      <c r="D396" s="230" t="s">
        <v>1501</v>
      </c>
      <c r="E396" s="136"/>
      <c r="F396" s="136"/>
      <c r="G396" s="136"/>
      <c r="H396" s="136"/>
      <c r="I396" s="136"/>
      <c r="J396" s="136"/>
      <c r="K396" s="136"/>
      <c r="L396" s="136"/>
      <c r="M396" s="136"/>
      <c r="N396" s="136"/>
      <c r="O396" s="136"/>
      <c r="P396" s="136"/>
      <c r="Q396" s="136"/>
      <c r="R396" s="136"/>
      <c r="S396" s="136"/>
      <c r="T396" s="839" t="s">
        <v>1502</v>
      </c>
      <c r="U396" s="120">
        <f>U397</f>
        <v>0</v>
      </c>
      <c r="V396" s="120">
        <v>0</v>
      </c>
      <c r="W396" s="120">
        <v>0</v>
      </c>
      <c r="X396" s="118"/>
    </row>
    <row r="397" spans="1:24" ht="56.25" customHeight="1" x14ac:dyDescent="0.25">
      <c r="A397" s="118"/>
      <c r="B397" s="136" t="s">
        <v>138</v>
      </c>
      <c r="C397" s="136" t="s">
        <v>132</v>
      </c>
      <c r="D397" s="230" t="s">
        <v>1501</v>
      </c>
      <c r="E397" s="136"/>
      <c r="F397" s="136"/>
      <c r="G397" s="136"/>
      <c r="H397" s="136"/>
      <c r="I397" s="136"/>
      <c r="J397" s="136"/>
      <c r="K397" s="136"/>
      <c r="L397" s="136"/>
      <c r="M397" s="136"/>
      <c r="N397" s="136"/>
      <c r="O397" s="136"/>
      <c r="P397" s="136"/>
      <c r="Q397" s="136"/>
      <c r="R397" s="136"/>
      <c r="S397" s="136" t="s">
        <v>294</v>
      </c>
      <c r="T397" s="154" t="s">
        <v>708</v>
      </c>
      <c r="U397" s="120">
        <f>П4ВСР!Z644</f>
        <v>0</v>
      </c>
      <c r="V397" s="120">
        <v>0</v>
      </c>
      <c r="W397" s="120">
        <v>0</v>
      </c>
      <c r="X397" s="118"/>
    </row>
    <row r="398" spans="1:24" ht="202.5" customHeight="1" x14ac:dyDescent="0.25">
      <c r="A398" s="118"/>
      <c r="B398" s="140" t="s">
        <v>138</v>
      </c>
      <c r="C398" s="140" t="s">
        <v>132</v>
      </c>
      <c r="D398" s="230" t="s">
        <v>1526</v>
      </c>
      <c r="E398" s="136"/>
      <c r="F398" s="136"/>
      <c r="G398" s="136"/>
      <c r="H398" s="136"/>
      <c r="I398" s="136"/>
      <c r="J398" s="136"/>
      <c r="K398" s="136"/>
      <c r="L398" s="136"/>
      <c r="M398" s="136"/>
      <c r="N398" s="136"/>
      <c r="O398" s="136"/>
      <c r="P398" s="136"/>
      <c r="Q398" s="136"/>
      <c r="R398" s="136"/>
      <c r="S398" s="136"/>
      <c r="T398" s="283" t="s">
        <v>1527</v>
      </c>
      <c r="U398" s="120">
        <f>U399</f>
        <v>1780226</v>
      </c>
      <c r="V398" s="120"/>
      <c r="W398" s="120"/>
      <c r="X398" s="118"/>
    </row>
    <row r="399" spans="1:24" ht="56.25" customHeight="1" x14ac:dyDescent="0.25">
      <c r="A399" s="118"/>
      <c r="B399" s="140" t="s">
        <v>138</v>
      </c>
      <c r="C399" s="140" t="s">
        <v>132</v>
      </c>
      <c r="D399" s="230" t="s">
        <v>1526</v>
      </c>
      <c r="E399" s="136"/>
      <c r="F399" s="136"/>
      <c r="G399" s="136"/>
      <c r="H399" s="136"/>
      <c r="I399" s="136"/>
      <c r="J399" s="136"/>
      <c r="K399" s="136"/>
      <c r="L399" s="136"/>
      <c r="M399" s="136"/>
      <c r="N399" s="136"/>
      <c r="O399" s="136"/>
      <c r="P399" s="136"/>
      <c r="Q399" s="136"/>
      <c r="R399" s="136"/>
      <c r="S399" s="136" t="s">
        <v>294</v>
      </c>
      <c r="T399" s="154" t="s">
        <v>708</v>
      </c>
      <c r="U399" s="120">
        <f>П4ВСР!Z646</f>
        <v>1780226</v>
      </c>
      <c r="V399" s="120">
        <v>0</v>
      </c>
      <c r="W399" s="120">
        <v>0</v>
      </c>
      <c r="X399" s="118"/>
    </row>
    <row r="400" spans="1:24" ht="312.75" customHeight="1" x14ac:dyDescent="0.25">
      <c r="A400" s="124" t="s">
        <v>233</v>
      </c>
      <c r="B400" s="161" t="s">
        <v>138</v>
      </c>
      <c r="C400" s="161" t="s">
        <v>132</v>
      </c>
      <c r="D400" s="161" t="s">
        <v>705</v>
      </c>
      <c r="E400" s="119"/>
      <c r="F400" s="119"/>
      <c r="G400" s="119"/>
      <c r="H400" s="119"/>
      <c r="I400" s="119"/>
      <c r="J400" s="119"/>
      <c r="K400" s="119"/>
      <c r="L400" s="119"/>
      <c r="M400" s="119"/>
      <c r="N400" s="119"/>
      <c r="O400" s="119"/>
      <c r="P400" s="119"/>
      <c r="Q400" s="119"/>
      <c r="R400" s="119"/>
      <c r="S400" s="119"/>
      <c r="T400" s="283" t="s">
        <v>1294</v>
      </c>
      <c r="U400" s="120">
        <f>U401</f>
        <v>177372784.16</v>
      </c>
      <c r="V400" s="120">
        <f>V401</f>
        <v>181110028.28999999</v>
      </c>
      <c r="W400" s="120">
        <f>W401</f>
        <v>184492583.13</v>
      </c>
      <c r="X400" s="124" t="s">
        <v>233</v>
      </c>
    </row>
    <row r="401" spans="1:24" ht="59.25" customHeight="1" x14ac:dyDescent="0.25">
      <c r="A401" s="124" t="s">
        <v>449</v>
      </c>
      <c r="B401" s="136" t="s">
        <v>138</v>
      </c>
      <c r="C401" s="136" t="s">
        <v>132</v>
      </c>
      <c r="D401" s="161" t="s">
        <v>705</v>
      </c>
      <c r="E401" s="136"/>
      <c r="F401" s="136"/>
      <c r="G401" s="136"/>
      <c r="H401" s="136"/>
      <c r="I401" s="136"/>
      <c r="J401" s="136"/>
      <c r="K401" s="136"/>
      <c r="L401" s="136"/>
      <c r="M401" s="136"/>
      <c r="N401" s="136"/>
      <c r="O401" s="136"/>
      <c r="P401" s="136"/>
      <c r="Q401" s="136"/>
      <c r="R401" s="136"/>
      <c r="S401" s="136" t="s">
        <v>294</v>
      </c>
      <c r="T401" s="154" t="s">
        <v>708</v>
      </c>
      <c r="U401" s="120">
        <f>П4ВСР!Z649</f>
        <v>177372784.16</v>
      </c>
      <c r="V401" s="120">
        <f>П4ВСР!AA649</f>
        <v>181110028.28999999</v>
      </c>
      <c r="W401" s="120">
        <f>П4ВСР!AB649</f>
        <v>184492583.13</v>
      </c>
      <c r="X401" s="124" t="s">
        <v>449</v>
      </c>
    </row>
    <row r="402" spans="1:24" ht="113.25" customHeight="1" x14ac:dyDescent="0.25">
      <c r="A402" s="118" t="s">
        <v>450</v>
      </c>
      <c r="B402" s="161" t="s">
        <v>138</v>
      </c>
      <c r="C402" s="161" t="s">
        <v>132</v>
      </c>
      <c r="D402" s="161" t="s">
        <v>629</v>
      </c>
      <c r="E402" s="161"/>
      <c r="F402" s="161"/>
      <c r="G402" s="161"/>
      <c r="H402" s="161"/>
      <c r="I402" s="161"/>
      <c r="J402" s="161"/>
      <c r="K402" s="161"/>
      <c r="L402" s="161"/>
      <c r="M402" s="161"/>
      <c r="N402" s="161"/>
      <c r="O402" s="161"/>
      <c r="P402" s="161"/>
      <c r="Q402" s="161"/>
      <c r="R402" s="161"/>
      <c r="S402" s="161"/>
      <c r="T402" s="153" t="s">
        <v>1255</v>
      </c>
      <c r="U402" s="120">
        <f>U403</f>
        <v>80000</v>
      </c>
      <c r="V402" s="120">
        <f>V403</f>
        <v>80000</v>
      </c>
      <c r="W402" s="120">
        <f>W403</f>
        <v>80000</v>
      </c>
      <c r="X402" s="118" t="s">
        <v>450</v>
      </c>
    </row>
    <row r="403" spans="1:24" ht="56.25" customHeight="1" x14ac:dyDescent="0.25">
      <c r="A403" s="118" t="s">
        <v>451</v>
      </c>
      <c r="B403" s="136" t="s">
        <v>138</v>
      </c>
      <c r="C403" s="136" t="s">
        <v>132</v>
      </c>
      <c r="D403" s="161" t="s">
        <v>629</v>
      </c>
      <c r="E403" s="136"/>
      <c r="F403" s="136"/>
      <c r="G403" s="136"/>
      <c r="H403" s="136"/>
      <c r="I403" s="136"/>
      <c r="J403" s="136"/>
      <c r="K403" s="136"/>
      <c r="L403" s="136"/>
      <c r="M403" s="136"/>
      <c r="N403" s="136"/>
      <c r="O403" s="136"/>
      <c r="P403" s="136"/>
      <c r="Q403" s="136"/>
      <c r="R403" s="136"/>
      <c r="S403" s="136" t="s">
        <v>294</v>
      </c>
      <c r="T403" s="135" t="s">
        <v>708</v>
      </c>
      <c r="U403" s="120">
        <f>П4ВСР!Z651</f>
        <v>80000</v>
      </c>
      <c r="V403" s="120">
        <f>П4ВСР!AA651</f>
        <v>80000</v>
      </c>
      <c r="W403" s="120">
        <f>П4ВСР!AB651</f>
        <v>80000</v>
      </c>
      <c r="X403" s="118" t="s">
        <v>451</v>
      </c>
    </row>
    <row r="404" spans="1:24" ht="117.75" customHeight="1" x14ac:dyDescent="0.25">
      <c r="A404" s="118" t="s">
        <v>452</v>
      </c>
      <c r="B404" s="161" t="s">
        <v>138</v>
      </c>
      <c r="C404" s="161" t="s">
        <v>132</v>
      </c>
      <c r="D404" s="161" t="s">
        <v>630</v>
      </c>
      <c r="E404" s="161"/>
      <c r="F404" s="161"/>
      <c r="G404" s="161"/>
      <c r="H404" s="161"/>
      <c r="I404" s="161"/>
      <c r="J404" s="161"/>
      <c r="K404" s="161"/>
      <c r="L404" s="161"/>
      <c r="M404" s="161"/>
      <c r="N404" s="161"/>
      <c r="O404" s="161"/>
      <c r="P404" s="161"/>
      <c r="Q404" s="161"/>
      <c r="R404" s="161"/>
      <c r="S404" s="161"/>
      <c r="T404" s="153" t="s">
        <v>1256</v>
      </c>
      <c r="U404" s="120">
        <f>U405</f>
        <v>50000</v>
      </c>
      <c r="V404" s="120">
        <f>V405</f>
        <v>10000</v>
      </c>
      <c r="W404" s="120">
        <f>W405</f>
        <v>10000</v>
      </c>
      <c r="X404" s="118" t="s">
        <v>452</v>
      </c>
    </row>
    <row r="405" spans="1:24" ht="65.25" customHeight="1" x14ac:dyDescent="0.25">
      <c r="A405" s="118" t="s">
        <v>453</v>
      </c>
      <c r="B405" s="136" t="s">
        <v>138</v>
      </c>
      <c r="C405" s="136" t="s">
        <v>132</v>
      </c>
      <c r="D405" s="161" t="s">
        <v>630</v>
      </c>
      <c r="E405" s="136"/>
      <c r="F405" s="136"/>
      <c r="G405" s="136"/>
      <c r="H405" s="136"/>
      <c r="I405" s="136"/>
      <c r="J405" s="136"/>
      <c r="K405" s="136"/>
      <c r="L405" s="136"/>
      <c r="M405" s="136"/>
      <c r="N405" s="136"/>
      <c r="O405" s="136"/>
      <c r="P405" s="136"/>
      <c r="Q405" s="136"/>
      <c r="R405" s="136"/>
      <c r="S405" s="136" t="s">
        <v>294</v>
      </c>
      <c r="T405" s="135" t="s">
        <v>708</v>
      </c>
      <c r="U405" s="120">
        <f>П4ВСР!Z653</f>
        <v>50000</v>
      </c>
      <c r="V405" s="120">
        <f>П4ВСР!AA653</f>
        <v>10000</v>
      </c>
      <c r="W405" s="120">
        <f>П4ВСР!AB653</f>
        <v>10000</v>
      </c>
      <c r="X405" s="118" t="s">
        <v>453</v>
      </c>
    </row>
    <row r="406" spans="1:24" ht="121.5" customHeight="1" x14ac:dyDescent="0.25">
      <c r="A406" s="118" t="s">
        <v>454</v>
      </c>
      <c r="B406" s="161" t="s">
        <v>138</v>
      </c>
      <c r="C406" s="161" t="s">
        <v>132</v>
      </c>
      <c r="D406" s="161" t="s">
        <v>631</v>
      </c>
      <c r="E406" s="161"/>
      <c r="F406" s="161"/>
      <c r="G406" s="161"/>
      <c r="H406" s="161"/>
      <c r="I406" s="161"/>
      <c r="J406" s="161"/>
      <c r="K406" s="161"/>
      <c r="L406" s="161"/>
      <c r="M406" s="161"/>
      <c r="N406" s="161"/>
      <c r="O406" s="161"/>
      <c r="P406" s="161"/>
      <c r="Q406" s="161"/>
      <c r="R406" s="161"/>
      <c r="S406" s="161"/>
      <c r="T406" s="153" t="s">
        <v>1257</v>
      </c>
      <c r="U406" s="120">
        <f>U407</f>
        <v>20000</v>
      </c>
      <c r="V406" s="120">
        <f>V407</f>
        <v>20000</v>
      </c>
      <c r="W406" s="120">
        <f>W407</f>
        <v>20000</v>
      </c>
      <c r="X406" s="118" t="s">
        <v>454</v>
      </c>
    </row>
    <row r="407" spans="1:24" ht="58.5" customHeight="1" x14ac:dyDescent="0.25">
      <c r="A407" s="118" t="s">
        <v>455</v>
      </c>
      <c r="B407" s="136" t="s">
        <v>138</v>
      </c>
      <c r="C407" s="136" t="s">
        <v>132</v>
      </c>
      <c r="D407" s="161" t="s">
        <v>631</v>
      </c>
      <c r="E407" s="136"/>
      <c r="F407" s="136"/>
      <c r="G407" s="136"/>
      <c r="H407" s="136"/>
      <c r="I407" s="136"/>
      <c r="J407" s="136"/>
      <c r="K407" s="136"/>
      <c r="L407" s="136"/>
      <c r="M407" s="136"/>
      <c r="N407" s="136"/>
      <c r="O407" s="136"/>
      <c r="P407" s="136"/>
      <c r="Q407" s="136"/>
      <c r="R407" s="136"/>
      <c r="S407" s="136" t="s">
        <v>294</v>
      </c>
      <c r="T407" s="162" t="s">
        <v>708</v>
      </c>
      <c r="U407" s="120">
        <f>П4ВСР!Z655</f>
        <v>20000</v>
      </c>
      <c r="V407" s="120">
        <f>П4ВСР!AA655</f>
        <v>20000</v>
      </c>
      <c r="W407" s="120">
        <f>П4ВСР!AB655</f>
        <v>20000</v>
      </c>
      <c r="X407" s="118" t="s">
        <v>455</v>
      </c>
    </row>
    <row r="408" spans="1:24" ht="111.75" customHeight="1" x14ac:dyDescent="0.25">
      <c r="A408" s="118"/>
      <c r="B408" s="136" t="s">
        <v>138</v>
      </c>
      <c r="C408" s="136" t="s">
        <v>132</v>
      </c>
      <c r="D408" s="161" t="s">
        <v>612</v>
      </c>
      <c r="E408" s="136"/>
      <c r="F408" s="136"/>
      <c r="G408" s="136"/>
      <c r="H408" s="136"/>
      <c r="I408" s="136"/>
      <c r="J408" s="136"/>
      <c r="K408" s="136"/>
      <c r="L408" s="136"/>
      <c r="M408" s="136"/>
      <c r="N408" s="136"/>
      <c r="O408" s="136"/>
      <c r="P408" s="136"/>
      <c r="Q408" s="136"/>
      <c r="R408" s="136"/>
      <c r="S408" s="443"/>
      <c r="T408" s="867" t="s">
        <v>611</v>
      </c>
      <c r="U408" s="180">
        <f>U409</f>
        <v>260000</v>
      </c>
      <c r="V408" s="120">
        <f>V409</f>
        <v>180000</v>
      </c>
      <c r="W408" s="120">
        <f>W409</f>
        <v>180000</v>
      </c>
      <c r="X408" s="118"/>
    </row>
    <row r="409" spans="1:24" ht="60.75" customHeight="1" x14ac:dyDescent="0.25">
      <c r="A409" s="118"/>
      <c r="B409" s="136" t="s">
        <v>138</v>
      </c>
      <c r="C409" s="136" t="s">
        <v>132</v>
      </c>
      <c r="D409" s="161" t="s">
        <v>612</v>
      </c>
      <c r="E409" s="136"/>
      <c r="F409" s="136"/>
      <c r="G409" s="136"/>
      <c r="H409" s="136"/>
      <c r="I409" s="136"/>
      <c r="J409" s="136"/>
      <c r="K409" s="136"/>
      <c r="L409" s="136"/>
      <c r="M409" s="136"/>
      <c r="N409" s="136"/>
      <c r="O409" s="136"/>
      <c r="P409" s="136"/>
      <c r="Q409" s="136"/>
      <c r="R409" s="136"/>
      <c r="S409" s="443" t="s">
        <v>294</v>
      </c>
      <c r="T409" s="868" t="s">
        <v>708</v>
      </c>
      <c r="U409" s="180">
        <f>П4ВСР!Z657</f>
        <v>260000</v>
      </c>
      <c r="V409" s="120">
        <f>П4ВСР!AA657</f>
        <v>180000</v>
      </c>
      <c r="W409" s="120">
        <f>П4ВСР!AB657</f>
        <v>180000</v>
      </c>
      <c r="X409" s="118"/>
    </row>
    <row r="410" spans="1:24" ht="75" customHeight="1" x14ac:dyDescent="0.25">
      <c r="A410" s="118" t="s">
        <v>456</v>
      </c>
      <c r="B410" s="161" t="s">
        <v>138</v>
      </c>
      <c r="C410" s="161" t="s">
        <v>132</v>
      </c>
      <c r="D410" s="161" t="s">
        <v>632</v>
      </c>
      <c r="E410" s="161"/>
      <c r="F410" s="161"/>
      <c r="G410" s="161"/>
      <c r="H410" s="161"/>
      <c r="I410" s="161"/>
      <c r="J410" s="161"/>
      <c r="K410" s="161"/>
      <c r="L410" s="161"/>
      <c r="M410" s="161"/>
      <c r="N410" s="161"/>
      <c r="O410" s="161"/>
      <c r="P410" s="161"/>
      <c r="Q410" s="161"/>
      <c r="R410" s="161"/>
      <c r="S410" s="161"/>
      <c r="T410" s="158" t="s">
        <v>456</v>
      </c>
      <c r="U410" s="120">
        <f>U411</f>
        <v>189000</v>
      </c>
      <c r="V410" s="120">
        <f>V411</f>
        <v>193500</v>
      </c>
      <c r="W410" s="120">
        <f>W411</f>
        <v>193500</v>
      </c>
      <c r="X410" s="118" t="s">
        <v>456</v>
      </c>
    </row>
    <row r="411" spans="1:24" ht="59.25" customHeight="1" x14ac:dyDescent="0.25">
      <c r="A411" s="118" t="s">
        <v>457</v>
      </c>
      <c r="B411" s="136" t="s">
        <v>138</v>
      </c>
      <c r="C411" s="136" t="s">
        <v>132</v>
      </c>
      <c r="D411" s="161" t="s">
        <v>632</v>
      </c>
      <c r="E411" s="136"/>
      <c r="F411" s="136"/>
      <c r="G411" s="136"/>
      <c r="H411" s="136"/>
      <c r="I411" s="136"/>
      <c r="J411" s="136"/>
      <c r="K411" s="136"/>
      <c r="L411" s="136"/>
      <c r="M411" s="136"/>
      <c r="N411" s="136"/>
      <c r="O411" s="136"/>
      <c r="P411" s="136"/>
      <c r="Q411" s="136"/>
      <c r="R411" s="136"/>
      <c r="S411" s="136" t="s">
        <v>294</v>
      </c>
      <c r="T411" s="135" t="s">
        <v>708</v>
      </c>
      <c r="U411" s="120">
        <f>П4ВСР!Z659</f>
        <v>189000</v>
      </c>
      <c r="V411" s="120">
        <f>П4ВСР!AA659</f>
        <v>193500</v>
      </c>
      <c r="W411" s="120">
        <f>П4ВСР!AB659</f>
        <v>193500</v>
      </c>
      <c r="X411" s="118" t="s">
        <v>457</v>
      </c>
    </row>
    <row r="412" spans="1:24" ht="39.75" customHeight="1" x14ac:dyDescent="0.25">
      <c r="A412" s="118"/>
      <c r="B412" s="136" t="s">
        <v>138</v>
      </c>
      <c r="C412" s="136" t="s">
        <v>123</v>
      </c>
      <c r="D412" s="161"/>
      <c r="E412" s="136"/>
      <c r="F412" s="136"/>
      <c r="G412" s="136"/>
      <c r="H412" s="136"/>
      <c r="I412" s="136"/>
      <c r="J412" s="136"/>
      <c r="K412" s="136"/>
      <c r="L412" s="136"/>
      <c r="M412" s="136"/>
      <c r="N412" s="136"/>
      <c r="O412" s="136"/>
      <c r="P412" s="136"/>
      <c r="Q412" s="136"/>
      <c r="R412" s="136"/>
      <c r="S412" s="136"/>
      <c r="T412" s="159" t="s">
        <v>745</v>
      </c>
      <c r="U412" s="120">
        <f>U417+U415+U413</f>
        <v>9422801.5</v>
      </c>
      <c r="V412" s="120">
        <f>V417+V415</f>
        <v>8631387.4399999995</v>
      </c>
      <c r="W412" s="120">
        <f>W417+W415</f>
        <v>8631387.4399999995</v>
      </c>
      <c r="X412" s="118"/>
    </row>
    <row r="413" spans="1:24" ht="149.25" customHeight="1" x14ac:dyDescent="0.25">
      <c r="A413" s="118"/>
      <c r="B413" s="136" t="s">
        <v>138</v>
      </c>
      <c r="C413" s="136" t="s">
        <v>123</v>
      </c>
      <c r="D413" s="161" t="s">
        <v>644</v>
      </c>
      <c r="E413" s="136"/>
      <c r="F413" s="136"/>
      <c r="G413" s="136"/>
      <c r="H413" s="136"/>
      <c r="I413" s="136"/>
      <c r="J413" s="136"/>
      <c r="K413" s="136"/>
      <c r="L413" s="136"/>
      <c r="M413" s="136"/>
      <c r="N413" s="136"/>
      <c r="O413" s="136"/>
      <c r="P413" s="136"/>
      <c r="Q413" s="136"/>
      <c r="R413" s="136"/>
      <c r="S413" s="136"/>
      <c r="T413" s="153" t="s">
        <v>1335</v>
      </c>
      <c r="U413" s="120">
        <f>U414</f>
        <v>501484</v>
      </c>
      <c r="V413" s="120">
        <v>0</v>
      </c>
      <c r="W413" s="120">
        <v>0</v>
      </c>
      <c r="X413" s="118"/>
    </row>
    <row r="414" spans="1:24" ht="60" customHeight="1" x14ac:dyDescent="0.25">
      <c r="A414" s="118"/>
      <c r="B414" s="136" t="s">
        <v>138</v>
      </c>
      <c r="C414" s="136" t="s">
        <v>123</v>
      </c>
      <c r="D414" s="161" t="s">
        <v>644</v>
      </c>
      <c r="E414" s="136"/>
      <c r="F414" s="136"/>
      <c r="G414" s="136"/>
      <c r="H414" s="136"/>
      <c r="I414" s="136"/>
      <c r="J414" s="136"/>
      <c r="K414" s="136"/>
      <c r="L414" s="136"/>
      <c r="M414" s="136"/>
      <c r="N414" s="136"/>
      <c r="O414" s="136"/>
      <c r="P414" s="136"/>
      <c r="Q414" s="136"/>
      <c r="R414" s="136"/>
      <c r="S414" s="136" t="s">
        <v>294</v>
      </c>
      <c r="T414" s="135" t="s">
        <v>708</v>
      </c>
      <c r="U414" s="120">
        <f>П4ВСР!Z743</f>
        <v>501484</v>
      </c>
      <c r="V414" s="120">
        <v>0</v>
      </c>
      <c r="W414" s="120">
        <v>0</v>
      </c>
      <c r="X414" s="118"/>
    </row>
    <row r="415" spans="1:24" ht="149.25" customHeight="1" x14ac:dyDescent="0.25">
      <c r="A415" s="118"/>
      <c r="B415" s="136" t="s">
        <v>138</v>
      </c>
      <c r="C415" s="136" t="s">
        <v>123</v>
      </c>
      <c r="D415" s="161" t="s">
        <v>1094</v>
      </c>
      <c r="E415" s="136"/>
      <c r="F415" s="136"/>
      <c r="G415" s="136"/>
      <c r="H415" s="136"/>
      <c r="I415" s="136"/>
      <c r="J415" s="136"/>
      <c r="K415" s="136"/>
      <c r="L415" s="136"/>
      <c r="M415" s="136"/>
      <c r="N415" s="136"/>
      <c r="O415" s="136"/>
      <c r="P415" s="136"/>
      <c r="Q415" s="136"/>
      <c r="R415" s="136"/>
      <c r="S415" s="136"/>
      <c r="T415" s="155" t="s">
        <v>1326</v>
      </c>
      <c r="U415" s="120">
        <f>U416</f>
        <v>8921317.5</v>
      </c>
      <c r="V415" s="120">
        <f>V416</f>
        <v>8631387.4399999995</v>
      </c>
      <c r="W415" s="120">
        <f>W416</f>
        <v>8631387.4399999995</v>
      </c>
      <c r="X415" s="118"/>
    </row>
    <row r="416" spans="1:24" ht="54.75" customHeight="1" x14ac:dyDescent="0.25">
      <c r="A416" s="118"/>
      <c r="B416" s="136" t="s">
        <v>138</v>
      </c>
      <c r="C416" s="136" t="s">
        <v>123</v>
      </c>
      <c r="D416" s="161" t="s">
        <v>1094</v>
      </c>
      <c r="E416" s="136"/>
      <c r="F416" s="136"/>
      <c r="G416" s="136"/>
      <c r="H416" s="136"/>
      <c r="I416" s="136"/>
      <c r="J416" s="136"/>
      <c r="K416" s="136"/>
      <c r="L416" s="136"/>
      <c r="M416" s="136"/>
      <c r="N416" s="136"/>
      <c r="O416" s="136"/>
      <c r="P416" s="136"/>
      <c r="Q416" s="136"/>
      <c r="R416" s="136"/>
      <c r="S416" s="136" t="s">
        <v>294</v>
      </c>
      <c r="T416" s="135" t="s">
        <v>1097</v>
      </c>
      <c r="U416" s="120">
        <f>П4ВСР!Z745</f>
        <v>8921317.5</v>
      </c>
      <c r="V416" s="120">
        <f>П4ВСР!AA745</f>
        <v>8631387.4399999995</v>
      </c>
      <c r="W416" s="120">
        <f>П4ВСР!AB745</f>
        <v>8631387.4399999995</v>
      </c>
      <c r="X416" s="118"/>
    </row>
    <row r="417" spans="1:24" ht="0.75" customHeight="1" x14ac:dyDescent="0.25">
      <c r="A417" s="118"/>
      <c r="B417" s="136" t="s">
        <v>138</v>
      </c>
      <c r="C417" s="136" t="s">
        <v>123</v>
      </c>
      <c r="D417" s="161" t="s">
        <v>644</v>
      </c>
      <c r="E417" s="136"/>
      <c r="F417" s="136"/>
      <c r="G417" s="136"/>
      <c r="H417" s="136"/>
      <c r="I417" s="136"/>
      <c r="J417" s="136"/>
      <c r="K417" s="136"/>
      <c r="L417" s="136"/>
      <c r="M417" s="136"/>
      <c r="N417" s="136"/>
      <c r="O417" s="136"/>
      <c r="P417" s="136"/>
      <c r="Q417" s="136"/>
      <c r="R417" s="136"/>
      <c r="S417" s="136"/>
      <c r="T417" s="153" t="s">
        <v>643</v>
      </c>
      <c r="U417" s="120">
        <f t="shared" ref="U417:W417" si="12">U418</f>
        <v>0</v>
      </c>
      <c r="V417" s="120">
        <f t="shared" si="12"/>
        <v>0</v>
      </c>
      <c r="W417" s="120">
        <f t="shared" si="12"/>
        <v>0</v>
      </c>
      <c r="X417" s="118"/>
    </row>
    <row r="418" spans="1:24" ht="126.75" hidden="1" customHeight="1" x14ac:dyDescent="0.25">
      <c r="A418" s="118"/>
      <c r="B418" s="136" t="s">
        <v>138</v>
      </c>
      <c r="C418" s="136" t="s">
        <v>123</v>
      </c>
      <c r="D418" s="161" t="s">
        <v>644</v>
      </c>
      <c r="E418" s="136"/>
      <c r="F418" s="136"/>
      <c r="G418" s="136"/>
      <c r="H418" s="136"/>
      <c r="I418" s="136"/>
      <c r="J418" s="136"/>
      <c r="K418" s="136"/>
      <c r="L418" s="136"/>
      <c r="M418" s="136"/>
      <c r="N418" s="136"/>
      <c r="O418" s="136"/>
      <c r="P418" s="136"/>
      <c r="Q418" s="136"/>
      <c r="R418" s="136"/>
      <c r="S418" s="136" t="s">
        <v>294</v>
      </c>
      <c r="T418" s="135" t="s">
        <v>488</v>
      </c>
      <c r="U418" s="120">
        <f>П4ВСР!Z748</f>
        <v>0</v>
      </c>
      <c r="V418" s="120">
        <f>П4ВСР!AA748</f>
        <v>0</v>
      </c>
      <c r="W418" s="120">
        <f>П4ВСР!AB748</f>
        <v>0</v>
      </c>
      <c r="X418" s="118"/>
    </row>
    <row r="419" spans="1:24" ht="37.15" customHeight="1" x14ac:dyDescent="0.25">
      <c r="A419" s="118" t="s">
        <v>157</v>
      </c>
      <c r="B419" s="119" t="s">
        <v>138</v>
      </c>
      <c r="C419" s="119" t="s">
        <v>138</v>
      </c>
      <c r="D419" s="119"/>
      <c r="E419" s="119"/>
      <c r="F419" s="119"/>
      <c r="G419" s="119"/>
      <c r="H419" s="119"/>
      <c r="I419" s="119"/>
      <c r="J419" s="119"/>
      <c r="K419" s="119"/>
      <c r="L419" s="119"/>
      <c r="M419" s="119"/>
      <c r="N419" s="119"/>
      <c r="O419" s="119"/>
      <c r="P419" s="119"/>
      <c r="Q419" s="119"/>
      <c r="R419" s="119"/>
      <c r="S419" s="119"/>
      <c r="T419" s="116" t="s">
        <v>718</v>
      </c>
      <c r="U419" s="120">
        <f>U420+U422+U424+U426+U432+U434+U442+U437+U439+U428+U430</f>
        <v>4643632.0200000005</v>
      </c>
      <c r="V419" s="120">
        <f>V420+V422+V424+V426+V432+V434+V442+V437+V439+V428</f>
        <v>4147332.27</v>
      </c>
      <c r="W419" s="120">
        <f>W420+W422+W424+W426+W432+W434+W442+W437+W439+W428</f>
        <v>3164643.14</v>
      </c>
      <c r="X419" s="118" t="s">
        <v>157</v>
      </c>
    </row>
    <row r="420" spans="1:24" ht="118.5" customHeight="1" x14ac:dyDescent="0.25">
      <c r="A420" s="118" t="s">
        <v>369</v>
      </c>
      <c r="B420" s="134" t="s">
        <v>138</v>
      </c>
      <c r="C420" s="134" t="s">
        <v>138</v>
      </c>
      <c r="D420" s="134" t="s">
        <v>577</v>
      </c>
      <c r="E420" s="134"/>
      <c r="F420" s="134"/>
      <c r="G420" s="134"/>
      <c r="H420" s="134"/>
      <c r="I420" s="134"/>
      <c r="J420" s="134"/>
      <c r="K420" s="134"/>
      <c r="L420" s="134"/>
      <c r="M420" s="134"/>
      <c r="N420" s="134"/>
      <c r="O420" s="134"/>
      <c r="P420" s="134"/>
      <c r="Q420" s="134"/>
      <c r="R420" s="134"/>
      <c r="S420" s="134"/>
      <c r="T420" s="153" t="s">
        <v>1286</v>
      </c>
      <c r="U420" s="120">
        <f>U421</f>
        <v>50000</v>
      </c>
      <c r="V420" s="120">
        <f>V421</f>
        <v>50000</v>
      </c>
      <c r="W420" s="120">
        <f>W421</f>
        <v>50000</v>
      </c>
      <c r="X420" s="118" t="s">
        <v>369</v>
      </c>
    </row>
    <row r="421" spans="1:24" ht="45.75" customHeight="1" x14ac:dyDescent="0.25">
      <c r="A421" s="118" t="s">
        <v>370</v>
      </c>
      <c r="B421" s="140" t="s">
        <v>138</v>
      </c>
      <c r="C421" s="140" t="s">
        <v>138</v>
      </c>
      <c r="D421" s="134" t="s">
        <v>577</v>
      </c>
      <c r="E421" s="140"/>
      <c r="F421" s="140"/>
      <c r="G421" s="140"/>
      <c r="H421" s="140"/>
      <c r="I421" s="140"/>
      <c r="J421" s="140"/>
      <c r="K421" s="140"/>
      <c r="L421" s="140"/>
      <c r="M421" s="140"/>
      <c r="N421" s="140"/>
      <c r="O421" s="140"/>
      <c r="P421" s="140"/>
      <c r="Q421" s="140"/>
      <c r="R421" s="140"/>
      <c r="S421" s="140" t="s">
        <v>275</v>
      </c>
      <c r="T421" s="135" t="s">
        <v>565</v>
      </c>
      <c r="U421" s="120">
        <f>П4ВСР!Z279</f>
        <v>50000</v>
      </c>
      <c r="V421" s="120">
        <f>П4ВСР!AA279</f>
        <v>50000</v>
      </c>
      <c r="W421" s="120">
        <f>П4ВСР!AB279</f>
        <v>50000</v>
      </c>
      <c r="X421" s="118" t="s">
        <v>370</v>
      </c>
    </row>
    <row r="422" spans="1:24" ht="209.25" customHeight="1" x14ac:dyDescent="0.25">
      <c r="A422" s="118" t="s">
        <v>371</v>
      </c>
      <c r="B422" s="134" t="s">
        <v>138</v>
      </c>
      <c r="C422" s="134" t="s">
        <v>138</v>
      </c>
      <c r="D422" s="134" t="s">
        <v>578</v>
      </c>
      <c r="E422" s="134"/>
      <c r="F422" s="134"/>
      <c r="G422" s="134"/>
      <c r="H422" s="134"/>
      <c r="I422" s="134"/>
      <c r="J422" s="134"/>
      <c r="K422" s="134"/>
      <c r="L422" s="134"/>
      <c r="M422" s="134"/>
      <c r="N422" s="134"/>
      <c r="O422" s="134"/>
      <c r="P422" s="134"/>
      <c r="Q422" s="134"/>
      <c r="R422" s="134"/>
      <c r="S422" s="134"/>
      <c r="T422" s="153" t="s">
        <v>1287</v>
      </c>
      <c r="U422" s="120">
        <f>U423</f>
        <v>143300</v>
      </c>
      <c r="V422" s="120">
        <f>V423</f>
        <v>50000</v>
      </c>
      <c r="W422" s="120">
        <f>W423</f>
        <v>50000</v>
      </c>
      <c r="X422" s="118" t="s">
        <v>371</v>
      </c>
    </row>
    <row r="423" spans="1:24" ht="42.75" customHeight="1" x14ac:dyDescent="0.25">
      <c r="A423" s="118" t="s">
        <v>372</v>
      </c>
      <c r="B423" s="140" t="s">
        <v>138</v>
      </c>
      <c r="C423" s="140" t="s">
        <v>138</v>
      </c>
      <c r="D423" s="134" t="s">
        <v>578</v>
      </c>
      <c r="E423" s="140"/>
      <c r="F423" s="140"/>
      <c r="G423" s="140"/>
      <c r="H423" s="140"/>
      <c r="I423" s="140"/>
      <c r="J423" s="140"/>
      <c r="K423" s="140"/>
      <c r="L423" s="140"/>
      <c r="M423" s="140"/>
      <c r="N423" s="140"/>
      <c r="O423" s="140"/>
      <c r="P423" s="140"/>
      <c r="Q423" s="140"/>
      <c r="R423" s="140"/>
      <c r="S423" s="140" t="s">
        <v>275</v>
      </c>
      <c r="T423" s="135" t="s">
        <v>565</v>
      </c>
      <c r="U423" s="120">
        <f>П4ВСР!Z281</f>
        <v>143300</v>
      </c>
      <c r="V423" s="120">
        <f>П4ВСР!AA281</f>
        <v>50000</v>
      </c>
      <c r="W423" s="120">
        <f>П4ВСР!AB281</f>
        <v>50000</v>
      </c>
      <c r="X423" s="118" t="s">
        <v>372</v>
      </c>
    </row>
    <row r="424" spans="1:24" ht="182.25" customHeight="1" x14ac:dyDescent="0.25">
      <c r="A424" s="118" t="s">
        <v>373</v>
      </c>
      <c r="B424" s="134" t="s">
        <v>138</v>
      </c>
      <c r="C424" s="134" t="s">
        <v>138</v>
      </c>
      <c r="D424" s="134" t="s">
        <v>579</v>
      </c>
      <c r="E424" s="134"/>
      <c r="F424" s="134"/>
      <c r="G424" s="134"/>
      <c r="H424" s="134"/>
      <c r="I424" s="134"/>
      <c r="J424" s="134"/>
      <c r="K424" s="134"/>
      <c r="L424" s="134"/>
      <c r="M424" s="134"/>
      <c r="N424" s="134"/>
      <c r="O424" s="134"/>
      <c r="P424" s="134"/>
      <c r="Q424" s="134"/>
      <c r="R424" s="134"/>
      <c r="S424" s="134"/>
      <c r="T424" s="153" t="s">
        <v>1258</v>
      </c>
      <c r="U424" s="120">
        <f>U425</f>
        <v>53000</v>
      </c>
      <c r="V424" s="120">
        <f>V425</f>
        <v>53000</v>
      </c>
      <c r="W424" s="120">
        <f>W425</f>
        <v>53000</v>
      </c>
      <c r="X424" s="118" t="s">
        <v>373</v>
      </c>
    </row>
    <row r="425" spans="1:24" ht="48.75" customHeight="1" x14ac:dyDescent="0.25">
      <c r="A425" s="118" t="s">
        <v>374</v>
      </c>
      <c r="B425" s="140" t="s">
        <v>138</v>
      </c>
      <c r="C425" s="140" t="s">
        <v>138</v>
      </c>
      <c r="D425" s="134" t="s">
        <v>579</v>
      </c>
      <c r="E425" s="140"/>
      <c r="F425" s="140"/>
      <c r="G425" s="140"/>
      <c r="H425" s="140"/>
      <c r="I425" s="140"/>
      <c r="J425" s="140"/>
      <c r="K425" s="140"/>
      <c r="L425" s="140"/>
      <c r="M425" s="140"/>
      <c r="N425" s="140"/>
      <c r="O425" s="140"/>
      <c r="P425" s="140"/>
      <c r="Q425" s="140"/>
      <c r="R425" s="140"/>
      <c r="S425" s="140" t="s">
        <v>275</v>
      </c>
      <c r="T425" s="135" t="s">
        <v>565</v>
      </c>
      <c r="U425" s="120">
        <f>П4ВСР!Z283</f>
        <v>53000</v>
      </c>
      <c r="V425" s="120">
        <f>П4ВСР!AA283</f>
        <v>53000</v>
      </c>
      <c r="W425" s="120">
        <f>П4ВСР!AB283</f>
        <v>53000</v>
      </c>
      <c r="X425" s="118" t="s">
        <v>374</v>
      </c>
    </row>
    <row r="426" spans="1:24" ht="196.5" customHeight="1" x14ac:dyDescent="0.25">
      <c r="A426" s="118"/>
      <c r="B426" s="140" t="s">
        <v>138</v>
      </c>
      <c r="C426" s="140" t="s">
        <v>138</v>
      </c>
      <c r="D426" s="134" t="s">
        <v>580</v>
      </c>
      <c r="E426" s="140"/>
      <c r="F426" s="140"/>
      <c r="G426" s="140"/>
      <c r="H426" s="140"/>
      <c r="I426" s="140"/>
      <c r="J426" s="140"/>
      <c r="K426" s="140"/>
      <c r="L426" s="140"/>
      <c r="M426" s="140"/>
      <c r="N426" s="140"/>
      <c r="O426" s="140"/>
      <c r="P426" s="140"/>
      <c r="Q426" s="140"/>
      <c r="R426" s="140"/>
      <c r="S426" s="140"/>
      <c r="T426" s="153" t="s">
        <v>1288</v>
      </c>
      <c r="U426" s="120">
        <f>U427</f>
        <v>30000</v>
      </c>
      <c r="V426" s="120">
        <f>V427</f>
        <v>50000</v>
      </c>
      <c r="W426" s="120">
        <f>W427</f>
        <v>50000</v>
      </c>
      <c r="X426" s="118"/>
    </row>
    <row r="427" spans="1:24" ht="51" customHeight="1" x14ac:dyDescent="0.25">
      <c r="A427" s="118"/>
      <c r="B427" s="140" t="s">
        <v>138</v>
      </c>
      <c r="C427" s="140" t="s">
        <v>138</v>
      </c>
      <c r="D427" s="134" t="s">
        <v>580</v>
      </c>
      <c r="E427" s="140"/>
      <c r="F427" s="140"/>
      <c r="G427" s="140"/>
      <c r="H427" s="140"/>
      <c r="I427" s="140"/>
      <c r="J427" s="140"/>
      <c r="K427" s="140"/>
      <c r="L427" s="140"/>
      <c r="M427" s="140"/>
      <c r="N427" s="140"/>
      <c r="O427" s="140"/>
      <c r="P427" s="140"/>
      <c r="Q427" s="140"/>
      <c r="R427" s="140"/>
      <c r="S427" s="140" t="s">
        <v>275</v>
      </c>
      <c r="T427" s="135" t="s">
        <v>565</v>
      </c>
      <c r="U427" s="120">
        <f>П4ВСР!Z285</f>
        <v>30000</v>
      </c>
      <c r="V427" s="120">
        <f>П4ВСР!AA285</f>
        <v>50000</v>
      </c>
      <c r="W427" s="120">
        <f>П4ВСР!AB285</f>
        <v>50000</v>
      </c>
      <c r="X427" s="118"/>
    </row>
    <row r="428" spans="1:24" ht="195" hidden="1" customHeight="1" x14ac:dyDescent="0.25">
      <c r="A428" s="118"/>
      <c r="B428" s="140" t="s">
        <v>138</v>
      </c>
      <c r="C428" s="140" t="s">
        <v>138</v>
      </c>
      <c r="D428" s="230" t="s">
        <v>881</v>
      </c>
      <c r="E428" s="140"/>
      <c r="F428" s="140"/>
      <c r="G428" s="140"/>
      <c r="H428" s="140"/>
      <c r="I428" s="140"/>
      <c r="J428" s="140"/>
      <c r="K428" s="140"/>
      <c r="L428" s="140"/>
      <c r="M428" s="140"/>
      <c r="N428" s="140"/>
      <c r="O428" s="140"/>
      <c r="P428" s="140"/>
      <c r="Q428" s="140"/>
      <c r="R428" s="140"/>
      <c r="S428" s="140"/>
      <c r="T428" s="153" t="s">
        <v>879</v>
      </c>
      <c r="U428" s="120">
        <f>U429</f>
        <v>0</v>
      </c>
      <c r="V428" s="120">
        <v>0</v>
      </c>
      <c r="W428" s="120">
        <v>0</v>
      </c>
      <c r="X428" s="118"/>
    </row>
    <row r="429" spans="1:24" ht="108" hidden="1" customHeight="1" x14ac:dyDescent="0.25">
      <c r="A429" s="118"/>
      <c r="B429" s="140" t="s">
        <v>138</v>
      </c>
      <c r="C429" s="140" t="s">
        <v>138</v>
      </c>
      <c r="D429" s="230" t="s">
        <v>881</v>
      </c>
      <c r="E429" s="140"/>
      <c r="F429" s="140"/>
      <c r="G429" s="140"/>
      <c r="H429" s="140"/>
      <c r="I429" s="140"/>
      <c r="J429" s="140"/>
      <c r="K429" s="140"/>
      <c r="L429" s="140"/>
      <c r="M429" s="140"/>
      <c r="N429" s="140"/>
      <c r="O429" s="140"/>
      <c r="P429" s="140"/>
      <c r="Q429" s="140"/>
      <c r="R429" s="140"/>
      <c r="S429" s="140" t="s">
        <v>275</v>
      </c>
      <c r="T429" s="135" t="s">
        <v>880</v>
      </c>
      <c r="U429" s="120">
        <f>П4ВСР!Z287</f>
        <v>0</v>
      </c>
      <c r="V429" s="120">
        <v>0</v>
      </c>
      <c r="W429" s="120">
        <v>0</v>
      </c>
      <c r="X429" s="118"/>
    </row>
    <row r="430" spans="1:24" ht="108" customHeight="1" x14ac:dyDescent="0.25">
      <c r="A430" s="118"/>
      <c r="B430" s="140" t="s">
        <v>138</v>
      </c>
      <c r="C430" s="140" t="s">
        <v>138</v>
      </c>
      <c r="D430" s="230" t="s">
        <v>981</v>
      </c>
      <c r="E430" s="140"/>
      <c r="F430" s="140"/>
      <c r="G430" s="140"/>
      <c r="H430" s="140"/>
      <c r="I430" s="140"/>
      <c r="J430" s="140"/>
      <c r="K430" s="140"/>
      <c r="L430" s="140"/>
      <c r="M430" s="140"/>
      <c r="N430" s="140"/>
      <c r="O430" s="140"/>
      <c r="P430" s="140"/>
      <c r="Q430" s="140"/>
      <c r="R430" s="140"/>
      <c r="S430" s="140"/>
      <c r="T430" s="291" t="s">
        <v>1259</v>
      </c>
      <c r="U430" s="120">
        <f>U431</f>
        <v>130000</v>
      </c>
      <c r="V430" s="120">
        <v>0</v>
      </c>
      <c r="W430" s="120">
        <v>0</v>
      </c>
      <c r="X430" s="118"/>
    </row>
    <row r="431" spans="1:24" ht="34.5" customHeight="1" x14ac:dyDescent="0.25">
      <c r="A431" s="118"/>
      <c r="B431" s="140" t="s">
        <v>138</v>
      </c>
      <c r="C431" s="140" t="s">
        <v>138</v>
      </c>
      <c r="D431" s="230" t="s">
        <v>981</v>
      </c>
      <c r="E431" s="140"/>
      <c r="F431" s="140"/>
      <c r="G431" s="140"/>
      <c r="H431" s="140"/>
      <c r="I431" s="140"/>
      <c r="J431" s="140"/>
      <c r="K431" s="140"/>
      <c r="L431" s="140"/>
      <c r="M431" s="140"/>
      <c r="N431" s="140"/>
      <c r="O431" s="140"/>
      <c r="P431" s="140"/>
      <c r="Q431" s="140"/>
      <c r="R431" s="140"/>
      <c r="S431" s="140" t="s">
        <v>275</v>
      </c>
      <c r="T431" s="339" t="s">
        <v>565</v>
      </c>
      <c r="U431" s="120">
        <f>П4ВСР!Z289</f>
        <v>130000</v>
      </c>
      <c r="V431" s="120">
        <v>0</v>
      </c>
      <c r="W431" s="120">
        <v>0</v>
      </c>
      <c r="X431" s="118"/>
    </row>
    <row r="432" spans="1:24" ht="127.5" customHeight="1" x14ac:dyDescent="0.25">
      <c r="A432" s="118"/>
      <c r="B432" s="134" t="s">
        <v>138</v>
      </c>
      <c r="C432" s="134" t="s">
        <v>138</v>
      </c>
      <c r="D432" s="134" t="s">
        <v>581</v>
      </c>
      <c r="E432" s="134"/>
      <c r="F432" s="134"/>
      <c r="G432" s="134"/>
      <c r="H432" s="134"/>
      <c r="I432" s="134"/>
      <c r="J432" s="134"/>
      <c r="K432" s="134"/>
      <c r="L432" s="134"/>
      <c r="M432" s="134"/>
      <c r="N432" s="134"/>
      <c r="O432" s="134"/>
      <c r="P432" s="134"/>
      <c r="Q432" s="134"/>
      <c r="R432" s="134"/>
      <c r="S432" s="134"/>
      <c r="T432" s="153" t="s">
        <v>1260</v>
      </c>
      <c r="U432" s="120">
        <f>U433</f>
        <v>343000</v>
      </c>
      <c r="V432" s="120">
        <f>V433</f>
        <v>50000</v>
      </c>
      <c r="W432" s="120">
        <f>W433</f>
        <v>50000</v>
      </c>
      <c r="X432" s="118"/>
    </row>
    <row r="433" spans="1:24" ht="47.25" customHeight="1" x14ac:dyDescent="0.25">
      <c r="A433" s="118"/>
      <c r="B433" s="140" t="s">
        <v>138</v>
      </c>
      <c r="C433" s="140" t="s">
        <v>138</v>
      </c>
      <c r="D433" s="134" t="s">
        <v>581</v>
      </c>
      <c r="E433" s="140"/>
      <c r="F433" s="140"/>
      <c r="G433" s="140"/>
      <c r="H433" s="140"/>
      <c r="I433" s="140"/>
      <c r="J433" s="140"/>
      <c r="K433" s="140"/>
      <c r="L433" s="140"/>
      <c r="M433" s="140"/>
      <c r="N433" s="140"/>
      <c r="O433" s="140"/>
      <c r="P433" s="140"/>
      <c r="Q433" s="140"/>
      <c r="R433" s="140"/>
      <c r="S433" s="140" t="s">
        <v>275</v>
      </c>
      <c r="T433" s="135" t="s">
        <v>565</v>
      </c>
      <c r="U433" s="120">
        <f>П4ВСР!Z291</f>
        <v>343000</v>
      </c>
      <c r="V433" s="120">
        <f>П4ВСР!AA291</f>
        <v>50000</v>
      </c>
      <c r="W433" s="120">
        <f>П4ВСР!AB291</f>
        <v>50000</v>
      </c>
      <c r="X433" s="118"/>
    </row>
    <row r="434" spans="1:24" ht="136.5" customHeight="1" x14ac:dyDescent="0.25">
      <c r="A434" s="118" t="s">
        <v>458</v>
      </c>
      <c r="B434" s="161" t="s">
        <v>138</v>
      </c>
      <c r="C434" s="161" t="s">
        <v>138</v>
      </c>
      <c r="D434" s="161" t="s">
        <v>634</v>
      </c>
      <c r="E434" s="161"/>
      <c r="F434" s="161"/>
      <c r="G434" s="161"/>
      <c r="H434" s="161"/>
      <c r="I434" s="161"/>
      <c r="J434" s="161"/>
      <c r="K434" s="161"/>
      <c r="L434" s="161"/>
      <c r="M434" s="161"/>
      <c r="N434" s="161"/>
      <c r="O434" s="161"/>
      <c r="P434" s="161"/>
      <c r="Q434" s="161"/>
      <c r="R434" s="161"/>
      <c r="S434" s="161"/>
      <c r="T434" s="153" t="s">
        <v>1261</v>
      </c>
      <c r="U434" s="120">
        <f>U436+U435</f>
        <v>2345074.2200000002</v>
      </c>
      <c r="V434" s="120">
        <f>V436</f>
        <v>2500000</v>
      </c>
      <c r="W434" s="120">
        <f>W436</f>
        <v>2500000</v>
      </c>
      <c r="X434" s="118" t="s">
        <v>458</v>
      </c>
    </row>
    <row r="435" spans="1:24" ht="47.25" customHeight="1" x14ac:dyDescent="0.25">
      <c r="A435" s="118"/>
      <c r="B435" s="136" t="s">
        <v>138</v>
      </c>
      <c r="C435" s="136" t="s">
        <v>138</v>
      </c>
      <c r="D435" s="161" t="s">
        <v>634</v>
      </c>
      <c r="E435" s="136"/>
      <c r="F435" s="136"/>
      <c r="G435" s="136"/>
      <c r="H435" s="136"/>
      <c r="I435" s="136"/>
      <c r="J435" s="136"/>
      <c r="K435" s="136"/>
      <c r="L435" s="136"/>
      <c r="M435" s="136"/>
      <c r="N435" s="136"/>
      <c r="O435" s="136"/>
      <c r="P435" s="136"/>
      <c r="Q435" s="136"/>
      <c r="R435" s="136"/>
      <c r="S435" s="136" t="s">
        <v>275</v>
      </c>
      <c r="T435" s="135" t="s">
        <v>565</v>
      </c>
      <c r="U435" s="120">
        <f>П4ВСР!Z662</f>
        <v>285166.40000000002</v>
      </c>
      <c r="V435" s="120">
        <v>0</v>
      </c>
      <c r="W435" s="120">
        <v>0</v>
      </c>
      <c r="X435" s="118"/>
    </row>
    <row r="436" spans="1:24" ht="59.25" customHeight="1" x14ac:dyDescent="0.25">
      <c r="A436" s="118" t="s">
        <v>459</v>
      </c>
      <c r="B436" s="136" t="s">
        <v>138</v>
      </c>
      <c r="C436" s="136" t="s">
        <v>138</v>
      </c>
      <c r="D436" s="161" t="s">
        <v>634</v>
      </c>
      <c r="E436" s="136"/>
      <c r="F436" s="136"/>
      <c r="G436" s="136"/>
      <c r="H436" s="136"/>
      <c r="I436" s="136"/>
      <c r="J436" s="136"/>
      <c r="K436" s="136"/>
      <c r="L436" s="136"/>
      <c r="M436" s="136"/>
      <c r="N436" s="136"/>
      <c r="O436" s="136"/>
      <c r="P436" s="136"/>
      <c r="Q436" s="136"/>
      <c r="R436" s="136"/>
      <c r="S436" s="136" t="s">
        <v>294</v>
      </c>
      <c r="T436" s="135" t="s">
        <v>708</v>
      </c>
      <c r="U436" s="120">
        <f>П4ВСР!Z663</f>
        <v>2059907.8200000003</v>
      </c>
      <c r="V436" s="120">
        <f>П4ВСР!AA663</f>
        <v>2500000</v>
      </c>
      <c r="W436" s="120">
        <f>П4ВСР!AB663</f>
        <v>2500000</v>
      </c>
      <c r="X436" s="118" t="s">
        <v>459</v>
      </c>
    </row>
    <row r="437" spans="1:24" ht="130.5" hidden="1" customHeight="1" x14ac:dyDescent="0.25">
      <c r="A437" s="118"/>
      <c r="B437" s="136" t="s">
        <v>138</v>
      </c>
      <c r="C437" s="136" t="s">
        <v>138</v>
      </c>
      <c r="D437" s="161" t="s">
        <v>780</v>
      </c>
      <c r="E437" s="136"/>
      <c r="F437" s="136"/>
      <c r="G437" s="136"/>
      <c r="H437" s="136"/>
      <c r="I437" s="136"/>
      <c r="J437" s="136"/>
      <c r="K437" s="136"/>
      <c r="L437" s="136"/>
      <c r="M437" s="136"/>
      <c r="N437" s="136"/>
      <c r="O437" s="136"/>
      <c r="P437" s="136"/>
      <c r="Q437" s="136"/>
      <c r="R437" s="136"/>
      <c r="S437" s="136"/>
      <c r="T437" s="153" t="s">
        <v>633</v>
      </c>
      <c r="U437" s="120">
        <f>U438</f>
        <v>0</v>
      </c>
      <c r="V437" s="120">
        <f>V438</f>
        <v>0</v>
      </c>
      <c r="W437" s="120">
        <f>W438</f>
        <v>0</v>
      </c>
      <c r="X437" s="118"/>
    </row>
    <row r="438" spans="1:24" ht="130.5" hidden="1" customHeight="1" x14ac:dyDescent="0.25">
      <c r="A438" s="118"/>
      <c r="B438" s="136" t="s">
        <v>138</v>
      </c>
      <c r="C438" s="136" t="s">
        <v>138</v>
      </c>
      <c r="D438" s="161" t="s">
        <v>780</v>
      </c>
      <c r="E438" s="136"/>
      <c r="F438" s="136"/>
      <c r="G438" s="136"/>
      <c r="H438" s="136"/>
      <c r="I438" s="136"/>
      <c r="J438" s="136"/>
      <c r="K438" s="136"/>
      <c r="L438" s="136"/>
      <c r="M438" s="136"/>
      <c r="N438" s="136"/>
      <c r="O438" s="136"/>
      <c r="P438" s="136"/>
      <c r="Q438" s="136"/>
      <c r="R438" s="136"/>
      <c r="S438" s="136" t="s">
        <v>294</v>
      </c>
      <c r="T438" s="135" t="s">
        <v>459</v>
      </c>
      <c r="U438" s="120">
        <f>П4ВСР!Z665</f>
        <v>0</v>
      </c>
      <c r="V438" s="120">
        <f>П4ВСР!AA665</f>
        <v>0</v>
      </c>
      <c r="W438" s="120">
        <f>П4ВСР!AB665</f>
        <v>0</v>
      </c>
      <c r="X438" s="118"/>
    </row>
    <row r="439" spans="1:24" ht="140.25" customHeight="1" x14ac:dyDescent="0.25">
      <c r="A439" s="118"/>
      <c r="B439" s="136" t="s">
        <v>138</v>
      </c>
      <c r="C439" s="136" t="s">
        <v>138</v>
      </c>
      <c r="D439" s="161" t="s">
        <v>780</v>
      </c>
      <c r="E439" s="136"/>
      <c r="F439" s="136"/>
      <c r="G439" s="136"/>
      <c r="H439" s="136"/>
      <c r="I439" s="136"/>
      <c r="J439" s="136"/>
      <c r="K439" s="136"/>
      <c r="L439" s="136"/>
      <c r="M439" s="136"/>
      <c r="N439" s="136"/>
      <c r="O439" s="136"/>
      <c r="P439" s="136"/>
      <c r="Q439" s="136"/>
      <c r="R439" s="136"/>
      <c r="S439" s="136"/>
      <c r="T439" s="153" t="s">
        <v>1262</v>
      </c>
      <c r="U439" s="120">
        <f>U440+U441+U443</f>
        <v>1549257.8</v>
      </c>
      <c r="V439" s="120">
        <f>V440+V441</f>
        <v>1394332.27</v>
      </c>
      <c r="W439" s="120">
        <f>W440+W441</f>
        <v>411643.14</v>
      </c>
      <c r="X439" s="118"/>
    </row>
    <row r="440" spans="1:24" ht="1.5" hidden="1" customHeight="1" x14ac:dyDescent="0.25">
      <c r="A440" s="118"/>
      <c r="B440" s="136" t="s">
        <v>138</v>
      </c>
      <c r="C440" s="136" t="s">
        <v>138</v>
      </c>
      <c r="D440" s="161" t="s">
        <v>780</v>
      </c>
      <c r="E440" s="136"/>
      <c r="F440" s="136"/>
      <c r="G440" s="136"/>
      <c r="H440" s="136"/>
      <c r="I440" s="136"/>
      <c r="J440" s="136"/>
      <c r="K440" s="136"/>
      <c r="L440" s="136"/>
      <c r="M440" s="136"/>
      <c r="N440" s="136"/>
      <c r="O440" s="136"/>
      <c r="P440" s="136"/>
      <c r="Q440" s="136"/>
      <c r="R440" s="136"/>
      <c r="S440" s="136" t="s">
        <v>275</v>
      </c>
      <c r="T440" s="135" t="s">
        <v>565</v>
      </c>
      <c r="U440" s="120">
        <f>П4ВСР!Z667</f>
        <v>0</v>
      </c>
      <c r="V440" s="120">
        <f>П4ВСР!AA667</f>
        <v>0</v>
      </c>
      <c r="W440" s="120">
        <f>П4ВСР!AB667</f>
        <v>0</v>
      </c>
      <c r="X440" s="118"/>
    </row>
    <row r="441" spans="1:24" ht="60" customHeight="1" x14ac:dyDescent="0.25">
      <c r="A441" s="118"/>
      <c r="B441" s="136" t="s">
        <v>138</v>
      </c>
      <c r="C441" s="136" t="s">
        <v>138</v>
      </c>
      <c r="D441" s="161" t="s">
        <v>780</v>
      </c>
      <c r="E441" s="136"/>
      <c r="F441" s="136"/>
      <c r="G441" s="136"/>
      <c r="H441" s="136"/>
      <c r="I441" s="136"/>
      <c r="J441" s="136"/>
      <c r="K441" s="136"/>
      <c r="L441" s="136"/>
      <c r="M441" s="136"/>
      <c r="N441" s="136"/>
      <c r="O441" s="136"/>
      <c r="P441" s="136"/>
      <c r="Q441" s="136"/>
      <c r="R441" s="136"/>
      <c r="S441" s="136" t="s">
        <v>294</v>
      </c>
      <c r="T441" s="135" t="s">
        <v>708</v>
      </c>
      <c r="U441" s="120">
        <f>П4ВСР!Z668</f>
        <v>1549257.8</v>
      </c>
      <c r="V441" s="120">
        <f>П4ВСР!AA668</f>
        <v>1394332.27</v>
      </c>
      <c r="W441" s="120">
        <f>П4ВСР!AB668</f>
        <v>411643.14</v>
      </c>
      <c r="X441" s="118"/>
    </row>
    <row r="442" spans="1:24" ht="66" hidden="1" customHeight="1" x14ac:dyDescent="0.25">
      <c r="A442" s="118"/>
      <c r="B442" s="136" t="s">
        <v>138</v>
      </c>
      <c r="C442" s="136" t="s">
        <v>138</v>
      </c>
      <c r="D442" s="161" t="s">
        <v>709</v>
      </c>
      <c r="E442" s="136"/>
      <c r="F442" s="136"/>
      <c r="G442" s="136"/>
      <c r="H442" s="136"/>
      <c r="I442" s="136"/>
      <c r="J442" s="136"/>
      <c r="K442" s="136"/>
      <c r="L442" s="136"/>
      <c r="M442" s="136"/>
      <c r="N442" s="136"/>
      <c r="O442" s="136"/>
      <c r="P442" s="136"/>
      <c r="Q442" s="136"/>
      <c r="R442" s="136"/>
      <c r="S442" s="136"/>
      <c r="T442" s="135" t="s">
        <v>707</v>
      </c>
      <c r="U442" s="120">
        <v>0</v>
      </c>
      <c r="V442" s="120">
        <f>V443</f>
        <v>0</v>
      </c>
      <c r="W442" s="120">
        <f>W443</f>
        <v>0</v>
      </c>
      <c r="X442" s="118"/>
    </row>
    <row r="443" spans="1:24" ht="53.25" hidden="1" customHeight="1" x14ac:dyDescent="0.25">
      <c r="A443" s="118"/>
      <c r="B443" s="136" t="s">
        <v>138</v>
      </c>
      <c r="C443" s="136" t="s">
        <v>138</v>
      </c>
      <c r="D443" s="161" t="s">
        <v>780</v>
      </c>
      <c r="E443" s="136"/>
      <c r="F443" s="136"/>
      <c r="G443" s="136"/>
      <c r="H443" s="136"/>
      <c r="I443" s="136"/>
      <c r="J443" s="136"/>
      <c r="K443" s="136"/>
      <c r="L443" s="136"/>
      <c r="M443" s="136"/>
      <c r="N443" s="136"/>
      <c r="O443" s="136"/>
      <c r="P443" s="136"/>
      <c r="Q443" s="136"/>
      <c r="R443" s="136"/>
      <c r="S443" s="136" t="s">
        <v>275</v>
      </c>
      <c r="T443" s="135" t="s">
        <v>565</v>
      </c>
      <c r="U443" s="120">
        <f>П4ВСР!Z670</f>
        <v>0</v>
      </c>
      <c r="V443" s="120">
        <f>П4ВСР!AA670</f>
        <v>0</v>
      </c>
      <c r="W443" s="120">
        <f>П4ВСР!AB670</f>
        <v>0</v>
      </c>
      <c r="X443" s="118"/>
    </row>
    <row r="444" spans="1:24" ht="33.75" customHeight="1" x14ac:dyDescent="0.25">
      <c r="A444" s="118" t="s">
        <v>158</v>
      </c>
      <c r="B444" s="119" t="s">
        <v>138</v>
      </c>
      <c r="C444" s="119" t="s">
        <v>127</v>
      </c>
      <c r="D444" s="119"/>
      <c r="E444" s="119"/>
      <c r="F444" s="119"/>
      <c r="G444" s="119"/>
      <c r="H444" s="119"/>
      <c r="I444" s="119"/>
      <c r="J444" s="119"/>
      <c r="K444" s="119"/>
      <c r="L444" s="119"/>
      <c r="M444" s="119"/>
      <c r="N444" s="119"/>
      <c r="O444" s="119"/>
      <c r="P444" s="119"/>
      <c r="Q444" s="119"/>
      <c r="R444" s="119"/>
      <c r="S444" s="119"/>
      <c r="T444" s="118" t="s">
        <v>158</v>
      </c>
      <c r="U444" s="120">
        <f>U445+U450+U460+U466+U464+U456+U448+U468</f>
        <v>30844670.450000003</v>
      </c>
      <c r="V444" s="120">
        <f>V445+V450+V460+V466+V464+V456+V448</f>
        <v>25603435.960000001</v>
      </c>
      <c r="W444" s="120">
        <f>W445+W450+W460+W466+W464+W456+W448</f>
        <v>24394219.469999999</v>
      </c>
      <c r="X444" s="118" t="s">
        <v>158</v>
      </c>
    </row>
    <row r="445" spans="1:24" ht="47.25" hidden="1" customHeight="1" x14ac:dyDescent="0.25">
      <c r="A445" s="118" t="s">
        <v>235</v>
      </c>
      <c r="B445" s="134" t="s">
        <v>138</v>
      </c>
      <c r="C445" s="134" t="s">
        <v>127</v>
      </c>
      <c r="D445" s="134" t="s">
        <v>589</v>
      </c>
      <c r="E445" s="134"/>
      <c r="F445" s="134"/>
      <c r="G445" s="134"/>
      <c r="H445" s="134"/>
      <c r="I445" s="134"/>
      <c r="J445" s="134"/>
      <c r="K445" s="134"/>
      <c r="L445" s="134"/>
      <c r="M445" s="134"/>
      <c r="N445" s="134"/>
      <c r="O445" s="134"/>
      <c r="P445" s="134"/>
      <c r="Q445" s="134"/>
      <c r="R445" s="134"/>
      <c r="S445" s="134"/>
      <c r="T445" s="153" t="s">
        <v>235</v>
      </c>
      <c r="U445" s="120">
        <f>U446+U447</f>
        <v>0</v>
      </c>
      <c r="V445" s="120">
        <f>V446+V447</f>
        <v>0</v>
      </c>
      <c r="W445" s="120">
        <f>W446+W447</f>
        <v>0</v>
      </c>
      <c r="X445" s="118" t="s">
        <v>235</v>
      </c>
    </row>
    <row r="446" spans="1:24" ht="23.25" hidden="1" customHeight="1" x14ac:dyDescent="0.25">
      <c r="A446" s="124" t="s">
        <v>377</v>
      </c>
      <c r="B446" s="140" t="s">
        <v>138</v>
      </c>
      <c r="C446" s="140" t="s">
        <v>127</v>
      </c>
      <c r="D446" s="134" t="s">
        <v>589</v>
      </c>
      <c r="E446" s="140"/>
      <c r="F446" s="140"/>
      <c r="G446" s="140"/>
      <c r="H446" s="140"/>
      <c r="I446" s="140"/>
      <c r="J446" s="140"/>
      <c r="K446" s="140"/>
      <c r="L446" s="140"/>
      <c r="M446" s="140"/>
      <c r="N446" s="140"/>
      <c r="O446" s="140"/>
      <c r="P446" s="140"/>
      <c r="Q446" s="140"/>
      <c r="R446" s="140"/>
      <c r="S446" s="140" t="s">
        <v>38</v>
      </c>
      <c r="T446" s="154" t="s">
        <v>377</v>
      </c>
      <c r="U446" s="120">
        <v>0</v>
      </c>
      <c r="V446" s="120">
        <f>П4ВСР!AA294</f>
        <v>0</v>
      </c>
      <c r="W446" s="120">
        <f>П4ВСР!AB294</f>
        <v>0</v>
      </c>
      <c r="X446" s="124" t="s">
        <v>377</v>
      </c>
    </row>
    <row r="447" spans="1:24" ht="33.75" hidden="1" customHeight="1" x14ac:dyDescent="0.25">
      <c r="A447" s="124" t="s">
        <v>378</v>
      </c>
      <c r="B447" s="140" t="s">
        <v>138</v>
      </c>
      <c r="C447" s="140" t="s">
        <v>127</v>
      </c>
      <c r="D447" s="134" t="s">
        <v>589</v>
      </c>
      <c r="E447" s="140"/>
      <c r="F447" s="140"/>
      <c r="G447" s="140"/>
      <c r="H447" s="140"/>
      <c r="I447" s="140"/>
      <c r="J447" s="140"/>
      <c r="K447" s="140"/>
      <c r="L447" s="140"/>
      <c r="M447" s="140"/>
      <c r="N447" s="140"/>
      <c r="O447" s="140"/>
      <c r="P447" s="140"/>
      <c r="Q447" s="140"/>
      <c r="R447" s="140"/>
      <c r="S447" s="140" t="s">
        <v>275</v>
      </c>
      <c r="T447" s="154" t="s">
        <v>378</v>
      </c>
      <c r="U447" s="120">
        <f>П4ВСР!Z295</f>
        <v>0</v>
      </c>
      <c r="V447" s="120">
        <f>П4ВСР!AA295</f>
        <v>0</v>
      </c>
      <c r="W447" s="120">
        <f>П4ВСР!AB295</f>
        <v>0</v>
      </c>
      <c r="X447" s="124" t="s">
        <v>378</v>
      </c>
    </row>
    <row r="448" spans="1:24" ht="33" hidden="1" customHeight="1" x14ac:dyDescent="0.25">
      <c r="A448" s="124"/>
      <c r="B448" s="140" t="s">
        <v>138</v>
      </c>
      <c r="C448" s="140" t="s">
        <v>127</v>
      </c>
      <c r="D448" s="161" t="s">
        <v>1104</v>
      </c>
      <c r="E448" s="140"/>
      <c r="F448" s="140"/>
      <c r="G448" s="140"/>
      <c r="H448" s="140"/>
      <c r="I448" s="140"/>
      <c r="J448" s="140"/>
      <c r="K448" s="140"/>
      <c r="L448" s="140"/>
      <c r="M448" s="140"/>
      <c r="N448" s="140"/>
      <c r="O448" s="140"/>
      <c r="P448" s="140"/>
      <c r="Q448" s="140"/>
      <c r="R448" s="140"/>
      <c r="S448" s="140"/>
      <c r="T448" s="155" t="s">
        <v>1333</v>
      </c>
      <c r="U448" s="120">
        <f>U449</f>
        <v>0</v>
      </c>
      <c r="V448" s="120">
        <f>V449</f>
        <v>0</v>
      </c>
      <c r="W448" s="120">
        <f>W449</f>
        <v>0</v>
      </c>
      <c r="X448" s="124"/>
    </row>
    <row r="449" spans="1:24" ht="47.25" hidden="1" customHeight="1" x14ac:dyDescent="0.25">
      <c r="A449" s="124"/>
      <c r="B449" s="140" t="s">
        <v>138</v>
      </c>
      <c r="C449" s="140" t="s">
        <v>127</v>
      </c>
      <c r="D449" s="161" t="s">
        <v>1104</v>
      </c>
      <c r="E449" s="140"/>
      <c r="F449" s="140"/>
      <c r="G449" s="140"/>
      <c r="H449" s="140"/>
      <c r="I449" s="140"/>
      <c r="J449" s="140"/>
      <c r="K449" s="140"/>
      <c r="L449" s="140"/>
      <c r="M449" s="140"/>
      <c r="N449" s="140"/>
      <c r="O449" s="140"/>
      <c r="P449" s="140"/>
      <c r="Q449" s="140"/>
      <c r="R449" s="140"/>
      <c r="S449" s="140" t="s">
        <v>38</v>
      </c>
      <c r="T449" s="154" t="s">
        <v>723</v>
      </c>
      <c r="U449" s="120">
        <f>П4ВСР!Z672</f>
        <v>0</v>
      </c>
      <c r="V449" s="120">
        <f>П4ВСР!AA672</f>
        <v>0</v>
      </c>
      <c r="W449" s="120">
        <f>П4ВСР!AB672</f>
        <v>0</v>
      </c>
      <c r="X449" s="124"/>
    </row>
    <row r="450" spans="1:24" ht="164.25" customHeight="1" x14ac:dyDescent="0.25">
      <c r="A450" s="118" t="s">
        <v>460</v>
      </c>
      <c r="B450" s="161" t="s">
        <v>138</v>
      </c>
      <c r="C450" s="161" t="s">
        <v>127</v>
      </c>
      <c r="D450" s="161" t="s">
        <v>635</v>
      </c>
      <c r="E450" s="161"/>
      <c r="F450" s="161"/>
      <c r="G450" s="161"/>
      <c r="H450" s="161"/>
      <c r="I450" s="161"/>
      <c r="J450" s="161"/>
      <c r="K450" s="161"/>
      <c r="L450" s="161"/>
      <c r="M450" s="161"/>
      <c r="N450" s="161"/>
      <c r="O450" s="161"/>
      <c r="P450" s="161"/>
      <c r="Q450" s="161"/>
      <c r="R450" s="161"/>
      <c r="S450" s="161"/>
      <c r="T450" s="153" t="s">
        <v>1263</v>
      </c>
      <c r="U450" s="120">
        <f>U452+U453+U454+U455</f>
        <v>6974935.1100000003</v>
      </c>
      <c r="V450" s="120">
        <f>V452+V453+V454+V455</f>
        <v>6134313.7400000002</v>
      </c>
      <c r="W450" s="120">
        <f>W452+W453+W454+W455</f>
        <v>6134313.7400000002</v>
      </c>
      <c r="X450" s="118" t="s">
        <v>460</v>
      </c>
    </row>
    <row r="451" spans="1:24" ht="178.5" hidden="1" customHeight="1" x14ac:dyDescent="0.25">
      <c r="A451" s="118"/>
      <c r="B451" s="136"/>
      <c r="C451" s="136"/>
      <c r="D451" s="161"/>
      <c r="E451" s="161"/>
      <c r="F451" s="161"/>
      <c r="G451" s="161"/>
      <c r="H451" s="161"/>
      <c r="I451" s="161"/>
      <c r="J451" s="161"/>
      <c r="K451" s="161"/>
      <c r="L451" s="161"/>
      <c r="M451" s="161"/>
      <c r="N451" s="161"/>
      <c r="O451" s="161"/>
      <c r="P451" s="161"/>
      <c r="Q451" s="161"/>
      <c r="R451" s="161"/>
      <c r="S451" s="161"/>
      <c r="T451" s="155"/>
      <c r="U451" s="120"/>
      <c r="V451" s="120"/>
      <c r="W451" s="120"/>
      <c r="X451" s="118"/>
    </row>
    <row r="452" spans="1:24" ht="111" hidden="1" customHeight="1" x14ac:dyDescent="0.25">
      <c r="A452" s="118"/>
      <c r="B452" s="136"/>
      <c r="C452" s="136"/>
      <c r="D452" s="161"/>
      <c r="E452" s="161"/>
      <c r="F452" s="161"/>
      <c r="G452" s="161"/>
      <c r="H452" s="161"/>
      <c r="I452" s="161"/>
      <c r="J452" s="161"/>
      <c r="K452" s="161"/>
      <c r="L452" s="161"/>
      <c r="M452" s="161"/>
      <c r="N452" s="161"/>
      <c r="O452" s="161"/>
      <c r="P452" s="161"/>
      <c r="Q452" s="161"/>
      <c r="R452" s="161"/>
      <c r="S452" s="161"/>
      <c r="T452" s="154"/>
      <c r="U452" s="120"/>
      <c r="V452" s="120"/>
      <c r="W452" s="120"/>
      <c r="X452" s="118"/>
    </row>
    <row r="453" spans="1:24" ht="99.75" customHeight="1" x14ac:dyDescent="0.25">
      <c r="A453" s="124" t="s">
        <v>461</v>
      </c>
      <c r="B453" s="136" t="s">
        <v>138</v>
      </c>
      <c r="C453" s="136" t="s">
        <v>127</v>
      </c>
      <c r="D453" s="161" t="s">
        <v>635</v>
      </c>
      <c r="E453" s="136"/>
      <c r="F453" s="136"/>
      <c r="G453" s="136"/>
      <c r="H453" s="136"/>
      <c r="I453" s="136"/>
      <c r="J453" s="136"/>
      <c r="K453" s="136"/>
      <c r="L453" s="136"/>
      <c r="M453" s="136"/>
      <c r="N453" s="136"/>
      <c r="O453" s="136"/>
      <c r="P453" s="136"/>
      <c r="Q453" s="136"/>
      <c r="R453" s="136"/>
      <c r="S453" s="136" t="s">
        <v>38</v>
      </c>
      <c r="T453" s="154" t="s">
        <v>723</v>
      </c>
      <c r="U453" s="120">
        <f>П4ВСР!Z677</f>
        <v>6790423.1100000003</v>
      </c>
      <c r="V453" s="120">
        <f>П4ВСР!AA677</f>
        <v>5964113.7400000002</v>
      </c>
      <c r="W453" s="120">
        <f>П4ВСР!AB677</f>
        <v>5964113.7400000002</v>
      </c>
      <c r="X453" s="124" t="s">
        <v>461</v>
      </c>
    </row>
    <row r="454" spans="1:24" ht="45.75" customHeight="1" x14ac:dyDescent="0.25">
      <c r="A454" s="118" t="s">
        <v>462</v>
      </c>
      <c r="B454" s="136" t="s">
        <v>138</v>
      </c>
      <c r="C454" s="136" t="s">
        <v>127</v>
      </c>
      <c r="D454" s="161" t="s">
        <v>635</v>
      </c>
      <c r="E454" s="136"/>
      <c r="F454" s="136"/>
      <c r="G454" s="136"/>
      <c r="H454" s="136"/>
      <c r="I454" s="136"/>
      <c r="J454" s="136"/>
      <c r="K454" s="136"/>
      <c r="L454" s="136"/>
      <c r="M454" s="136"/>
      <c r="N454" s="136"/>
      <c r="O454" s="136"/>
      <c r="P454" s="136"/>
      <c r="Q454" s="136"/>
      <c r="R454" s="136"/>
      <c r="S454" s="136" t="s">
        <v>275</v>
      </c>
      <c r="T454" s="135" t="s">
        <v>565</v>
      </c>
      <c r="U454" s="120">
        <f>П4ВСР!Z678</f>
        <v>176012</v>
      </c>
      <c r="V454" s="120">
        <f>П4ВСР!AA678</f>
        <v>170200</v>
      </c>
      <c r="W454" s="120">
        <f>П4ВСР!AB678</f>
        <v>170200</v>
      </c>
      <c r="X454" s="118" t="s">
        <v>462</v>
      </c>
    </row>
    <row r="455" spans="1:24" ht="25.5" customHeight="1" x14ac:dyDescent="0.25">
      <c r="A455" s="118"/>
      <c r="B455" s="136" t="s">
        <v>138</v>
      </c>
      <c r="C455" s="136" t="s">
        <v>127</v>
      </c>
      <c r="D455" s="161" t="s">
        <v>635</v>
      </c>
      <c r="E455" s="136"/>
      <c r="F455" s="136"/>
      <c r="G455" s="136"/>
      <c r="H455" s="136"/>
      <c r="I455" s="136"/>
      <c r="J455" s="136"/>
      <c r="K455" s="136"/>
      <c r="L455" s="136"/>
      <c r="M455" s="136"/>
      <c r="N455" s="136"/>
      <c r="O455" s="136"/>
      <c r="P455" s="136"/>
      <c r="Q455" s="136"/>
      <c r="R455" s="136"/>
      <c r="S455" s="136" t="s">
        <v>243</v>
      </c>
      <c r="T455" s="135" t="s">
        <v>760</v>
      </c>
      <c r="U455" s="120">
        <f>П4ВСР!Z679</f>
        <v>8500</v>
      </c>
      <c r="V455" s="120">
        <f>П4ВСР!AA679</f>
        <v>0</v>
      </c>
      <c r="W455" s="120">
        <f>П4ВСР!AB679</f>
        <v>0</v>
      </c>
      <c r="X455" s="118"/>
    </row>
    <row r="456" spans="1:24" ht="176.25" hidden="1" customHeight="1" x14ac:dyDescent="0.25">
      <c r="A456" s="118"/>
      <c r="B456" s="136" t="s">
        <v>138</v>
      </c>
      <c r="C456" s="136" t="s">
        <v>127</v>
      </c>
      <c r="D456" s="161" t="s">
        <v>1104</v>
      </c>
      <c r="E456" s="136"/>
      <c r="F456" s="136"/>
      <c r="G456" s="136"/>
      <c r="H456" s="136"/>
      <c r="I456" s="136"/>
      <c r="J456" s="136"/>
      <c r="K456" s="136"/>
      <c r="L456" s="136"/>
      <c r="M456" s="136"/>
      <c r="N456" s="136"/>
      <c r="O456" s="136"/>
      <c r="P456" s="136"/>
      <c r="Q456" s="136"/>
      <c r="R456" s="136"/>
      <c r="S456" s="136"/>
      <c r="T456" s="155" t="s">
        <v>1333</v>
      </c>
      <c r="U456" s="120">
        <f>U457+U458+U459</f>
        <v>0</v>
      </c>
      <c r="V456" s="120">
        <f>V457+V458+V459</f>
        <v>0</v>
      </c>
      <c r="W456" s="120">
        <f>W457+W458+W459</f>
        <v>0</v>
      </c>
      <c r="X456" s="118"/>
    </row>
    <row r="457" spans="1:24" ht="103.5" hidden="1" customHeight="1" x14ac:dyDescent="0.25">
      <c r="A457" s="118"/>
      <c r="B457" s="136" t="s">
        <v>138</v>
      </c>
      <c r="C457" s="136" t="s">
        <v>127</v>
      </c>
      <c r="D457" s="161" t="s">
        <v>1104</v>
      </c>
      <c r="E457" s="136"/>
      <c r="F457" s="136"/>
      <c r="G457" s="136"/>
      <c r="H457" s="136"/>
      <c r="I457" s="136"/>
      <c r="J457" s="136"/>
      <c r="K457" s="136"/>
      <c r="L457" s="136"/>
      <c r="M457" s="136"/>
      <c r="N457" s="136"/>
      <c r="O457" s="136"/>
      <c r="P457" s="136"/>
      <c r="Q457" s="136"/>
      <c r="R457" s="136"/>
      <c r="S457" s="136" t="s">
        <v>38</v>
      </c>
      <c r="T457" s="135" t="s">
        <v>723</v>
      </c>
      <c r="U457" s="120">
        <f>П4ВСР!Z681</f>
        <v>0</v>
      </c>
      <c r="V457" s="120">
        <f>П4ВСР!AA681</f>
        <v>0</v>
      </c>
      <c r="W457" s="120">
        <f>П4ВСР!AB681</f>
        <v>0</v>
      </c>
      <c r="X457" s="118"/>
    </row>
    <row r="458" spans="1:24" ht="54.75" hidden="1" customHeight="1" x14ac:dyDescent="0.25">
      <c r="A458" s="118"/>
      <c r="B458" s="136" t="s">
        <v>138</v>
      </c>
      <c r="C458" s="136" t="s">
        <v>127</v>
      </c>
      <c r="D458" s="161" t="s">
        <v>1104</v>
      </c>
      <c r="E458" s="136"/>
      <c r="F458" s="136"/>
      <c r="G458" s="136"/>
      <c r="H458" s="136"/>
      <c r="I458" s="136"/>
      <c r="J458" s="136"/>
      <c r="K458" s="136"/>
      <c r="L458" s="136"/>
      <c r="M458" s="136"/>
      <c r="N458" s="136"/>
      <c r="O458" s="136"/>
      <c r="P458" s="136"/>
      <c r="Q458" s="136"/>
      <c r="R458" s="136"/>
      <c r="S458" s="136" t="s">
        <v>275</v>
      </c>
      <c r="T458" s="135" t="s">
        <v>565</v>
      </c>
      <c r="U458" s="120">
        <f>П4ВСР!Z682</f>
        <v>0</v>
      </c>
      <c r="V458" s="120">
        <f>П4ВСР!AA682</f>
        <v>0</v>
      </c>
      <c r="W458" s="120">
        <f>П4ВСР!AB682</f>
        <v>0</v>
      </c>
      <c r="X458" s="118"/>
    </row>
    <row r="459" spans="1:24" ht="22.5" hidden="1" customHeight="1" x14ac:dyDescent="0.25">
      <c r="A459" s="118"/>
      <c r="B459" s="136" t="s">
        <v>138</v>
      </c>
      <c r="C459" s="136" t="s">
        <v>127</v>
      </c>
      <c r="D459" s="161" t="s">
        <v>1104</v>
      </c>
      <c r="E459" s="136"/>
      <c r="F459" s="136"/>
      <c r="G459" s="136"/>
      <c r="H459" s="136"/>
      <c r="I459" s="136"/>
      <c r="J459" s="136"/>
      <c r="K459" s="136"/>
      <c r="L459" s="136"/>
      <c r="M459" s="136"/>
      <c r="N459" s="136"/>
      <c r="O459" s="136"/>
      <c r="P459" s="136"/>
      <c r="Q459" s="136"/>
      <c r="R459" s="136"/>
      <c r="S459" s="136" t="s">
        <v>243</v>
      </c>
      <c r="T459" s="135" t="s">
        <v>760</v>
      </c>
      <c r="U459" s="120">
        <f>П4ВСР!Z683</f>
        <v>0</v>
      </c>
      <c r="V459" s="120">
        <f>П4ВСР!AA683</f>
        <v>0</v>
      </c>
      <c r="W459" s="120">
        <f>П4ВСР!AB683</f>
        <v>0</v>
      </c>
      <c r="X459" s="118"/>
    </row>
    <row r="460" spans="1:24" ht="170.25" customHeight="1" x14ac:dyDescent="0.25">
      <c r="A460" s="118" t="s">
        <v>463</v>
      </c>
      <c r="B460" s="161" t="s">
        <v>138</v>
      </c>
      <c r="C460" s="161" t="s">
        <v>127</v>
      </c>
      <c r="D460" s="161" t="s">
        <v>636</v>
      </c>
      <c r="E460" s="161"/>
      <c r="F460" s="161"/>
      <c r="G460" s="161"/>
      <c r="H460" s="161"/>
      <c r="I460" s="161"/>
      <c r="J460" s="161"/>
      <c r="K460" s="161"/>
      <c r="L460" s="161"/>
      <c r="M460" s="161"/>
      <c r="N460" s="161"/>
      <c r="O460" s="161"/>
      <c r="P460" s="161"/>
      <c r="Q460" s="161"/>
      <c r="R460" s="161"/>
      <c r="S460" s="161"/>
      <c r="T460" s="153" t="s">
        <v>1264</v>
      </c>
      <c r="U460" s="120">
        <f>U461+U462+U463</f>
        <v>19826053.990000002</v>
      </c>
      <c r="V460" s="120">
        <f>V461+V462+V463</f>
        <v>15522336.060000001</v>
      </c>
      <c r="W460" s="120">
        <f>W461+W462+W463</f>
        <v>15522587.060000001</v>
      </c>
      <c r="X460" s="118" t="s">
        <v>463</v>
      </c>
    </row>
    <row r="461" spans="1:24" ht="100.5" customHeight="1" x14ac:dyDescent="0.25">
      <c r="A461" s="124" t="s">
        <v>464</v>
      </c>
      <c r="B461" s="136" t="s">
        <v>138</v>
      </c>
      <c r="C461" s="136" t="s">
        <v>127</v>
      </c>
      <c r="D461" s="161" t="s">
        <v>636</v>
      </c>
      <c r="E461" s="136"/>
      <c r="F461" s="136"/>
      <c r="G461" s="136"/>
      <c r="H461" s="136"/>
      <c r="I461" s="136"/>
      <c r="J461" s="136"/>
      <c r="K461" s="136"/>
      <c r="L461" s="136"/>
      <c r="M461" s="136"/>
      <c r="N461" s="136"/>
      <c r="O461" s="136"/>
      <c r="P461" s="136"/>
      <c r="Q461" s="136"/>
      <c r="R461" s="136"/>
      <c r="S461" s="136" t="s">
        <v>38</v>
      </c>
      <c r="T461" s="154" t="s">
        <v>723</v>
      </c>
      <c r="U461" s="120">
        <f>П4ВСР!Z685</f>
        <v>16908266.5</v>
      </c>
      <c r="V461" s="120">
        <f>П4ВСР!AA685</f>
        <v>12772043.65</v>
      </c>
      <c r="W461" s="120">
        <f>П4ВСР!AB685</f>
        <v>12772043.65</v>
      </c>
      <c r="X461" s="124" t="s">
        <v>464</v>
      </c>
    </row>
    <row r="462" spans="1:24" ht="50.25" customHeight="1" x14ac:dyDescent="0.25">
      <c r="A462" s="118" t="s">
        <v>465</v>
      </c>
      <c r="B462" s="136" t="s">
        <v>138</v>
      </c>
      <c r="C462" s="136" t="s">
        <v>127</v>
      </c>
      <c r="D462" s="161" t="s">
        <v>636</v>
      </c>
      <c r="E462" s="136"/>
      <c r="F462" s="136"/>
      <c r="G462" s="136"/>
      <c r="H462" s="136"/>
      <c r="I462" s="136"/>
      <c r="J462" s="136"/>
      <c r="K462" s="136"/>
      <c r="L462" s="136"/>
      <c r="M462" s="136"/>
      <c r="N462" s="136"/>
      <c r="O462" s="136"/>
      <c r="P462" s="136"/>
      <c r="Q462" s="136"/>
      <c r="R462" s="136"/>
      <c r="S462" s="136" t="s">
        <v>275</v>
      </c>
      <c r="T462" s="135" t="s">
        <v>565</v>
      </c>
      <c r="U462" s="120">
        <f>П4ВСР!Z686</f>
        <v>2915787.49</v>
      </c>
      <c r="V462" s="120">
        <f>П4ВСР!AA686</f>
        <v>2748292.41</v>
      </c>
      <c r="W462" s="120">
        <f>П4ВСР!AB686</f>
        <v>2748292.41</v>
      </c>
      <c r="X462" s="118" t="s">
        <v>465</v>
      </c>
    </row>
    <row r="463" spans="1:24" ht="33" customHeight="1" x14ac:dyDescent="0.25">
      <c r="A463" s="118" t="s">
        <v>466</v>
      </c>
      <c r="B463" s="136" t="s">
        <v>138</v>
      </c>
      <c r="C463" s="136" t="s">
        <v>127</v>
      </c>
      <c r="D463" s="161" t="s">
        <v>636</v>
      </c>
      <c r="E463" s="136"/>
      <c r="F463" s="136"/>
      <c r="G463" s="136"/>
      <c r="H463" s="136"/>
      <c r="I463" s="136"/>
      <c r="J463" s="136"/>
      <c r="K463" s="136"/>
      <c r="L463" s="136"/>
      <c r="M463" s="136"/>
      <c r="N463" s="136"/>
      <c r="O463" s="136"/>
      <c r="P463" s="136"/>
      <c r="Q463" s="136"/>
      <c r="R463" s="136"/>
      <c r="S463" s="136" t="s">
        <v>243</v>
      </c>
      <c r="T463" s="135" t="s">
        <v>760</v>
      </c>
      <c r="U463" s="120">
        <f>П4ВСР!Z687</f>
        <v>2000</v>
      </c>
      <c r="V463" s="120">
        <f>П4ВСР!AA687</f>
        <v>2000</v>
      </c>
      <c r="W463" s="120">
        <f>П4ВСР!AB687</f>
        <v>2251</v>
      </c>
      <c r="X463" s="118" t="s">
        <v>466</v>
      </c>
    </row>
    <row r="464" spans="1:24" ht="166.5" customHeight="1" x14ac:dyDescent="0.25">
      <c r="A464" s="118"/>
      <c r="B464" s="136" t="s">
        <v>138</v>
      </c>
      <c r="C464" s="136" t="s">
        <v>127</v>
      </c>
      <c r="D464" s="161" t="s">
        <v>1094</v>
      </c>
      <c r="E464" s="136"/>
      <c r="F464" s="136"/>
      <c r="G464" s="136"/>
      <c r="H464" s="136"/>
      <c r="I464" s="136"/>
      <c r="J464" s="136"/>
      <c r="K464" s="136"/>
      <c r="L464" s="136"/>
      <c r="M464" s="136"/>
      <c r="N464" s="136"/>
      <c r="O464" s="136"/>
      <c r="P464" s="136"/>
      <c r="Q464" s="136"/>
      <c r="R464" s="136"/>
      <c r="S464" s="136"/>
      <c r="T464" s="155" t="s">
        <v>1334</v>
      </c>
      <c r="U464" s="120">
        <f>U465</f>
        <v>3756786.16</v>
      </c>
      <c r="V464" s="120">
        <f>V465</f>
        <v>3946786.16</v>
      </c>
      <c r="W464" s="120">
        <f>W465</f>
        <v>2737318.67</v>
      </c>
      <c r="X464" s="118"/>
    </row>
    <row r="465" spans="1:27" ht="72" customHeight="1" x14ac:dyDescent="0.25">
      <c r="A465" s="118"/>
      <c r="B465" s="136" t="s">
        <v>138</v>
      </c>
      <c r="C465" s="136" t="s">
        <v>127</v>
      </c>
      <c r="D465" s="161" t="s">
        <v>1094</v>
      </c>
      <c r="E465" s="136"/>
      <c r="F465" s="136"/>
      <c r="G465" s="136"/>
      <c r="H465" s="136"/>
      <c r="I465" s="136"/>
      <c r="J465" s="136"/>
      <c r="K465" s="136"/>
      <c r="L465" s="136"/>
      <c r="M465" s="136"/>
      <c r="N465" s="136"/>
      <c r="O465" s="136"/>
      <c r="P465" s="136"/>
      <c r="Q465" s="136"/>
      <c r="R465" s="136"/>
      <c r="S465" s="136" t="s">
        <v>294</v>
      </c>
      <c r="T465" s="135" t="s">
        <v>1097</v>
      </c>
      <c r="U465" s="120">
        <f>П4ВСР!Z688</f>
        <v>3756786.16</v>
      </c>
      <c r="V465" s="120">
        <f>П4ВСР!AA688</f>
        <v>3946786.16</v>
      </c>
      <c r="W465" s="120">
        <f>П4ВСР!AB688</f>
        <v>2737318.67</v>
      </c>
      <c r="X465" s="118"/>
    </row>
    <row r="466" spans="1:27" ht="48" hidden="1" customHeight="1" x14ac:dyDescent="0.25">
      <c r="A466" s="118" t="s">
        <v>467</v>
      </c>
      <c r="B466" s="161" t="s">
        <v>138</v>
      </c>
      <c r="C466" s="161" t="s">
        <v>127</v>
      </c>
      <c r="D466" s="161" t="s">
        <v>638</v>
      </c>
      <c r="E466" s="161"/>
      <c r="F466" s="161"/>
      <c r="G466" s="161"/>
      <c r="H466" s="161"/>
      <c r="I466" s="161"/>
      <c r="J466" s="161"/>
      <c r="K466" s="161"/>
      <c r="L466" s="161"/>
      <c r="M466" s="161"/>
      <c r="N466" s="161"/>
      <c r="O466" s="161"/>
      <c r="P466" s="161"/>
      <c r="Q466" s="161"/>
      <c r="R466" s="161"/>
      <c r="S466" s="161"/>
      <c r="T466" s="153" t="s">
        <v>637</v>
      </c>
      <c r="U466" s="120">
        <f>U467</f>
        <v>150000</v>
      </c>
      <c r="V466" s="120">
        <f>V467</f>
        <v>0</v>
      </c>
      <c r="W466" s="120">
        <f>W467</f>
        <v>0</v>
      </c>
      <c r="X466" s="118" t="s">
        <v>467</v>
      </c>
    </row>
    <row r="467" spans="1:27" ht="66" hidden="1" customHeight="1" x14ac:dyDescent="0.25">
      <c r="A467" s="118" t="s">
        <v>468</v>
      </c>
      <c r="B467" s="136" t="s">
        <v>138</v>
      </c>
      <c r="C467" s="136" t="s">
        <v>127</v>
      </c>
      <c r="D467" s="161" t="s">
        <v>638</v>
      </c>
      <c r="E467" s="136"/>
      <c r="F467" s="136"/>
      <c r="G467" s="136"/>
      <c r="H467" s="136"/>
      <c r="I467" s="136"/>
      <c r="J467" s="136"/>
      <c r="K467" s="136"/>
      <c r="L467" s="136"/>
      <c r="M467" s="136"/>
      <c r="N467" s="136"/>
      <c r="O467" s="136"/>
      <c r="P467" s="136"/>
      <c r="Q467" s="136"/>
      <c r="R467" s="136"/>
      <c r="S467" s="136" t="s">
        <v>294</v>
      </c>
      <c r="T467" s="135" t="s">
        <v>468</v>
      </c>
      <c r="U467" s="120">
        <f>П4ВСР!Z691</f>
        <v>150000</v>
      </c>
      <c r="V467" s="120">
        <f>П4ВСР!AA691</f>
        <v>0</v>
      </c>
      <c r="W467" s="120">
        <f>П4ВСР!AB691</f>
        <v>0</v>
      </c>
      <c r="X467" s="118" t="s">
        <v>468</v>
      </c>
    </row>
    <row r="468" spans="1:27" ht="81" customHeight="1" x14ac:dyDescent="0.25">
      <c r="A468" s="118"/>
      <c r="B468" s="136" t="s">
        <v>138</v>
      </c>
      <c r="C468" s="136" t="s">
        <v>127</v>
      </c>
      <c r="D468" s="161" t="s">
        <v>1407</v>
      </c>
      <c r="E468" s="136"/>
      <c r="F468" s="136"/>
      <c r="G468" s="136"/>
      <c r="H468" s="136"/>
      <c r="I468" s="136"/>
      <c r="J468" s="136"/>
      <c r="K468" s="136"/>
      <c r="L468" s="136"/>
      <c r="M468" s="136"/>
      <c r="N468" s="136"/>
      <c r="O468" s="136"/>
      <c r="P468" s="136"/>
      <c r="Q468" s="136"/>
      <c r="R468" s="136"/>
      <c r="S468" s="136"/>
      <c r="T468" s="153" t="s">
        <v>1406</v>
      </c>
      <c r="U468" s="120">
        <f>U469</f>
        <v>136895.19</v>
      </c>
      <c r="V468" s="120">
        <v>0</v>
      </c>
      <c r="W468" s="120">
        <v>0</v>
      </c>
      <c r="X468" s="118"/>
    </row>
    <row r="469" spans="1:27" ht="44.25" customHeight="1" x14ac:dyDescent="0.25">
      <c r="A469" s="118"/>
      <c r="B469" s="136" t="s">
        <v>138</v>
      </c>
      <c r="C469" s="136" t="s">
        <v>127</v>
      </c>
      <c r="D469" s="161" t="s">
        <v>1407</v>
      </c>
      <c r="E469" s="136"/>
      <c r="F469" s="136"/>
      <c r="G469" s="136"/>
      <c r="H469" s="136"/>
      <c r="I469" s="136"/>
      <c r="J469" s="136"/>
      <c r="K469" s="136"/>
      <c r="L469" s="136"/>
      <c r="M469" s="136"/>
      <c r="N469" s="136"/>
      <c r="O469" s="136"/>
      <c r="P469" s="136"/>
      <c r="Q469" s="136"/>
      <c r="R469" s="136"/>
      <c r="S469" s="136" t="s">
        <v>275</v>
      </c>
      <c r="T469" s="154" t="s">
        <v>565</v>
      </c>
      <c r="U469" s="120">
        <f>П4ВСР!Z293</f>
        <v>136895.19</v>
      </c>
      <c r="V469" s="120">
        <v>0</v>
      </c>
      <c r="W469" s="120">
        <v>0</v>
      </c>
      <c r="X469" s="118"/>
    </row>
    <row r="470" spans="1:27" ht="18.600000000000001" customHeight="1" x14ac:dyDescent="0.25">
      <c r="A470" s="116" t="s">
        <v>379</v>
      </c>
      <c r="B470" s="126" t="s">
        <v>126</v>
      </c>
      <c r="C470" s="126" t="s">
        <v>133</v>
      </c>
      <c r="D470" s="126"/>
      <c r="E470" s="126"/>
      <c r="F470" s="126"/>
      <c r="G470" s="126"/>
      <c r="H470" s="126"/>
      <c r="I470" s="126"/>
      <c r="J470" s="126"/>
      <c r="K470" s="126"/>
      <c r="L470" s="126"/>
      <c r="M470" s="126"/>
      <c r="N470" s="126"/>
      <c r="O470" s="126"/>
      <c r="P470" s="126"/>
      <c r="Q470" s="126"/>
      <c r="R470" s="126"/>
      <c r="S470" s="126"/>
      <c r="T470" s="116" t="s">
        <v>379</v>
      </c>
      <c r="U470" s="117">
        <f>U471</f>
        <v>30757013.040000003</v>
      </c>
      <c r="V470" s="117">
        <f>V471</f>
        <v>21165368.469999999</v>
      </c>
      <c r="W470" s="117">
        <f>W471</f>
        <v>21375468.469999999</v>
      </c>
      <c r="X470" s="116" t="s">
        <v>379</v>
      </c>
    </row>
    <row r="471" spans="1:27" ht="18.600000000000001" customHeight="1" x14ac:dyDescent="0.25">
      <c r="A471" s="118" t="s">
        <v>159</v>
      </c>
      <c r="B471" s="119" t="s">
        <v>126</v>
      </c>
      <c r="C471" s="119" t="s">
        <v>122</v>
      </c>
      <c r="D471" s="119"/>
      <c r="E471" s="119"/>
      <c r="F471" s="119"/>
      <c r="G471" s="119"/>
      <c r="H471" s="119"/>
      <c r="I471" s="119"/>
      <c r="J471" s="119"/>
      <c r="K471" s="119"/>
      <c r="L471" s="119"/>
      <c r="M471" s="119"/>
      <c r="N471" s="119"/>
      <c r="O471" s="119"/>
      <c r="P471" s="119"/>
      <c r="Q471" s="119"/>
      <c r="R471" s="119"/>
      <c r="S471" s="119"/>
      <c r="T471" s="118" t="s">
        <v>159</v>
      </c>
      <c r="U471" s="120">
        <f>U474+U478+U482+U484+U490+U494+U498+U502+U496+U500+U488+U486+U472+U476+U480+U492</f>
        <v>30757013.040000003</v>
      </c>
      <c r="V471" s="120">
        <f>V474+V478+V482+V484+V490+V494+V498+V502+V496+V486+V492</f>
        <v>21165368.469999999</v>
      </c>
      <c r="W471" s="120">
        <f>W474+W478+W482+W484+W490+W494+W498+W502+W496+W486+W492</f>
        <v>21375468.469999999</v>
      </c>
      <c r="X471" s="118" t="s">
        <v>159</v>
      </c>
    </row>
    <row r="472" spans="1:27" ht="115.5" customHeight="1" x14ac:dyDescent="0.25">
      <c r="A472" s="118"/>
      <c r="B472" s="119" t="s">
        <v>126</v>
      </c>
      <c r="C472" s="119" t="s">
        <v>122</v>
      </c>
      <c r="D472" s="161" t="s">
        <v>1336</v>
      </c>
      <c r="E472" s="119"/>
      <c r="F472" s="119"/>
      <c r="G472" s="119"/>
      <c r="H472" s="119"/>
      <c r="I472" s="119"/>
      <c r="J472" s="119"/>
      <c r="K472" s="119"/>
      <c r="L472" s="119"/>
      <c r="M472" s="119"/>
      <c r="N472" s="119"/>
      <c r="O472" s="119"/>
      <c r="P472" s="119"/>
      <c r="Q472" s="119"/>
      <c r="R472" s="119"/>
      <c r="S472" s="119"/>
      <c r="T472" s="153" t="s">
        <v>1337</v>
      </c>
      <c r="U472" s="120">
        <f>U473</f>
        <v>192657</v>
      </c>
      <c r="V472" s="120">
        <v>0</v>
      </c>
      <c r="W472" s="120">
        <v>0</v>
      </c>
      <c r="X472" s="118"/>
      <c r="AA472" s="127"/>
    </row>
    <row r="473" spans="1:27" ht="65.25" customHeight="1" x14ac:dyDescent="0.25">
      <c r="A473" s="118"/>
      <c r="B473" s="119" t="s">
        <v>126</v>
      </c>
      <c r="C473" s="119" t="s">
        <v>122</v>
      </c>
      <c r="D473" s="161" t="s">
        <v>1336</v>
      </c>
      <c r="E473" s="119"/>
      <c r="F473" s="119"/>
      <c r="G473" s="119"/>
      <c r="H473" s="119"/>
      <c r="I473" s="119"/>
      <c r="J473" s="119"/>
      <c r="K473" s="119"/>
      <c r="L473" s="119"/>
      <c r="M473" s="119"/>
      <c r="N473" s="119"/>
      <c r="O473" s="119"/>
      <c r="P473" s="119"/>
      <c r="Q473" s="119"/>
      <c r="R473" s="119"/>
      <c r="S473" s="119" t="s">
        <v>294</v>
      </c>
      <c r="T473" s="135" t="s">
        <v>708</v>
      </c>
      <c r="U473" s="120">
        <f>П4ВСР!Z751</f>
        <v>192657</v>
      </c>
      <c r="V473" s="120">
        <v>0</v>
      </c>
      <c r="W473" s="120">
        <v>0</v>
      </c>
      <c r="X473" s="118"/>
      <c r="AA473" s="127"/>
    </row>
    <row r="474" spans="1:27" ht="142.5" customHeight="1" x14ac:dyDescent="0.25">
      <c r="A474" s="118" t="s">
        <v>489</v>
      </c>
      <c r="B474" s="161" t="s">
        <v>126</v>
      </c>
      <c r="C474" s="161" t="s">
        <v>122</v>
      </c>
      <c r="D474" s="161" t="s">
        <v>1098</v>
      </c>
      <c r="E474" s="161"/>
      <c r="F474" s="161"/>
      <c r="G474" s="161"/>
      <c r="H474" s="161"/>
      <c r="I474" s="161"/>
      <c r="J474" s="161"/>
      <c r="K474" s="161"/>
      <c r="L474" s="161"/>
      <c r="M474" s="161"/>
      <c r="N474" s="161"/>
      <c r="O474" s="161"/>
      <c r="P474" s="161"/>
      <c r="Q474" s="161"/>
      <c r="R474" s="161"/>
      <c r="S474" s="161"/>
      <c r="T474" s="155" t="s">
        <v>1315</v>
      </c>
      <c r="U474" s="120">
        <f>U475</f>
        <v>8534222.4399999995</v>
      </c>
      <c r="V474" s="120">
        <f>V475</f>
        <v>6836053.7699999996</v>
      </c>
      <c r="W474" s="120">
        <f>W475</f>
        <v>6836053.7699999996</v>
      </c>
      <c r="X474" s="118" t="s">
        <v>489</v>
      </c>
    </row>
    <row r="475" spans="1:27" ht="63" customHeight="1" x14ac:dyDescent="0.25">
      <c r="A475" s="118" t="s">
        <v>490</v>
      </c>
      <c r="B475" s="136" t="s">
        <v>126</v>
      </c>
      <c r="C475" s="136" t="s">
        <v>122</v>
      </c>
      <c r="D475" s="161" t="s">
        <v>1098</v>
      </c>
      <c r="E475" s="136"/>
      <c r="F475" s="136"/>
      <c r="G475" s="136"/>
      <c r="H475" s="136"/>
      <c r="I475" s="136"/>
      <c r="J475" s="136"/>
      <c r="K475" s="136"/>
      <c r="L475" s="136"/>
      <c r="M475" s="136"/>
      <c r="N475" s="136"/>
      <c r="O475" s="136"/>
      <c r="P475" s="136"/>
      <c r="Q475" s="136"/>
      <c r="R475" s="136"/>
      <c r="S475" s="136" t="s">
        <v>294</v>
      </c>
      <c r="T475" s="135" t="s">
        <v>708</v>
      </c>
      <c r="U475" s="120">
        <f>П4ВСР!Z754</f>
        <v>8534222.4399999995</v>
      </c>
      <c r="V475" s="120">
        <f>П4ВСР!AA754</f>
        <v>6836053.7699999996</v>
      </c>
      <c r="W475" s="120">
        <f>П4ВСР!AB754</f>
        <v>6836053.7699999996</v>
      </c>
      <c r="X475" s="118" t="s">
        <v>490</v>
      </c>
    </row>
    <row r="476" spans="1:27" ht="102" customHeight="1" x14ac:dyDescent="0.25">
      <c r="A476" s="118"/>
      <c r="B476" s="136" t="s">
        <v>126</v>
      </c>
      <c r="C476" s="136" t="s">
        <v>122</v>
      </c>
      <c r="D476" s="161" t="s">
        <v>1338</v>
      </c>
      <c r="E476" s="136"/>
      <c r="F476" s="136"/>
      <c r="G476" s="136"/>
      <c r="H476" s="136"/>
      <c r="I476" s="136"/>
      <c r="J476" s="136"/>
      <c r="K476" s="136"/>
      <c r="L476" s="136"/>
      <c r="M476" s="136"/>
      <c r="N476" s="136"/>
      <c r="O476" s="136"/>
      <c r="P476" s="136"/>
      <c r="Q476" s="136"/>
      <c r="R476" s="136"/>
      <c r="S476" s="136"/>
      <c r="T476" s="153" t="s">
        <v>1339</v>
      </c>
      <c r="U476" s="120">
        <f>U477</f>
        <v>86388</v>
      </c>
      <c r="V476" s="120">
        <v>0</v>
      </c>
      <c r="W476" s="120"/>
      <c r="X476" s="118"/>
    </row>
    <row r="477" spans="1:27" ht="63" customHeight="1" x14ac:dyDescent="0.25">
      <c r="A477" s="118"/>
      <c r="B477" s="136" t="s">
        <v>126</v>
      </c>
      <c r="C477" s="136" t="s">
        <v>122</v>
      </c>
      <c r="D477" s="161" t="s">
        <v>1338</v>
      </c>
      <c r="E477" s="136"/>
      <c r="F477" s="136"/>
      <c r="G477" s="136"/>
      <c r="H477" s="136"/>
      <c r="I477" s="136"/>
      <c r="J477" s="136"/>
      <c r="K477" s="136"/>
      <c r="L477" s="136"/>
      <c r="M477" s="136"/>
      <c r="N477" s="136"/>
      <c r="O477" s="136"/>
      <c r="P477" s="136"/>
      <c r="Q477" s="136"/>
      <c r="R477" s="136"/>
      <c r="S477" s="136" t="s">
        <v>294</v>
      </c>
      <c r="T477" s="135" t="s">
        <v>708</v>
      </c>
      <c r="U477" s="120">
        <f>П4ВСР!Z755</f>
        <v>86388</v>
      </c>
      <c r="V477" s="120">
        <v>0</v>
      </c>
      <c r="W477" s="120">
        <v>0</v>
      </c>
      <c r="X477" s="118"/>
    </row>
    <row r="478" spans="1:27" ht="132" customHeight="1" x14ac:dyDescent="0.25">
      <c r="A478" s="118" t="s">
        <v>491</v>
      </c>
      <c r="B478" s="161" t="s">
        <v>126</v>
      </c>
      <c r="C478" s="161" t="s">
        <v>122</v>
      </c>
      <c r="D478" s="161" t="s">
        <v>1099</v>
      </c>
      <c r="E478" s="161"/>
      <c r="F478" s="161"/>
      <c r="G478" s="161"/>
      <c r="H478" s="161"/>
      <c r="I478" s="161"/>
      <c r="J478" s="161"/>
      <c r="K478" s="161"/>
      <c r="L478" s="161"/>
      <c r="M478" s="161"/>
      <c r="N478" s="161"/>
      <c r="O478" s="161"/>
      <c r="P478" s="161"/>
      <c r="Q478" s="161"/>
      <c r="R478" s="161"/>
      <c r="S478" s="161"/>
      <c r="T478" s="155" t="s">
        <v>1316</v>
      </c>
      <c r="U478" s="120">
        <f>U479</f>
        <v>4469259.1800000006</v>
      </c>
      <c r="V478" s="120">
        <f>V479</f>
        <v>5068123.9000000004</v>
      </c>
      <c r="W478" s="120">
        <f>W479</f>
        <v>5068123.9000000004</v>
      </c>
      <c r="X478" s="118" t="s">
        <v>491</v>
      </c>
    </row>
    <row r="479" spans="1:27" ht="81" customHeight="1" x14ac:dyDescent="0.25">
      <c r="A479" s="118" t="s">
        <v>492</v>
      </c>
      <c r="B479" s="136" t="s">
        <v>126</v>
      </c>
      <c r="C479" s="136" t="s">
        <v>122</v>
      </c>
      <c r="D479" s="161" t="s">
        <v>1099</v>
      </c>
      <c r="E479" s="136"/>
      <c r="F479" s="136"/>
      <c r="G479" s="136"/>
      <c r="H479" s="136"/>
      <c r="I479" s="136"/>
      <c r="J479" s="136"/>
      <c r="K479" s="136"/>
      <c r="L479" s="136"/>
      <c r="M479" s="136"/>
      <c r="N479" s="136"/>
      <c r="O479" s="136"/>
      <c r="P479" s="136"/>
      <c r="Q479" s="136"/>
      <c r="R479" s="136"/>
      <c r="S479" s="136" t="s">
        <v>294</v>
      </c>
      <c r="T479" s="135" t="s">
        <v>708</v>
      </c>
      <c r="U479" s="120">
        <f>П4ВСР!Z758</f>
        <v>4469259.1800000006</v>
      </c>
      <c r="V479" s="120">
        <f>П4ВСР!AA758</f>
        <v>5068123.9000000004</v>
      </c>
      <c r="W479" s="120">
        <f>П4ВСР!AB758</f>
        <v>5068123.9000000004</v>
      </c>
      <c r="X479" s="118" t="s">
        <v>492</v>
      </c>
    </row>
    <row r="480" spans="1:27" ht="111.75" customHeight="1" x14ac:dyDescent="0.25">
      <c r="A480" s="118"/>
      <c r="B480" s="136" t="s">
        <v>126</v>
      </c>
      <c r="C480" s="136" t="s">
        <v>122</v>
      </c>
      <c r="D480" s="161" t="s">
        <v>1340</v>
      </c>
      <c r="E480" s="136"/>
      <c r="F480" s="136"/>
      <c r="G480" s="136"/>
      <c r="H480" s="136"/>
      <c r="I480" s="136"/>
      <c r="J480" s="136"/>
      <c r="K480" s="136"/>
      <c r="L480" s="136"/>
      <c r="M480" s="136"/>
      <c r="N480" s="136"/>
      <c r="O480" s="136"/>
      <c r="P480" s="136"/>
      <c r="Q480" s="136"/>
      <c r="R480" s="136"/>
      <c r="S480" s="136"/>
      <c r="T480" s="153" t="s">
        <v>1341</v>
      </c>
      <c r="U480" s="120">
        <f>U481</f>
        <v>85646.57</v>
      </c>
      <c r="V480" s="120">
        <v>0</v>
      </c>
      <c r="W480" s="120">
        <v>0</v>
      </c>
      <c r="X480" s="118"/>
    </row>
    <row r="481" spans="1:24" ht="61.5" customHeight="1" x14ac:dyDescent="0.25">
      <c r="A481" s="118"/>
      <c r="B481" s="136" t="s">
        <v>126</v>
      </c>
      <c r="C481" s="136" t="s">
        <v>122</v>
      </c>
      <c r="D481" s="161" t="s">
        <v>1340</v>
      </c>
      <c r="E481" s="136"/>
      <c r="F481" s="136"/>
      <c r="G481" s="136"/>
      <c r="H481" s="136"/>
      <c r="I481" s="136"/>
      <c r="J481" s="136"/>
      <c r="K481" s="136"/>
      <c r="L481" s="136"/>
      <c r="M481" s="136"/>
      <c r="N481" s="136"/>
      <c r="O481" s="136"/>
      <c r="P481" s="136"/>
      <c r="Q481" s="136"/>
      <c r="R481" s="136"/>
      <c r="S481" s="136" t="s">
        <v>294</v>
      </c>
      <c r="T481" s="135" t="s">
        <v>708</v>
      </c>
      <c r="U481" s="120">
        <f>П4ВСР!Z759</f>
        <v>85646.57</v>
      </c>
      <c r="V481" s="120">
        <v>0</v>
      </c>
      <c r="W481" s="120">
        <v>0</v>
      </c>
      <c r="X481" s="118"/>
    </row>
    <row r="482" spans="1:24" ht="137.25" customHeight="1" x14ac:dyDescent="0.25">
      <c r="A482" s="118" t="s">
        <v>493</v>
      </c>
      <c r="B482" s="161" t="s">
        <v>126</v>
      </c>
      <c r="C482" s="161" t="s">
        <v>122</v>
      </c>
      <c r="D482" s="161" t="s">
        <v>1100</v>
      </c>
      <c r="E482" s="161"/>
      <c r="F482" s="161"/>
      <c r="G482" s="161"/>
      <c r="H482" s="161"/>
      <c r="I482" s="161"/>
      <c r="J482" s="161"/>
      <c r="K482" s="161"/>
      <c r="L482" s="161"/>
      <c r="M482" s="161"/>
      <c r="N482" s="161"/>
      <c r="O482" s="161"/>
      <c r="P482" s="161"/>
      <c r="Q482" s="161"/>
      <c r="R482" s="161"/>
      <c r="S482" s="161"/>
      <c r="T482" s="155" t="s">
        <v>1317</v>
      </c>
      <c r="U482" s="120">
        <f>U483</f>
        <v>5275989.3899999997</v>
      </c>
      <c r="V482" s="120">
        <f>V483</f>
        <v>8079890.7999999998</v>
      </c>
      <c r="W482" s="120">
        <f>W483</f>
        <v>8079890.7999999998</v>
      </c>
      <c r="X482" s="118" t="s">
        <v>493</v>
      </c>
    </row>
    <row r="483" spans="1:24" ht="64.5" customHeight="1" x14ac:dyDescent="0.25">
      <c r="A483" s="118" t="s">
        <v>494</v>
      </c>
      <c r="B483" s="136" t="s">
        <v>126</v>
      </c>
      <c r="C483" s="165" t="s">
        <v>122</v>
      </c>
      <c r="D483" s="161" t="s">
        <v>1100</v>
      </c>
      <c r="E483" s="136"/>
      <c r="F483" s="136"/>
      <c r="G483" s="136"/>
      <c r="H483" s="136"/>
      <c r="I483" s="136"/>
      <c r="J483" s="136"/>
      <c r="K483" s="136"/>
      <c r="L483" s="136"/>
      <c r="M483" s="136"/>
      <c r="N483" s="136"/>
      <c r="O483" s="136"/>
      <c r="P483" s="136"/>
      <c r="Q483" s="136"/>
      <c r="R483" s="136"/>
      <c r="S483" s="136" t="s">
        <v>294</v>
      </c>
      <c r="T483" s="135" t="s">
        <v>708</v>
      </c>
      <c r="U483" s="120">
        <f>П4ВСР!Z762</f>
        <v>5275989.3899999997</v>
      </c>
      <c r="V483" s="120">
        <f>П4ВСР!AA762</f>
        <v>8079890.7999999998</v>
      </c>
      <c r="W483" s="120">
        <f>П4ВСР!AB762</f>
        <v>8079890.7999999998</v>
      </c>
      <c r="X483" s="118" t="s">
        <v>494</v>
      </c>
    </row>
    <row r="484" spans="1:24" ht="121.5" hidden="1" customHeight="1" x14ac:dyDescent="0.25">
      <c r="A484" s="118"/>
      <c r="B484" s="134" t="s">
        <v>126</v>
      </c>
      <c r="C484" s="134" t="s">
        <v>122</v>
      </c>
      <c r="D484" s="134" t="s">
        <v>583</v>
      </c>
      <c r="E484" s="134"/>
      <c r="F484" s="134"/>
      <c r="G484" s="134"/>
      <c r="H484" s="134"/>
      <c r="I484" s="134"/>
      <c r="J484" s="134"/>
      <c r="K484" s="134"/>
      <c r="L484" s="134"/>
      <c r="M484" s="134"/>
      <c r="N484" s="134"/>
      <c r="O484" s="134"/>
      <c r="P484" s="134"/>
      <c r="Q484" s="134"/>
      <c r="R484" s="134"/>
      <c r="S484" s="134"/>
      <c r="T484" s="153" t="s">
        <v>582</v>
      </c>
      <c r="U484" s="120">
        <f>U485</f>
        <v>0</v>
      </c>
      <c r="V484" s="120">
        <f>V485</f>
        <v>0</v>
      </c>
      <c r="W484" s="120">
        <f>W485</f>
        <v>0</v>
      </c>
      <c r="X484" s="118"/>
    </row>
    <row r="485" spans="1:24" ht="85.5" hidden="1" customHeight="1" x14ac:dyDescent="0.25">
      <c r="A485" s="118"/>
      <c r="B485" s="140" t="s">
        <v>126</v>
      </c>
      <c r="C485" s="140" t="s">
        <v>122</v>
      </c>
      <c r="D485" s="134" t="s">
        <v>583</v>
      </c>
      <c r="E485" s="140"/>
      <c r="F485" s="140"/>
      <c r="G485" s="140"/>
      <c r="H485" s="140"/>
      <c r="I485" s="140"/>
      <c r="J485" s="140"/>
      <c r="K485" s="140"/>
      <c r="L485" s="140"/>
      <c r="M485" s="140"/>
      <c r="N485" s="140"/>
      <c r="O485" s="140"/>
      <c r="P485" s="140"/>
      <c r="Q485" s="140"/>
      <c r="R485" s="140"/>
      <c r="S485" s="140" t="s">
        <v>275</v>
      </c>
      <c r="T485" s="162" t="s">
        <v>381</v>
      </c>
      <c r="U485" s="219">
        <f>П4ВСР!Z299</f>
        <v>0</v>
      </c>
      <c r="V485" s="120">
        <f>П4ВСР!AA299</f>
        <v>0</v>
      </c>
      <c r="W485" s="120">
        <f>П4ВСР!AB299</f>
        <v>0</v>
      </c>
      <c r="X485" s="118"/>
    </row>
    <row r="486" spans="1:24" ht="85.5" hidden="1" customHeight="1" x14ac:dyDescent="0.25">
      <c r="A486" s="118"/>
      <c r="B486" s="140" t="s">
        <v>126</v>
      </c>
      <c r="C486" s="140" t="s">
        <v>122</v>
      </c>
      <c r="D486" s="161" t="s">
        <v>1094</v>
      </c>
      <c r="E486" s="140"/>
      <c r="F486" s="140"/>
      <c r="G486" s="140"/>
      <c r="H486" s="140"/>
      <c r="I486" s="140"/>
      <c r="J486" s="140"/>
      <c r="K486" s="140"/>
      <c r="L486" s="140"/>
      <c r="M486" s="140"/>
      <c r="N486" s="140"/>
      <c r="O486" s="140"/>
      <c r="P486" s="140"/>
      <c r="Q486" s="140"/>
      <c r="R486" s="140"/>
      <c r="S486" s="582"/>
      <c r="T486" s="583"/>
      <c r="U486" s="485">
        <f>U487</f>
        <v>0</v>
      </c>
      <c r="V486" s="120">
        <f>V487</f>
        <v>0</v>
      </c>
      <c r="W486" s="120">
        <f>W487</f>
        <v>0</v>
      </c>
      <c r="X486" s="118"/>
    </row>
    <row r="487" spans="1:24" ht="85.5" hidden="1" customHeight="1" x14ac:dyDescent="0.25">
      <c r="A487" s="118"/>
      <c r="B487" s="140" t="s">
        <v>126</v>
      </c>
      <c r="C487" s="140" t="s">
        <v>122</v>
      </c>
      <c r="D487" s="161" t="s">
        <v>1094</v>
      </c>
      <c r="E487" s="140"/>
      <c r="F487" s="140"/>
      <c r="G487" s="140"/>
      <c r="H487" s="140"/>
      <c r="I487" s="140"/>
      <c r="J487" s="140"/>
      <c r="K487" s="140"/>
      <c r="L487" s="140"/>
      <c r="M487" s="140"/>
      <c r="N487" s="140"/>
      <c r="O487" s="140"/>
      <c r="P487" s="140"/>
      <c r="Q487" s="140"/>
      <c r="R487" s="140"/>
      <c r="S487" s="582" t="s">
        <v>294</v>
      </c>
      <c r="T487" s="583"/>
      <c r="U487" s="485">
        <f>П4ВСР!Z763</f>
        <v>0</v>
      </c>
      <c r="V487" s="120">
        <f>П4ВСР!AA763</f>
        <v>0</v>
      </c>
      <c r="W487" s="120">
        <f>П4ВСР!AB763</f>
        <v>0</v>
      </c>
      <c r="X487" s="118"/>
    </row>
    <row r="488" spans="1:24" ht="139.5" hidden="1" customHeight="1" x14ac:dyDescent="0.25">
      <c r="A488" s="118"/>
      <c r="B488" s="140" t="s">
        <v>126</v>
      </c>
      <c r="C488" s="140" t="s">
        <v>122</v>
      </c>
      <c r="D488" s="230" t="s">
        <v>1026</v>
      </c>
      <c r="E488" s="140"/>
      <c r="F488" s="140"/>
      <c r="G488" s="140"/>
      <c r="H488" s="140"/>
      <c r="I488" s="140"/>
      <c r="J488" s="140"/>
      <c r="K488" s="140"/>
      <c r="L488" s="140"/>
      <c r="M488" s="140"/>
      <c r="N488" s="140"/>
      <c r="O488" s="140"/>
      <c r="P488" s="140"/>
      <c r="Q488" s="140"/>
      <c r="R488" s="140"/>
      <c r="S488" s="140"/>
      <c r="T488" s="486" t="s">
        <v>1265</v>
      </c>
      <c r="U488" s="219">
        <f>U489</f>
        <v>0</v>
      </c>
      <c r="V488" s="120">
        <v>0</v>
      </c>
      <c r="W488" s="120">
        <v>0</v>
      </c>
      <c r="X488" s="118"/>
    </row>
    <row r="489" spans="1:24" ht="52.5" hidden="1" customHeight="1" x14ac:dyDescent="0.25">
      <c r="A489" s="118"/>
      <c r="B489" s="140" t="s">
        <v>126</v>
      </c>
      <c r="C489" s="140" t="s">
        <v>122</v>
      </c>
      <c r="D489" s="230" t="s">
        <v>1026</v>
      </c>
      <c r="E489" s="140"/>
      <c r="F489" s="140"/>
      <c r="G489" s="140"/>
      <c r="H489" s="140"/>
      <c r="I489" s="140"/>
      <c r="J489" s="140"/>
      <c r="K489" s="140"/>
      <c r="L489" s="140"/>
      <c r="M489" s="140"/>
      <c r="N489" s="140"/>
      <c r="O489" s="140"/>
      <c r="P489" s="140"/>
      <c r="Q489" s="140"/>
      <c r="R489" s="140"/>
      <c r="S489" s="140" t="s">
        <v>275</v>
      </c>
      <c r="T489" s="135" t="s">
        <v>565</v>
      </c>
      <c r="U489" s="219">
        <f>П4ВСР!Z300</f>
        <v>0</v>
      </c>
      <c r="V489" s="120">
        <v>0</v>
      </c>
      <c r="W489" s="120">
        <v>0</v>
      </c>
      <c r="X489" s="118"/>
    </row>
    <row r="490" spans="1:24" ht="119.25" customHeight="1" x14ac:dyDescent="0.25">
      <c r="A490" s="118" t="s">
        <v>380</v>
      </c>
      <c r="B490" s="134" t="s">
        <v>126</v>
      </c>
      <c r="C490" s="134" t="s">
        <v>122</v>
      </c>
      <c r="D490" s="134" t="s">
        <v>584</v>
      </c>
      <c r="E490" s="134"/>
      <c r="F490" s="134"/>
      <c r="G490" s="134"/>
      <c r="H490" s="134"/>
      <c r="I490" s="134"/>
      <c r="J490" s="134"/>
      <c r="K490" s="134"/>
      <c r="L490" s="134"/>
      <c r="M490" s="134"/>
      <c r="N490" s="134"/>
      <c r="O490" s="134"/>
      <c r="P490" s="134"/>
      <c r="Q490" s="134"/>
      <c r="R490" s="134"/>
      <c r="S490" s="134"/>
      <c r="T490" s="153" t="s">
        <v>1266</v>
      </c>
      <c r="U490" s="219">
        <f>U491</f>
        <v>797201</v>
      </c>
      <c r="V490" s="120">
        <f>V491</f>
        <v>50000</v>
      </c>
      <c r="W490" s="120">
        <f>W491</f>
        <v>50000</v>
      </c>
      <c r="X490" s="118" t="s">
        <v>380</v>
      </c>
    </row>
    <row r="491" spans="1:24" ht="48.75" customHeight="1" x14ac:dyDescent="0.25">
      <c r="A491" s="118" t="s">
        <v>381</v>
      </c>
      <c r="B491" s="140" t="s">
        <v>126</v>
      </c>
      <c r="C491" s="140" t="s">
        <v>122</v>
      </c>
      <c r="D491" s="134" t="s">
        <v>584</v>
      </c>
      <c r="E491" s="140"/>
      <c r="F491" s="140"/>
      <c r="G491" s="140"/>
      <c r="H491" s="140"/>
      <c r="I491" s="140"/>
      <c r="J491" s="140"/>
      <c r="K491" s="140"/>
      <c r="L491" s="140"/>
      <c r="M491" s="140"/>
      <c r="N491" s="140"/>
      <c r="O491" s="140"/>
      <c r="P491" s="140"/>
      <c r="Q491" s="140"/>
      <c r="R491" s="140"/>
      <c r="S491" s="140" t="s">
        <v>275</v>
      </c>
      <c r="T491" s="135" t="s">
        <v>565</v>
      </c>
      <c r="U491" s="219">
        <f>П4ВСР!Z303</f>
        <v>797201</v>
      </c>
      <c r="V491" s="219">
        <f>П4ВСР!AA303</f>
        <v>50000</v>
      </c>
      <c r="W491" s="219">
        <f>П4ВСР!AB303</f>
        <v>50000</v>
      </c>
      <c r="X491" s="118" t="s">
        <v>381</v>
      </c>
    </row>
    <row r="492" spans="1:24" ht="130.5" customHeight="1" x14ac:dyDescent="0.25">
      <c r="A492" s="118"/>
      <c r="B492" s="140" t="s">
        <v>126</v>
      </c>
      <c r="C492" s="140" t="s">
        <v>122</v>
      </c>
      <c r="D492" s="230" t="s">
        <v>1367</v>
      </c>
      <c r="E492" s="140"/>
      <c r="F492" s="140"/>
      <c r="G492" s="140"/>
      <c r="H492" s="140"/>
      <c r="I492" s="140"/>
      <c r="J492" s="140"/>
      <c r="K492" s="140"/>
      <c r="L492" s="140"/>
      <c r="M492" s="140"/>
      <c r="N492" s="140"/>
      <c r="O492" s="140"/>
      <c r="P492" s="140"/>
      <c r="Q492" s="140"/>
      <c r="R492" s="140"/>
      <c r="S492" s="140"/>
      <c r="T492" s="153" t="s">
        <v>1366</v>
      </c>
      <c r="U492" s="219">
        <f>U493</f>
        <v>5900000</v>
      </c>
      <c r="V492" s="219">
        <f>V493</f>
        <v>631300</v>
      </c>
      <c r="W492" s="219">
        <f>W493</f>
        <v>841400</v>
      </c>
      <c r="X492" s="118"/>
    </row>
    <row r="493" spans="1:24" ht="48.75" customHeight="1" x14ac:dyDescent="0.25">
      <c r="A493" s="118"/>
      <c r="B493" s="140" t="s">
        <v>126</v>
      </c>
      <c r="C493" s="140" t="s">
        <v>122</v>
      </c>
      <c r="D493" s="230" t="s">
        <v>1367</v>
      </c>
      <c r="E493" s="140"/>
      <c r="F493" s="140"/>
      <c r="G493" s="140"/>
      <c r="H493" s="140"/>
      <c r="I493" s="140"/>
      <c r="J493" s="140"/>
      <c r="K493" s="140"/>
      <c r="L493" s="140"/>
      <c r="M493" s="140"/>
      <c r="N493" s="140"/>
      <c r="O493" s="140"/>
      <c r="P493" s="140"/>
      <c r="Q493" s="140"/>
      <c r="R493" s="140"/>
      <c r="S493" s="140" t="s">
        <v>275</v>
      </c>
      <c r="T493" s="135" t="s">
        <v>565</v>
      </c>
      <c r="U493" s="219">
        <f>П4ВСР!Z305</f>
        <v>5900000</v>
      </c>
      <c r="V493" s="219">
        <f>П4ВСР!AA305</f>
        <v>631300</v>
      </c>
      <c r="W493" s="219">
        <f>П4ВСР!AB305</f>
        <v>841400</v>
      </c>
      <c r="X493" s="118"/>
    </row>
    <row r="494" spans="1:24" ht="166.5" customHeight="1" x14ac:dyDescent="0.25">
      <c r="A494" s="118" t="s">
        <v>382</v>
      </c>
      <c r="B494" s="134" t="s">
        <v>126</v>
      </c>
      <c r="C494" s="134" t="s">
        <v>122</v>
      </c>
      <c r="D494" s="134" t="s">
        <v>585</v>
      </c>
      <c r="E494" s="134"/>
      <c r="F494" s="134"/>
      <c r="G494" s="134"/>
      <c r="H494" s="134"/>
      <c r="I494" s="134"/>
      <c r="J494" s="134"/>
      <c r="K494" s="134"/>
      <c r="L494" s="134"/>
      <c r="M494" s="134"/>
      <c r="N494" s="134"/>
      <c r="O494" s="134"/>
      <c r="P494" s="134"/>
      <c r="Q494" s="134"/>
      <c r="R494" s="134"/>
      <c r="S494" s="134"/>
      <c r="T494" s="153" t="s">
        <v>1267</v>
      </c>
      <c r="U494" s="120">
        <f>U495</f>
        <v>77599.999999999942</v>
      </c>
      <c r="V494" s="120">
        <f>V495</f>
        <v>100000</v>
      </c>
      <c r="W494" s="120">
        <f>W495</f>
        <v>100000</v>
      </c>
      <c r="X494" s="118" t="s">
        <v>382</v>
      </c>
    </row>
    <row r="495" spans="1:24" ht="46.5" customHeight="1" x14ac:dyDescent="0.25">
      <c r="A495" s="118" t="s">
        <v>383</v>
      </c>
      <c r="B495" s="140" t="s">
        <v>126</v>
      </c>
      <c r="C495" s="140" t="s">
        <v>122</v>
      </c>
      <c r="D495" s="134" t="s">
        <v>585</v>
      </c>
      <c r="E495" s="140"/>
      <c r="F495" s="140"/>
      <c r="G495" s="140"/>
      <c r="H495" s="140"/>
      <c r="I495" s="140"/>
      <c r="J495" s="140"/>
      <c r="K495" s="140"/>
      <c r="L495" s="140"/>
      <c r="M495" s="140"/>
      <c r="N495" s="140"/>
      <c r="O495" s="140"/>
      <c r="P495" s="140"/>
      <c r="Q495" s="140"/>
      <c r="R495" s="140"/>
      <c r="S495" s="140" t="s">
        <v>275</v>
      </c>
      <c r="T495" s="135" t="s">
        <v>565</v>
      </c>
      <c r="U495" s="120">
        <f>П4ВСР!Z307</f>
        <v>77599.999999999942</v>
      </c>
      <c r="V495" s="120">
        <f>П4ВСР!AA307</f>
        <v>100000</v>
      </c>
      <c r="W495" s="120">
        <f>П4ВСР!AB307</f>
        <v>100000</v>
      </c>
      <c r="X495" s="118" t="s">
        <v>383</v>
      </c>
    </row>
    <row r="496" spans="1:24" ht="117" customHeight="1" x14ac:dyDescent="0.25">
      <c r="A496" s="118"/>
      <c r="B496" s="140" t="s">
        <v>126</v>
      </c>
      <c r="C496" s="140" t="s">
        <v>122</v>
      </c>
      <c r="D496" s="230" t="s">
        <v>585</v>
      </c>
      <c r="E496" s="140"/>
      <c r="F496" s="140"/>
      <c r="G496" s="140"/>
      <c r="H496" s="140"/>
      <c r="I496" s="140"/>
      <c r="J496" s="140"/>
      <c r="K496" s="140"/>
      <c r="L496" s="140"/>
      <c r="M496" s="140"/>
      <c r="N496" s="140"/>
      <c r="O496" s="140"/>
      <c r="P496" s="140"/>
      <c r="Q496" s="140"/>
      <c r="R496" s="140"/>
      <c r="S496" s="140"/>
      <c r="T496" s="153" t="s">
        <v>1543</v>
      </c>
      <c r="U496" s="120">
        <f>U497</f>
        <v>4752086.46</v>
      </c>
      <c r="V496" s="120">
        <v>0</v>
      </c>
      <c r="W496" s="120">
        <v>0</v>
      </c>
      <c r="X496" s="118"/>
    </row>
    <row r="497" spans="1:27" ht="33.75" customHeight="1" x14ac:dyDescent="0.25">
      <c r="A497" s="118"/>
      <c r="B497" s="140" t="s">
        <v>126</v>
      </c>
      <c r="C497" s="140" t="s">
        <v>122</v>
      </c>
      <c r="D497" s="230" t="s">
        <v>585</v>
      </c>
      <c r="E497" s="140"/>
      <c r="F497" s="140"/>
      <c r="G497" s="140"/>
      <c r="H497" s="140"/>
      <c r="I497" s="140"/>
      <c r="J497" s="140"/>
      <c r="K497" s="140"/>
      <c r="L497" s="140"/>
      <c r="M497" s="140"/>
      <c r="N497" s="140"/>
      <c r="O497" s="140"/>
      <c r="P497" s="140"/>
      <c r="Q497" s="140"/>
      <c r="R497" s="140"/>
      <c r="S497" s="140" t="s">
        <v>427</v>
      </c>
      <c r="T497" s="135" t="s">
        <v>770</v>
      </c>
      <c r="U497" s="120">
        <f>П4ВСР!Z566</f>
        <v>4752086.46</v>
      </c>
      <c r="V497" s="120">
        <v>0</v>
      </c>
      <c r="W497" s="120">
        <v>0</v>
      </c>
      <c r="X497" s="118"/>
    </row>
    <row r="498" spans="1:27" ht="39.75" hidden="1" customHeight="1" x14ac:dyDescent="0.25">
      <c r="A498" s="118" t="s">
        <v>384</v>
      </c>
      <c r="B498" s="134" t="s">
        <v>126</v>
      </c>
      <c r="C498" s="134" t="s">
        <v>122</v>
      </c>
      <c r="D498" s="134" t="s">
        <v>587</v>
      </c>
      <c r="E498" s="134"/>
      <c r="F498" s="134"/>
      <c r="G498" s="134"/>
      <c r="H498" s="134"/>
      <c r="I498" s="134"/>
      <c r="J498" s="134"/>
      <c r="K498" s="134"/>
      <c r="L498" s="134"/>
      <c r="M498" s="134"/>
      <c r="N498" s="134"/>
      <c r="O498" s="134"/>
      <c r="P498" s="134"/>
      <c r="Q498" s="134"/>
      <c r="R498" s="134"/>
      <c r="S498" s="134"/>
      <c r="T498" s="153" t="s">
        <v>586</v>
      </c>
      <c r="U498" s="120">
        <f>U499</f>
        <v>0</v>
      </c>
      <c r="V498" s="120">
        <f>V499</f>
        <v>0</v>
      </c>
      <c r="W498" s="120">
        <f>W499</f>
        <v>0</v>
      </c>
      <c r="X498" s="118" t="s">
        <v>384</v>
      </c>
    </row>
    <row r="499" spans="1:27" ht="45.75" hidden="1" customHeight="1" x14ac:dyDescent="0.25">
      <c r="A499" s="118" t="s">
        <v>385</v>
      </c>
      <c r="B499" s="140" t="s">
        <v>126</v>
      </c>
      <c r="C499" s="140" t="s">
        <v>122</v>
      </c>
      <c r="D499" s="134" t="s">
        <v>587</v>
      </c>
      <c r="E499" s="140"/>
      <c r="F499" s="140"/>
      <c r="G499" s="140"/>
      <c r="H499" s="140"/>
      <c r="I499" s="140"/>
      <c r="J499" s="140"/>
      <c r="K499" s="140"/>
      <c r="L499" s="140"/>
      <c r="M499" s="140"/>
      <c r="N499" s="140"/>
      <c r="O499" s="140"/>
      <c r="P499" s="140"/>
      <c r="Q499" s="140"/>
      <c r="R499" s="140"/>
      <c r="S499" s="140" t="s">
        <v>350</v>
      </c>
      <c r="T499" s="135" t="s">
        <v>733</v>
      </c>
      <c r="U499" s="120">
        <f>П4ВСР!Z309</f>
        <v>0</v>
      </c>
      <c r="V499" s="120">
        <f>П4ВСР!AA309</f>
        <v>0</v>
      </c>
      <c r="W499" s="120">
        <f>П4ВСР!AB309</f>
        <v>0</v>
      </c>
      <c r="X499" s="118" t="s">
        <v>385</v>
      </c>
    </row>
    <row r="500" spans="1:27" ht="131.25" customHeight="1" x14ac:dyDescent="0.25">
      <c r="A500" s="118"/>
      <c r="B500" s="140" t="s">
        <v>126</v>
      </c>
      <c r="C500" s="140" t="s">
        <v>122</v>
      </c>
      <c r="D500" s="230" t="s">
        <v>1547</v>
      </c>
      <c r="E500" s="140"/>
      <c r="F500" s="140"/>
      <c r="G500" s="140"/>
      <c r="H500" s="140"/>
      <c r="I500" s="140"/>
      <c r="J500" s="140"/>
      <c r="K500" s="140"/>
      <c r="L500" s="140"/>
      <c r="M500" s="140"/>
      <c r="N500" s="140"/>
      <c r="O500" s="140"/>
      <c r="P500" s="140"/>
      <c r="Q500" s="140"/>
      <c r="R500" s="140"/>
      <c r="S500" s="140"/>
      <c r="T500" s="153" t="s">
        <v>1546</v>
      </c>
      <c r="U500" s="120">
        <f>U501</f>
        <v>190039</v>
      </c>
      <c r="V500" s="120">
        <v>0</v>
      </c>
      <c r="W500" s="120">
        <v>0</v>
      </c>
      <c r="X500" s="118"/>
    </row>
    <row r="501" spans="1:27" ht="31.5" customHeight="1" x14ac:dyDescent="0.25">
      <c r="A501" s="118"/>
      <c r="B501" s="140" t="s">
        <v>126</v>
      </c>
      <c r="C501" s="140" t="s">
        <v>122</v>
      </c>
      <c r="D501" s="230" t="s">
        <v>1547</v>
      </c>
      <c r="E501" s="140"/>
      <c r="F501" s="140"/>
      <c r="G501" s="140"/>
      <c r="H501" s="140"/>
      <c r="I501" s="140"/>
      <c r="J501" s="140"/>
      <c r="K501" s="140"/>
      <c r="L501" s="140"/>
      <c r="M501" s="140"/>
      <c r="N501" s="140"/>
      <c r="O501" s="140"/>
      <c r="P501" s="140"/>
      <c r="Q501" s="140"/>
      <c r="R501" s="140"/>
      <c r="S501" s="140" t="s">
        <v>427</v>
      </c>
      <c r="T501" s="135" t="s">
        <v>770</v>
      </c>
      <c r="U501" s="120">
        <f>П4ВСР!Z578</f>
        <v>190039</v>
      </c>
      <c r="V501" s="120">
        <v>0</v>
      </c>
      <c r="W501" s="120">
        <v>0</v>
      </c>
      <c r="X501" s="118"/>
    </row>
    <row r="502" spans="1:27" ht="92.25" customHeight="1" x14ac:dyDescent="0.25">
      <c r="A502" s="118" t="s">
        <v>242</v>
      </c>
      <c r="B502" s="134" t="s">
        <v>126</v>
      </c>
      <c r="C502" s="134" t="s">
        <v>122</v>
      </c>
      <c r="D502" s="134" t="s">
        <v>588</v>
      </c>
      <c r="E502" s="134"/>
      <c r="F502" s="134"/>
      <c r="G502" s="134"/>
      <c r="H502" s="134"/>
      <c r="I502" s="134"/>
      <c r="J502" s="134"/>
      <c r="K502" s="134"/>
      <c r="L502" s="134"/>
      <c r="M502" s="134"/>
      <c r="N502" s="134"/>
      <c r="O502" s="134"/>
      <c r="P502" s="134"/>
      <c r="Q502" s="134"/>
      <c r="R502" s="134"/>
      <c r="S502" s="134"/>
      <c r="T502" s="153" t="s">
        <v>242</v>
      </c>
      <c r="U502" s="120">
        <f>U503</f>
        <v>395924</v>
      </c>
      <c r="V502" s="120">
        <f>V503</f>
        <v>400000</v>
      </c>
      <c r="W502" s="120">
        <f>W503</f>
        <v>400000</v>
      </c>
      <c r="X502" s="118" t="s">
        <v>242</v>
      </c>
    </row>
    <row r="503" spans="1:27" ht="50.25" customHeight="1" x14ac:dyDescent="0.25">
      <c r="A503" s="118" t="s">
        <v>386</v>
      </c>
      <c r="B503" s="140" t="s">
        <v>126</v>
      </c>
      <c r="C503" s="140" t="s">
        <v>122</v>
      </c>
      <c r="D503" s="134" t="s">
        <v>588</v>
      </c>
      <c r="E503" s="140"/>
      <c r="F503" s="140"/>
      <c r="G503" s="140"/>
      <c r="H503" s="140"/>
      <c r="I503" s="140"/>
      <c r="J503" s="140"/>
      <c r="K503" s="140"/>
      <c r="L503" s="140"/>
      <c r="M503" s="140"/>
      <c r="N503" s="140"/>
      <c r="O503" s="140"/>
      <c r="P503" s="140"/>
      <c r="Q503" s="140"/>
      <c r="R503" s="140"/>
      <c r="S503" s="140" t="s">
        <v>275</v>
      </c>
      <c r="T503" s="135" t="s">
        <v>565</v>
      </c>
      <c r="U503" s="120">
        <f>П4ВСР!Z313</f>
        <v>395924</v>
      </c>
      <c r="V503" s="120">
        <f>П4ВСР!AA313</f>
        <v>400000</v>
      </c>
      <c r="W503" s="120">
        <f>П4ВСР!AB313</f>
        <v>400000</v>
      </c>
      <c r="X503" s="118" t="s">
        <v>386</v>
      </c>
    </row>
    <row r="504" spans="1:27" ht="0.75" hidden="1" customHeight="1" x14ac:dyDescent="0.25">
      <c r="A504" s="116" t="s">
        <v>387</v>
      </c>
      <c r="B504" s="126"/>
      <c r="C504" s="126"/>
      <c r="D504" s="126"/>
      <c r="E504" s="126"/>
      <c r="F504" s="126"/>
      <c r="G504" s="126"/>
      <c r="H504" s="126"/>
      <c r="I504" s="126"/>
      <c r="J504" s="126"/>
      <c r="K504" s="126"/>
      <c r="L504" s="126"/>
      <c r="M504" s="126"/>
      <c r="N504" s="126"/>
      <c r="O504" s="126"/>
      <c r="P504" s="126"/>
      <c r="Q504" s="126"/>
      <c r="R504" s="126"/>
      <c r="S504" s="126"/>
      <c r="T504" s="116"/>
      <c r="U504" s="117"/>
      <c r="V504" s="117"/>
      <c r="W504" s="117"/>
      <c r="X504" s="116" t="s">
        <v>387</v>
      </c>
    </row>
    <row r="505" spans="1:27" ht="36.75" hidden="1" customHeight="1" x14ac:dyDescent="0.25">
      <c r="A505" s="118" t="s">
        <v>161</v>
      </c>
      <c r="B505" s="119"/>
      <c r="C505" s="119"/>
      <c r="D505" s="119"/>
      <c r="E505" s="119"/>
      <c r="F505" s="119"/>
      <c r="G505" s="119"/>
      <c r="H505" s="119"/>
      <c r="I505" s="119"/>
      <c r="J505" s="119"/>
      <c r="K505" s="119"/>
      <c r="L505" s="119"/>
      <c r="M505" s="119"/>
      <c r="N505" s="119"/>
      <c r="O505" s="119"/>
      <c r="P505" s="119"/>
      <c r="Q505" s="119"/>
      <c r="R505" s="119"/>
      <c r="S505" s="119"/>
      <c r="T505" s="118"/>
      <c r="U505" s="120"/>
      <c r="V505" s="120"/>
      <c r="W505" s="120"/>
      <c r="X505" s="118" t="s">
        <v>161</v>
      </c>
    </row>
    <row r="506" spans="1:27" ht="256.5" hidden="1" customHeight="1" x14ac:dyDescent="0.25">
      <c r="A506" s="124" t="s">
        <v>227</v>
      </c>
      <c r="B506" s="134"/>
      <c r="C506" s="134"/>
      <c r="D506" s="134"/>
      <c r="E506" s="134"/>
      <c r="F506" s="134"/>
      <c r="G506" s="134"/>
      <c r="H506" s="134"/>
      <c r="I506" s="134"/>
      <c r="J506" s="134"/>
      <c r="K506" s="134"/>
      <c r="L506" s="134"/>
      <c r="M506" s="134"/>
      <c r="N506" s="134"/>
      <c r="O506" s="134"/>
      <c r="P506" s="134"/>
      <c r="Q506" s="134"/>
      <c r="R506" s="134"/>
      <c r="S506" s="134"/>
      <c r="T506" s="155"/>
      <c r="U506" s="120"/>
      <c r="V506" s="120"/>
      <c r="W506" s="120"/>
      <c r="X506" s="124" t="s">
        <v>227</v>
      </c>
    </row>
    <row r="507" spans="1:27" ht="122.25" hidden="1" customHeight="1" x14ac:dyDescent="0.25">
      <c r="A507" s="124" t="s">
        <v>388</v>
      </c>
      <c r="B507" s="140"/>
      <c r="C507" s="140"/>
      <c r="D507" s="134"/>
      <c r="E507" s="140"/>
      <c r="F507" s="140"/>
      <c r="G507" s="140"/>
      <c r="H507" s="140"/>
      <c r="I507" s="140"/>
      <c r="J507" s="140"/>
      <c r="K507" s="140"/>
      <c r="L507" s="140"/>
      <c r="M507" s="140"/>
      <c r="N507" s="140"/>
      <c r="O507" s="140"/>
      <c r="P507" s="140"/>
      <c r="Q507" s="140"/>
      <c r="R507" s="140"/>
      <c r="S507" s="140"/>
      <c r="T507" s="154"/>
      <c r="U507" s="120"/>
      <c r="V507" s="120"/>
      <c r="W507" s="120"/>
      <c r="X507" s="124" t="s">
        <v>388</v>
      </c>
    </row>
    <row r="508" spans="1:27" ht="55.5" hidden="1" customHeight="1" x14ac:dyDescent="0.25">
      <c r="A508" s="124" t="s">
        <v>389</v>
      </c>
      <c r="B508" s="140"/>
      <c r="C508" s="140"/>
      <c r="D508" s="134"/>
      <c r="E508" s="140"/>
      <c r="F508" s="140"/>
      <c r="G508" s="140"/>
      <c r="H508" s="140"/>
      <c r="I508" s="140"/>
      <c r="J508" s="140"/>
      <c r="K508" s="140"/>
      <c r="L508" s="140"/>
      <c r="M508" s="140"/>
      <c r="N508" s="140"/>
      <c r="O508" s="140"/>
      <c r="P508" s="140"/>
      <c r="Q508" s="140"/>
      <c r="R508" s="140"/>
      <c r="S508" s="140"/>
      <c r="T508" s="154"/>
      <c r="U508" s="120"/>
      <c r="V508" s="120"/>
      <c r="W508" s="120"/>
      <c r="X508" s="124" t="s">
        <v>389</v>
      </c>
    </row>
    <row r="509" spans="1:27" ht="18.600000000000001" customHeight="1" x14ac:dyDescent="0.25">
      <c r="A509" s="116" t="s">
        <v>390</v>
      </c>
      <c r="B509" s="126" t="s">
        <v>143</v>
      </c>
      <c r="C509" s="126" t="s">
        <v>133</v>
      </c>
      <c r="D509" s="126"/>
      <c r="E509" s="126"/>
      <c r="F509" s="126"/>
      <c r="G509" s="126"/>
      <c r="H509" s="126"/>
      <c r="I509" s="126"/>
      <c r="J509" s="126"/>
      <c r="K509" s="126"/>
      <c r="L509" s="126"/>
      <c r="M509" s="126"/>
      <c r="N509" s="126"/>
      <c r="O509" s="126"/>
      <c r="P509" s="126"/>
      <c r="Q509" s="126"/>
      <c r="R509" s="126"/>
      <c r="S509" s="126"/>
      <c r="T509" s="116" t="s">
        <v>390</v>
      </c>
      <c r="U509" s="117">
        <f>U510+U516+U534+U555</f>
        <v>41552700.390000001</v>
      </c>
      <c r="V509" s="117">
        <f>V510+V516+V534+V555</f>
        <v>37250171.960000001</v>
      </c>
      <c r="W509" s="117">
        <f>W510+W516+W534+W555</f>
        <v>37846924.780000001</v>
      </c>
      <c r="X509" s="116" t="s">
        <v>390</v>
      </c>
    </row>
    <row r="510" spans="1:27" ht="18.600000000000001" customHeight="1" x14ac:dyDescent="0.25">
      <c r="A510" s="118" t="s">
        <v>162</v>
      </c>
      <c r="B510" s="119" t="s">
        <v>143</v>
      </c>
      <c r="C510" s="119" t="s">
        <v>122</v>
      </c>
      <c r="D510" s="119"/>
      <c r="E510" s="119"/>
      <c r="F510" s="119"/>
      <c r="G510" s="119"/>
      <c r="H510" s="119"/>
      <c r="I510" s="119"/>
      <c r="J510" s="119"/>
      <c r="K510" s="119"/>
      <c r="L510" s="119"/>
      <c r="M510" s="119"/>
      <c r="N510" s="119"/>
      <c r="O510" s="119"/>
      <c r="P510" s="119"/>
      <c r="Q510" s="119"/>
      <c r="R510" s="119"/>
      <c r="S510" s="119"/>
      <c r="T510" s="118" t="s">
        <v>162</v>
      </c>
      <c r="U510" s="120">
        <f>U511+U513</f>
        <v>2756767.38</v>
      </c>
      <c r="V510" s="120">
        <f>V511+V513</f>
        <v>2177967.38</v>
      </c>
      <c r="W510" s="120">
        <f>W511+W513</f>
        <v>2177967.38</v>
      </c>
      <c r="X510" s="118" t="s">
        <v>162</v>
      </c>
    </row>
    <row r="511" spans="1:27" ht="90" customHeight="1" x14ac:dyDescent="0.25">
      <c r="A511" s="118" t="s">
        <v>391</v>
      </c>
      <c r="B511" s="161" t="s">
        <v>143</v>
      </c>
      <c r="C511" s="161" t="s">
        <v>122</v>
      </c>
      <c r="D511" s="161" t="s">
        <v>606</v>
      </c>
      <c r="E511" s="161"/>
      <c r="F511" s="161"/>
      <c r="G511" s="161"/>
      <c r="H511" s="161"/>
      <c r="I511" s="161"/>
      <c r="J511" s="161"/>
      <c r="K511" s="161"/>
      <c r="L511" s="161"/>
      <c r="M511" s="161"/>
      <c r="N511" s="161"/>
      <c r="O511" s="161"/>
      <c r="P511" s="161"/>
      <c r="Q511" s="161"/>
      <c r="R511" s="161"/>
      <c r="S511" s="161"/>
      <c r="T511" s="153" t="s">
        <v>391</v>
      </c>
      <c r="U511" s="120">
        <f>U512</f>
        <v>2285685.69</v>
      </c>
      <c r="V511" s="120">
        <f>V512</f>
        <v>1643415.38</v>
      </c>
      <c r="W511" s="120">
        <f>W512</f>
        <v>1643415.38</v>
      </c>
      <c r="X511" s="118" t="s">
        <v>391</v>
      </c>
      <c r="AA511" s="127"/>
    </row>
    <row r="512" spans="1:27" ht="42" customHeight="1" x14ac:dyDescent="0.25">
      <c r="A512" s="118" t="s">
        <v>392</v>
      </c>
      <c r="B512" s="136" t="s">
        <v>143</v>
      </c>
      <c r="C512" s="136" t="s">
        <v>122</v>
      </c>
      <c r="D512" s="161" t="s">
        <v>606</v>
      </c>
      <c r="E512" s="136"/>
      <c r="F512" s="136"/>
      <c r="G512" s="136"/>
      <c r="H512" s="136"/>
      <c r="I512" s="136"/>
      <c r="J512" s="136"/>
      <c r="K512" s="136"/>
      <c r="L512" s="136"/>
      <c r="M512" s="136"/>
      <c r="N512" s="136"/>
      <c r="O512" s="136"/>
      <c r="P512" s="136"/>
      <c r="Q512" s="136"/>
      <c r="R512" s="136"/>
      <c r="S512" s="136" t="s">
        <v>393</v>
      </c>
      <c r="T512" s="135" t="s">
        <v>727</v>
      </c>
      <c r="U512" s="120">
        <f>П4ВСР!Z322</f>
        <v>2285685.69</v>
      </c>
      <c r="V512" s="120">
        <f>П4ВСР!AA322</f>
        <v>1643415.38</v>
      </c>
      <c r="W512" s="120">
        <f>П4ВСР!AB322</f>
        <v>1643415.38</v>
      </c>
      <c r="X512" s="118" t="s">
        <v>392</v>
      </c>
    </row>
    <row r="513" spans="1:28" ht="178.5" customHeight="1" x14ac:dyDescent="0.25">
      <c r="A513" s="124" t="s">
        <v>469</v>
      </c>
      <c r="B513" s="136" t="s">
        <v>143</v>
      </c>
      <c r="C513" s="136" t="s">
        <v>122</v>
      </c>
      <c r="D513" s="161" t="s">
        <v>607</v>
      </c>
      <c r="E513" s="136"/>
      <c r="F513" s="136"/>
      <c r="G513" s="136"/>
      <c r="H513" s="136"/>
      <c r="I513" s="136"/>
      <c r="J513" s="136"/>
      <c r="K513" s="136"/>
      <c r="L513" s="136"/>
      <c r="M513" s="136"/>
      <c r="N513" s="136"/>
      <c r="O513" s="136"/>
      <c r="P513" s="136"/>
      <c r="Q513" s="136"/>
      <c r="R513" s="136"/>
      <c r="S513" s="136"/>
      <c r="T513" s="155" t="s">
        <v>469</v>
      </c>
      <c r="U513" s="120">
        <f>U515+U514</f>
        <v>471081.69</v>
      </c>
      <c r="V513" s="120">
        <f>V515+V514</f>
        <v>534552</v>
      </c>
      <c r="W513" s="120">
        <f>W515+W514</f>
        <v>534552</v>
      </c>
      <c r="X513" s="124" t="s">
        <v>469</v>
      </c>
    </row>
    <row r="514" spans="1:28" ht="50.25" customHeight="1" x14ac:dyDescent="0.25">
      <c r="A514" s="124"/>
      <c r="B514" s="136" t="s">
        <v>143</v>
      </c>
      <c r="C514" s="136" t="s">
        <v>122</v>
      </c>
      <c r="D514" s="161" t="s">
        <v>607</v>
      </c>
      <c r="E514" s="136"/>
      <c r="F514" s="136"/>
      <c r="G514" s="136"/>
      <c r="H514" s="136"/>
      <c r="I514" s="136"/>
      <c r="J514" s="136"/>
      <c r="K514" s="136"/>
      <c r="L514" s="136"/>
      <c r="M514" s="136"/>
      <c r="N514" s="136"/>
      <c r="O514" s="136"/>
      <c r="P514" s="136"/>
      <c r="Q514" s="136"/>
      <c r="R514" s="136"/>
      <c r="S514" s="136" t="s">
        <v>275</v>
      </c>
      <c r="T514" s="154" t="s">
        <v>1311</v>
      </c>
      <c r="U514" s="120">
        <f>П4ВСР!Z695</f>
        <v>4152</v>
      </c>
      <c r="V514" s="120">
        <f>П4ВСР!AA695</f>
        <v>4152</v>
      </c>
      <c r="W514" s="120">
        <f>П4ВСР!AB695</f>
        <v>4152</v>
      </c>
      <c r="X514" s="124"/>
    </row>
    <row r="515" spans="1:28" ht="47.25" customHeight="1" x14ac:dyDescent="0.25">
      <c r="A515" s="124" t="s">
        <v>470</v>
      </c>
      <c r="B515" s="136" t="s">
        <v>143</v>
      </c>
      <c r="C515" s="136" t="s">
        <v>122</v>
      </c>
      <c r="D515" s="161" t="s">
        <v>607</v>
      </c>
      <c r="E515" s="136"/>
      <c r="F515" s="136"/>
      <c r="G515" s="136"/>
      <c r="H515" s="136"/>
      <c r="I515" s="136"/>
      <c r="J515" s="136"/>
      <c r="K515" s="136"/>
      <c r="L515" s="136"/>
      <c r="M515" s="136"/>
      <c r="N515" s="136"/>
      <c r="O515" s="136"/>
      <c r="P515" s="136"/>
      <c r="Q515" s="136"/>
      <c r="R515" s="136"/>
      <c r="S515" s="136" t="s">
        <v>393</v>
      </c>
      <c r="T515" s="154" t="s">
        <v>727</v>
      </c>
      <c r="U515" s="120">
        <f>П4ВСР!Z324+П4ВСР!Z696</f>
        <v>466929.69</v>
      </c>
      <c r="V515" s="120">
        <f>П4ВСР!AA324+П4ВСР!AA696</f>
        <v>530400</v>
      </c>
      <c r="W515" s="120">
        <f>П4ВСР!AB324+П4ВСР!AB696</f>
        <v>530400</v>
      </c>
      <c r="X515" s="124" t="s">
        <v>470</v>
      </c>
    </row>
    <row r="516" spans="1:28" ht="18.600000000000001" customHeight="1" x14ac:dyDescent="0.25">
      <c r="A516" s="118" t="s">
        <v>163</v>
      </c>
      <c r="B516" s="119" t="s">
        <v>143</v>
      </c>
      <c r="C516" s="119" t="s">
        <v>123</v>
      </c>
      <c r="D516" s="119"/>
      <c r="E516" s="119"/>
      <c r="F516" s="119"/>
      <c r="G516" s="119"/>
      <c r="H516" s="119"/>
      <c r="I516" s="119"/>
      <c r="J516" s="119"/>
      <c r="K516" s="119"/>
      <c r="L516" s="119"/>
      <c r="M516" s="119"/>
      <c r="N516" s="119"/>
      <c r="O516" s="119"/>
      <c r="P516" s="119"/>
      <c r="Q516" s="119"/>
      <c r="R516" s="119"/>
      <c r="S516" s="119"/>
      <c r="T516" s="118" t="s">
        <v>163</v>
      </c>
      <c r="U516" s="120">
        <f>U517+U523+U525+U529+U532+U519+U521+U527</f>
        <v>4547472.25</v>
      </c>
      <c r="V516" s="120">
        <f>V517+V523+V525+V529+V532+V519+V521</f>
        <v>350000</v>
      </c>
      <c r="W516" s="120">
        <f>W517+W523+W525+W529+W532+W519+W521</f>
        <v>350000</v>
      </c>
      <c r="X516" s="118" t="s">
        <v>163</v>
      </c>
    </row>
    <row r="517" spans="1:28" ht="169.5" customHeight="1" x14ac:dyDescent="0.25">
      <c r="A517" s="118" t="s">
        <v>394</v>
      </c>
      <c r="B517" s="161" t="s">
        <v>143</v>
      </c>
      <c r="C517" s="161" t="s">
        <v>123</v>
      </c>
      <c r="D517" s="161" t="s">
        <v>608</v>
      </c>
      <c r="E517" s="161"/>
      <c r="F517" s="161"/>
      <c r="G517" s="161"/>
      <c r="H517" s="161"/>
      <c r="I517" s="161"/>
      <c r="J517" s="161"/>
      <c r="K517" s="161"/>
      <c r="L517" s="161"/>
      <c r="M517" s="161"/>
      <c r="N517" s="161"/>
      <c r="O517" s="161"/>
      <c r="P517" s="161"/>
      <c r="Q517" s="161"/>
      <c r="R517" s="161"/>
      <c r="S517" s="161"/>
      <c r="T517" s="153" t="s">
        <v>1289</v>
      </c>
      <c r="U517" s="120">
        <f>U518</f>
        <v>0</v>
      </c>
      <c r="V517" s="120">
        <f>V518</f>
        <v>50000</v>
      </c>
      <c r="W517" s="120">
        <f>W518</f>
        <v>50000</v>
      </c>
      <c r="X517" s="118" t="s">
        <v>394</v>
      </c>
      <c r="AA517" s="127"/>
      <c r="AB517" s="127"/>
    </row>
    <row r="518" spans="1:28" ht="45.75" customHeight="1" x14ac:dyDescent="0.25">
      <c r="A518" s="118" t="s">
        <v>395</v>
      </c>
      <c r="B518" s="136" t="s">
        <v>143</v>
      </c>
      <c r="C518" s="136" t="s">
        <v>123</v>
      </c>
      <c r="D518" s="161" t="s">
        <v>608</v>
      </c>
      <c r="E518" s="136"/>
      <c r="F518" s="136"/>
      <c r="G518" s="136"/>
      <c r="H518" s="136"/>
      <c r="I518" s="136"/>
      <c r="J518" s="136"/>
      <c r="K518" s="136"/>
      <c r="L518" s="136"/>
      <c r="M518" s="136"/>
      <c r="N518" s="136"/>
      <c r="O518" s="136"/>
      <c r="P518" s="136"/>
      <c r="Q518" s="136"/>
      <c r="R518" s="136"/>
      <c r="S518" s="136" t="s">
        <v>275</v>
      </c>
      <c r="T518" s="135" t="s">
        <v>565</v>
      </c>
      <c r="U518" s="120">
        <f>П4ВСР!Z327</f>
        <v>0</v>
      </c>
      <c r="V518" s="120">
        <f>П4ВСР!AA327</f>
        <v>50000</v>
      </c>
      <c r="W518" s="120">
        <f>П4ВСР!AB327</f>
        <v>50000</v>
      </c>
      <c r="X518" s="118" t="s">
        <v>395</v>
      </c>
      <c r="AA518" s="127"/>
    </row>
    <row r="519" spans="1:28" ht="151.5" hidden="1" customHeight="1" x14ac:dyDescent="0.25">
      <c r="A519" s="118"/>
      <c r="B519" s="136" t="s">
        <v>143</v>
      </c>
      <c r="C519" s="136" t="s">
        <v>123</v>
      </c>
      <c r="D519" s="161" t="s">
        <v>794</v>
      </c>
      <c r="E519" s="136"/>
      <c r="F519" s="136"/>
      <c r="G519" s="136"/>
      <c r="H519" s="136"/>
      <c r="I519" s="136"/>
      <c r="J519" s="136"/>
      <c r="K519" s="136"/>
      <c r="L519" s="136"/>
      <c r="M519" s="136"/>
      <c r="N519" s="136"/>
      <c r="O519" s="136"/>
      <c r="P519" s="136"/>
      <c r="Q519" s="136"/>
      <c r="R519" s="136"/>
      <c r="S519" s="136"/>
      <c r="T519" s="220" t="s">
        <v>609</v>
      </c>
      <c r="U519" s="120">
        <f>U520</f>
        <v>0</v>
      </c>
      <c r="V519" s="120">
        <f>V520</f>
        <v>0</v>
      </c>
      <c r="W519" s="120">
        <f>W520</f>
        <v>0</v>
      </c>
      <c r="X519" s="118"/>
    </row>
    <row r="520" spans="1:28" ht="74.25" hidden="1" customHeight="1" x14ac:dyDescent="0.25">
      <c r="A520" s="118"/>
      <c r="B520" s="136" t="s">
        <v>143</v>
      </c>
      <c r="C520" s="136" t="s">
        <v>123</v>
      </c>
      <c r="D520" s="161" t="s">
        <v>794</v>
      </c>
      <c r="E520" s="136"/>
      <c r="F520" s="136"/>
      <c r="G520" s="136"/>
      <c r="H520" s="136"/>
      <c r="I520" s="136"/>
      <c r="J520" s="136"/>
      <c r="K520" s="136"/>
      <c r="L520" s="136"/>
      <c r="M520" s="136"/>
      <c r="N520" s="136"/>
      <c r="O520" s="136"/>
      <c r="P520" s="136"/>
      <c r="Q520" s="136"/>
      <c r="R520" s="136"/>
      <c r="S520" s="136" t="s">
        <v>393</v>
      </c>
      <c r="T520" s="261" t="s">
        <v>397</v>
      </c>
      <c r="U520" s="120">
        <f>П4ВСР!Z329</f>
        <v>0</v>
      </c>
      <c r="V520" s="120">
        <f>П4ВСР!AA329</f>
        <v>0</v>
      </c>
      <c r="W520" s="120">
        <f>П4ВСР!AB329</f>
        <v>0</v>
      </c>
      <c r="X520" s="118"/>
    </row>
    <row r="521" spans="1:28" ht="185.25" hidden="1" customHeight="1" x14ac:dyDescent="0.25">
      <c r="A521" s="118"/>
      <c r="B521" s="136" t="s">
        <v>143</v>
      </c>
      <c r="C521" s="136" t="s">
        <v>123</v>
      </c>
      <c r="D521" s="161" t="s">
        <v>998</v>
      </c>
      <c r="E521" s="136"/>
      <c r="F521" s="136"/>
      <c r="G521" s="136"/>
      <c r="H521" s="136"/>
      <c r="I521" s="136"/>
      <c r="J521" s="136"/>
      <c r="K521" s="136"/>
      <c r="L521" s="136"/>
      <c r="M521" s="136"/>
      <c r="N521" s="136"/>
      <c r="O521" s="136"/>
      <c r="P521" s="136"/>
      <c r="Q521" s="136"/>
      <c r="R521" s="136"/>
      <c r="S521" s="136"/>
      <c r="T521" s="153" t="s">
        <v>997</v>
      </c>
      <c r="U521" s="120">
        <f>U522</f>
        <v>0</v>
      </c>
      <c r="V521" s="120">
        <v>0</v>
      </c>
      <c r="W521" s="120">
        <v>0</v>
      </c>
      <c r="X521" s="118"/>
    </row>
    <row r="522" spans="1:28" ht="84.75" hidden="1" customHeight="1" x14ac:dyDescent="0.25">
      <c r="A522" s="118"/>
      <c r="B522" s="136" t="s">
        <v>143</v>
      </c>
      <c r="C522" s="136" t="s">
        <v>123</v>
      </c>
      <c r="D522" s="161" t="s">
        <v>998</v>
      </c>
      <c r="E522" s="136"/>
      <c r="F522" s="136"/>
      <c r="G522" s="136"/>
      <c r="H522" s="136"/>
      <c r="I522" s="136"/>
      <c r="J522" s="136"/>
      <c r="K522" s="136"/>
      <c r="L522" s="136"/>
      <c r="M522" s="136"/>
      <c r="N522" s="136"/>
      <c r="O522" s="136"/>
      <c r="P522" s="136"/>
      <c r="Q522" s="136"/>
      <c r="R522" s="136"/>
      <c r="S522" s="136" t="s">
        <v>393</v>
      </c>
      <c r="T522" s="261" t="s">
        <v>397</v>
      </c>
      <c r="U522" s="120">
        <f>П4ВСР!Z331</f>
        <v>0</v>
      </c>
      <c r="V522" s="120">
        <v>0</v>
      </c>
      <c r="W522" s="120">
        <v>0</v>
      </c>
      <c r="X522" s="118"/>
    </row>
    <row r="523" spans="1:28" ht="147" customHeight="1" x14ac:dyDescent="0.25">
      <c r="A523" s="118" t="s">
        <v>396</v>
      </c>
      <c r="B523" s="161" t="s">
        <v>143</v>
      </c>
      <c r="C523" s="161" t="s">
        <v>123</v>
      </c>
      <c r="D523" s="161" t="s">
        <v>794</v>
      </c>
      <c r="E523" s="161"/>
      <c r="F523" s="161"/>
      <c r="G523" s="161"/>
      <c r="H523" s="161"/>
      <c r="I523" s="161"/>
      <c r="J523" s="161"/>
      <c r="K523" s="161"/>
      <c r="L523" s="161"/>
      <c r="M523" s="161"/>
      <c r="N523" s="161"/>
      <c r="O523" s="161"/>
      <c r="P523" s="161"/>
      <c r="Q523" s="161"/>
      <c r="R523" s="161"/>
      <c r="S523" s="161"/>
      <c r="T523" s="153" t="s">
        <v>1268</v>
      </c>
      <c r="U523" s="120">
        <f>U524</f>
        <v>602448.25</v>
      </c>
      <c r="V523" s="120">
        <f>V524</f>
        <v>0</v>
      </c>
      <c r="W523" s="120">
        <f>W524</f>
        <v>0</v>
      </c>
      <c r="X523" s="118" t="s">
        <v>396</v>
      </c>
      <c r="AA523" s="127"/>
    </row>
    <row r="524" spans="1:28" ht="43.5" customHeight="1" x14ac:dyDescent="0.25">
      <c r="A524" s="118" t="s">
        <v>397</v>
      </c>
      <c r="B524" s="163" t="s">
        <v>143</v>
      </c>
      <c r="C524" s="163" t="s">
        <v>123</v>
      </c>
      <c r="D524" s="161" t="s">
        <v>794</v>
      </c>
      <c r="E524" s="163"/>
      <c r="F524" s="163"/>
      <c r="G524" s="163"/>
      <c r="H524" s="163"/>
      <c r="I524" s="163"/>
      <c r="J524" s="163"/>
      <c r="K524" s="163"/>
      <c r="L524" s="163"/>
      <c r="M524" s="163"/>
      <c r="N524" s="163"/>
      <c r="O524" s="163"/>
      <c r="P524" s="163"/>
      <c r="Q524" s="163"/>
      <c r="R524" s="163"/>
      <c r="S524" s="163" t="s">
        <v>393</v>
      </c>
      <c r="T524" s="162" t="s">
        <v>727</v>
      </c>
      <c r="U524" s="120">
        <f>П4ВСР!Z333</f>
        <v>602448.25</v>
      </c>
      <c r="V524" s="120">
        <f>П4ВСР!AA333</f>
        <v>0</v>
      </c>
      <c r="W524" s="120">
        <f>П4ВСР!AB333</f>
        <v>0</v>
      </c>
      <c r="X524" s="118" t="s">
        <v>397</v>
      </c>
      <c r="AA524" s="127"/>
    </row>
    <row r="525" spans="1:28" ht="130.5" customHeight="1" x14ac:dyDescent="0.25">
      <c r="A525" s="118" t="s">
        <v>398</v>
      </c>
      <c r="B525" s="161" t="s">
        <v>143</v>
      </c>
      <c r="C525" s="161" t="s">
        <v>123</v>
      </c>
      <c r="D525" s="161" t="s">
        <v>1001</v>
      </c>
      <c r="E525" s="161"/>
      <c r="F525" s="161"/>
      <c r="G525" s="161"/>
      <c r="H525" s="161"/>
      <c r="I525" s="161"/>
      <c r="J525" s="161"/>
      <c r="K525" s="161"/>
      <c r="L525" s="161"/>
      <c r="M525" s="161"/>
      <c r="N525" s="161"/>
      <c r="O525" s="161"/>
      <c r="P525" s="161"/>
      <c r="Q525" s="161"/>
      <c r="R525" s="161"/>
      <c r="S525" s="161"/>
      <c r="T525" s="153" t="s">
        <v>1268</v>
      </c>
      <c r="U525" s="120">
        <f>U526</f>
        <v>2355024</v>
      </c>
      <c r="V525" s="120">
        <f>V526</f>
        <v>0</v>
      </c>
      <c r="W525" s="120">
        <f>W526</f>
        <v>0</v>
      </c>
      <c r="X525" s="118" t="s">
        <v>398</v>
      </c>
    </row>
    <row r="526" spans="1:28" ht="48.75" customHeight="1" x14ac:dyDescent="0.25">
      <c r="A526" s="118" t="s">
        <v>399</v>
      </c>
      <c r="B526" s="163" t="s">
        <v>143</v>
      </c>
      <c r="C526" s="163" t="s">
        <v>123</v>
      </c>
      <c r="D526" s="161" t="s">
        <v>1001</v>
      </c>
      <c r="E526" s="163"/>
      <c r="F526" s="163"/>
      <c r="G526" s="163"/>
      <c r="H526" s="163"/>
      <c r="I526" s="163"/>
      <c r="J526" s="163"/>
      <c r="K526" s="163"/>
      <c r="L526" s="163"/>
      <c r="M526" s="163"/>
      <c r="N526" s="163"/>
      <c r="O526" s="163"/>
      <c r="P526" s="163"/>
      <c r="Q526" s="163"/>
      <c r="R526" s="163"/>
      <c r="S526" s="163" t="s">
        <v>393</v>
      </c>
      <c r="T526" s="162" t="s">
        <v>727</v>
      </c>
      <c r="U526" s="120">
        <f>П4ВСР!Z335</f>
        <v>2355024</v>
      </c>
      <c r="V526" s="120">
        <f>П4ВСР!AA335</f>
        <v>0</v>
      </c>
      <c r="W526" s="120">
        <f>П4ВСР!AB335</f>
        <v>0</v>
      </c>
      <c r="X526" s="118" t="s">
        <v>399</v>
      </c>
    </row>
    <row r="527" spans="1:28" ht="145.5" customHeight="1" x14ac:dyDescent="0.25">
      <c r="A527" s="118"/>
      <c r="B527" s="163" t="s">
        <v>143</v>
      </c>
      <c r="C527" s="163" t="s">
        <v>123</v>
      </c>
      <c r="D527" s="230" t="s">
        <v>1510</v>
      </c>
      <c r="E527" s="163"/>
      <c r="F527" s="163"/>
      <c r="G527" s="163"/>
      <c r="H527" s="163"/>
      <c r="I527" s="163"/>
      <c r="J527" s="163"/>
      <c r="K527" s="163"/>
      <c r="L527" s="163"/>
      <c r="M527" s="163"/>
      <c r="N527" s="163"/>
      <c r="O527" s="163"/>
      <c r="P527" s="163"/>
      <c r="Q527" s="163"/>
      <c r="R527" s="163"/>
      <c r="S527" s="163"/>
      <c r="T527" s="153" t="s">
        <v>1511</v>
      </c>
      <c r="U527" s="120">
        <f>U528</f>
        <v>810000</v>
      </c>
      <c r="V527" s="120">
        <v>0</v>
      </c>
      <c r="W527" s="120">
        <v>0</v>
      </c>
      <c r="X527" s="118"/>
    </row>
    <row r="528" spans="1:28" ht="41.25" customHeight="1" x14ac:dyDescent="0.25">
      <c r="A528" s="118"/>
      <c r="B528" s="163" t="s">
        <v>143</v>
      </c>
      <c r="C528" s="163" t="s">
        <v>123</v>
      </c>
      <c r="D528" s="230" t="s">
        <v>1510</v>
      </c>
      <c r="E528" s="163"/>
      <c r="F528" s="163"/>
      <c r="G528" s="163"/>
      <c r="H528" s="163"/>
      <c r="I528" s="163"/>
      <c r="J528" s="163"/>
      <c r="K528" s="163"/>
      <c r="L528" s="163"/>
      <c r="M528" s="163"/>
      <c r="N528" s="163"/>
      <c r="O528" s="163"/>
      <c r="P528" s="163"/>
      <c r="Q528" s="163"/>
      <c r="R528" s="163"/>
      <c r="S528" s="163" t="s">
        <v>393</v>
      </c>
      <c r="T528" s="261" t="s">
        <v>727</v>
      </c>
      <c r="U528" s="120">
        <f>П4ВСР!Z336</f>
        <v>810000</v>
      </c>
      <c r="V528" s="120">
        <v>0</v>
      </c>
      <c r="W528" s="120">
        <v>0</v>
      </c>
      <c r="X528" s="118"/>
    </row>
    <row r="529" spans="1:24" ht="53.25" customHeight="1" x14ac:dyDescent="0.25">
      <c r="A529" s="118" t="s">
        <v>240</v>
      </c>
      <c r="B529" s="161" t="s">
        <v>143</v>
      </c>
      <c r="C529" s="161" t="s">
        <v>123</v>
      </c>
      <c r="D529" s="161" t="s">
        <v>610</v>
      </c>
      <c r="E529" s="134"/>
      <c r="F529" s="134"/>
      <c r="G529" s="134"/>
      <c r="H529" s="134"/>
      <c r="I529" s="134"/>
      <c r="J529" s="134"/>
      <c r="K529" s="134"/>
      <c r="L529" s="134"/>
      <c r="M529" s="134"/>
      <c r="N529" s="134"/>
      <c r="O529" s="134"/>
      <c r="P529" s="134"/>
      <c r="Q529" s="134"/>
      <c r="R529" s="134"/>
      <c r="S529" s="134"/>
      <c r="T529" s="153" t="s">
        <v>240</v>
      </c>
      <c r="U529" s="120">
        <f>U531+U530</f>
        <v>400000</v>
      </c>
      <c r="V529" s="120">
        <f>V531+V530</f>
        <v>300000</v>
      </c>
      <c r="W529" s="120">
        <f>W531+W530</f>
        <v>300000</v>
      </c>
      <c r="X529" s="118" t="s">
        <v>240</v>
      </c>
    </row>
    <row r="530" spans="1:24" ht="44.25" customHeight="1" x14ac:dyDescent="0.25">
      <c r="A530" s="118"/>
      <c r="B530" s="136" t="s">
        <v>143</v>
      </c>
      <c r="C530" s="136" t="s">
        <v>123</v>
      </c>
      <c r="D530" s="161" t="s">
        <v>610</v>
      </c>
      <c r="E530" s="136"/>
      <c r="F530" s="136"/>
      <c r="G530" s="136"/>
      <c r="H530" s="136"/>
      <c r="I530" s="136"/>
      <c r="J530" s="136"/>
      <c r="K530" s="136"/>
      <c r="L530" s="136"/>
      <c r="M530" s="136"/>
      <c r="N530" s="136"/>
      <c r="O530" s="136"/>
      <c r="P530" s="136"/>
      <c r="Q530" s="136"/>
      <c r="R530" s="136"/>
      <c r="S530" s="136" t="s">
        <v>275</v>
      </c>
      <c r="T530" s="135" t="s">
        <v>565</v>
      </c>
      <c r="U530" s="120">
        <f>П4ВСР!Z339</f>
        <v>26827.200000000001</v>
      </c>
      <c r="V530" s="120">
        <f>П4ВСР!AA339</f>
        <v>100000</v>
      </c>
      <c r="W530" s="120">
        <f>П4ВСР!AB339</f>
        <v>100000</v>
      </c>
      <c r="X530" s="118"/>
    </row>
    <row r="531" spans="1:24" ht="39.75" customHeight="1" x14ac:dyDescent="0.25">
      <c r="A531" s="118" t="s">
        <v>400</v>
      </c>
      <c r="B531" s="136" t="s">
        <v>143</v>
      </c>
      <c r="C531" s="136" t="s">
        <v>123</v>
      </c>
      <c r="D531" s="161" t="s">
        <v>610</v>
      </c>
      <c r="E531" s="136"/>
      <c r="F531" s="136"/>
      <c r="G531" s="136"/>
      <c r="H531" s="136"/>
      <c r="I531" s="136"/>
      <c r="J531" s="136"/>
      <c r="K531" s="136"/>
      <c r="L531" s="136"/>
      <c r="M531" s="136"/>
      <c r="N531" s="136"/>
      <c r="O531" s="136"/>
      <c r="P531" s="136"/>
      <c r="Q531" s="136"/>
      <c r="R531" s="136"/>
      <c r="S531" s="136" t="s">
        <v>393</v>
      </c>
      <c r="T531" s="135" t="s">
        <v>727</v>
      </c>
      <c r="U531" s="120">
        <f>П4ВСР!Z340</f>
        <v>373172.8</v>
      </c>
      <c r="V531" s="120">
        <f>П4ВСР!AA340</f>
        <v>200000</v>
      </c>
      <c r="W531" s="120">
        <f>П4ВСР!AB340</f>
        <v>200000</v>
      </c>
      <c r="X531" s="118" t="s">
        <v>400</v>
      </c>
    </row>
    <row r="532" spans="1:24" ht="102" customHeight="1" x14ac:dyDescent="0.25">
      <c r="A532" s="118"/>
      <c r="B532" s="136" t="s">
        <v>143</v>
      </c>
      <c r="C532" s="136" t="s">
        <v>123</v>
      </c>
      <c r="D532" s="161" t="s">
        <v>612</v>
      </c>
      <c r="E532" s="136"/>
      <c r="F532" s="136"/>
      <c r="G532" s="136"/>
      <c r="H532" s="136"/>
      <c r="I532" s="136"/>
      <c r="J532" s="136"/>
      <c r="K532" s="136"/>
      <c r="L532" s="136"/>
      <c r="M532" s="136"/>
      <c r="N532" s="136"/>
      <c r="O532" s="136"/>
      <c r="P532" s="136"/>
      <c r="Q532" s="136"/>
      <c r="R532" s="136"/>
      <c r="S532" s="136"/>
      <c r="T532" s="19" t="s">
        <v>611</v>
      </c>
      <c r="U532" s="120">
        <f>U533</f>
        <v>380000</v>
      </c>
      <c r="V532" s="120">
        <f>V533</f>
        <v>0</v>
      </c>
      <c r="W532" s="120">
        <f>W533</f>
        <v>0</v>
      </c>
      <c r="X532" s="118"/>
    </row>
    <row r="533" spans="1:24" ht="37.5" customHeight="1" x14ac:dyDescent="0.25">
      <c r="A533" s="118"/>
      <c r="B533" s="136" t="s">
        <v>143</v>
      </c>
      <c r="C533" s="136" t="s">
        <v>123</v>
      </c>
      <c r="D533" s="161" t="s">
        <v>612</v>
      </c>
      <c r="E533" s="136"/>
      <c r="F533" s="136"/>
      <c r="G533" s="136"/>
      <c r="H533" s="136"/>
      <c r="I533" s="136"/>
      <c r="J533" s="136"/>
      <c r="K533" s="136"/>
      <c r="L533" s="136"/>
      <c r="M533" s="136"/>
      <c r="N533" s="136"/>
      <c r="O533" s="136"/>
      <c r="P533" s="136"/>
      <c r="Q533" s="136"/>
      <c r="R533" s="136"/>
      <c r="S533" s="136" t="s">
        <v>393</v>
      </c>
      <c r="T533" s="223" t="s">
        <v>727</v>
      </c>
      <c r="U533" s="120">
        <f>П4ВСР!Z342</f>
        <v>380000</v>
      </c>
      <c r="V533" s="120">
        <f>П4ВСР!AA342</f>
        <v>0</v>
      </c>
      <c r="W533" s="120">
        <f>П4ВСР!AB342</f>
        <v>0</v>
      </c>
      <c r="X533" s="118"/>
    </row>
    <row r="534" spans="1:24" ht="18.600000000000001" customHeight="1" x14ac:dyDescent="0.25">
      <c r="A534" s="118" t="s">
        <v>164</v>
      </c>
      <c r="B534" s="119" t="s">
        <v>143</v>
      </c>
      <c r="C534" s="119" t="s">
        <v>136</v>
      </c>
      <c r="D534" s="119"/>
      <c r="E534" s="119"/>
      <c r="F534" s="119"/>
      <c r="G534" s="119"/>
      <c r="H534" s="119"/>
      <c r="I534" s="119"/>
      <c r="J534" s="119"/>
      <c r="K534" s="119"/>
      <c r="L534" s="119"/>
      <c r="M534" s="119"/>
      <c r="N534" s="119"/>
      <c r="O534" s="119"/>
      <c r="P534" s="119"/>
      <c r="Q534" s="119"/>
      <c r="R534" s="119"/>
      <c r="S534" s="119"/>
      <c r="T534" s="116" t="s">
        <v>164</v>
      </c>
      <c r="U534" s="120">
        <f>U535+U538+U541+U544+U546+U548+U552</f>
        <v>32255408.079999998</v>
      </c>
      <c r="V534" s="120">
        <f>V535+V538+V541+V544+V546+V548+V552</f>
        <v>32652727.699999999</v>
      </c>
      <c r="W534" s="120">
        <f>W535+W538+W541+W544+W546+W548+W552</f>
        <v>33176027.699999999</v>
      </c>
      <c r="X534" s="118" t="s">
        <v>164</v>
      </c>
    </row>
    <row r="535" spans="1:24" ht="127.5" customHeight="1" x14ac:dyDescent="0.25">
      <c r="A535" s="118" t="s">
        <v>471</v>
      </c>
      <c r="B535" s="161" t="s">
        <v>143</v>
      </c>
      <c r="C535" s="161" t="s">
        <v>136</v>
      </c>
      <c r="D535" s="161" t="s">
        <v>904</v>
      </c>
      <c r="E535" s="161"/>
      <c r="F535" s="161"/>
      <c r="G535" s="161"/>
      <c r="H535" s="161"/>
      <c r="I535" s="161"/>
      <c r="J535" s="161"/>
      <c r="K535" s="161"/>
      <c r="L535" s="161"/>
      <c r="M535" s="161"/>
      <c r="N535" s="161"/>
      <c r="O535" s="161"/>
      <c r="P535" s="161"/>
      <c r="Q535" s="161"/>
      <c r="R535" s="161"/>
      <c r="S535" s="161"/>
      <c r="T535" s="282" t="s">
        <v>1269</v>
      </c>
      <c r="U535" s="120">
        <f>U537+U536</f>
        <v>1621023.45</v>
      </c>
      <c r="V535" s="120">
        <f>V537</f>
        <v>1046600</v>
      </c>
      <c r="W535" s="120">
        <f>W537</f>
        <v>1569900</v>
      </c>
      <c r="X535" s="118" t="s">
        <v>471</v>
      </c>
    </row>
    <row r="536" spans="1:24" ht="45" hidden="1" customHeight="1" x14ac:dyDescent="0.25">
      <c r="A536" s="118"/>
      <c r="B536" s="136" t="s">
        <v>143</v>
      </c>
      <c r="C536" s="136" t="s">
        <v>136</v>
      </c>
      <c r="D536" s="161" t="s">
        <v>904</v>
      </c>
      <c r="E536" s="136"/>
      <c r="F536" s="136"/>
      <c r="G536" s="136"/>
      <c r="H536" s="136"/>
      <c r="I536" s="136"/>
      <c r="J536" s="136"/>
      <c r="K536" s="136"/>
      <c r="L536" s="136"/>
      <c r="M536" s="136"/>
      <c r="N536" s="136"/>
      <c r="O536" s="136"/>
      <c r="P536" s="136"/>
      <c r="Q536" s="136"/>
      <c r="R536" s="136"/>
      <c r="S536" s="136" t="s">
        <v>275</v>
      </c>
      <c r="T536" s="135" t="s">
        <v>778</v>
      </c>
      <c r="U536" s="120">
        <f>П4ВСР!Z699</f>
        <v>15340.07</v>
      </c>
      <c r="V536" s="120">
        <v>0</v>
      </c>
      <c r="W536" s="120">
        <v>0</v>
      </c>
      <c r="X536" s="118"/>
    </row>
    <row r="537" spans="1:24" ht="49.5" customHeight="1" x14ac:dyDescent="0.25">
      <c r="A537" s="118" t="s">
        <v>472</v>
      </c>
      <c r="B537" s="136" t="s">
        <v>143</v>
      </c>
      <c r="C537" s="136" t="s">
        <v>136</v>
      </c>
      <c r="D537" s="161" t="s">
        <v>904</v>
      </c>
      <c r="E537" s="136"/>
      <c r="F537" s="136"/>
      <c r="G537" s="136"/>
      <c r="H537" s="136"/>
      <c r="I537" s="136"/>
      <c r="J537" s="136"/>
      <c r="K537" s="136"/>
      <c r="L537" s="136"/>
      <c r="M537" s="136"/>
      <c r="N537" s="136"/>
      <c r="O537" s="136"/>
      <c r="P537" s="136"/>
      <c r="Q537" s="136"/>
      <c r="R537" s="136"/>
      <c r="S537" s="136" t="s">
        <v>393</v>
      </c>
      <c r="T537" s="135" t="s">
        <v>727</v>
      </c>
      <c r="U537" s="120">
        <f>П4ВСР!Z700</f>
        <v>1605683.38</v>
      </c>
      <c r="V537" s="120">
        <f>П4ВСР!AA700</f>
        <v>1046600</v>
      </c>
      <c r="W537" s="120">
        <f>П4ВСР!AB700</f>
        <v>1569900</v>
      </c>
      <c r="X537" s="118" t="s">
        <v>472</v>
      </c>
    </row>
    <row r="538" spans="1:24" ht="130.5" customHeight="1" x14ac:dyDescent="0.25">
      <c r="A538" s="118" t="s">
        <v>473</v>
      </c>
      <c r="B538" s="161" t="s">
        <v>143</v>
      </c>
      <c r="C538" s="161" t="s">
        <v>136</v>
      </c>
      <c r="D538" s="161" t="s">
        <v>905</v>
      </c>
      <c r="E538" s="161"/>
      <c r="F538" s="161"/>
      <c r="G538" s="161"/>
      <c r="H538" s="161"/>
      <c r="I538" s="161"/>
      <c r="J538" s="161"/>
      <c r="K538" s="161"/>
      <c r="L538" s="161"/>
      <c r="M538" s="161"/>
      <c r="N538" s="161"/>
      <c r="O538" s="161"/>
      <c r="P538" s="161"/>
      <c r="Q538" s="161"/>
      <c r="R538" s="161"/>
      <c r="S538" s="161"/>
      <c r="T538" s="291" t="s">
        <v>1270</v>
      </c>
      <c r="U538" s="120">
        <f>U540+U539</f>
        <v>60777.96</v>
      </c>
      <c r="V538" s="120">
        <f>V540+V539</f>
        <v>63100</v>
      </c>
      <c r="W538" s="120">
        <f>W540+W539</f>
        <v>63100</v>
      </c>
      <c r="X538" s="118" t="s">
        <v>473</v>
      </c>
    </row>
    <row r="539" spans="1:24" ht="54.75" customHeight="1" x14ac:dyDescent="0.25">
      <c r="A539" s="118"/>
      <c r="B539" s="136" t="s">
        <v>143</v>
      </c>
      <c r="C539" s="136" t="s">
        <v>136</v>
      </c>
      <c r="D539" s="161" t="s">
        <v>905</v>
      </c>
      <c r="E539" s="161"/>
      <c r="F539" s="161"/>
      <c r="G539" s="161"/>
      <c r="H539" s="161"/>
      <c r="I539" s="161"/>
      <c r="J539" s="161"/>
      <c r="K539" s="161"/>
      <c r="L539" s="161"/>
      <c r="M539" s="161"/>
      <c r="N539" s="161"/>
      <c r="O539" s="161"/>
      <c r="P539" s="161"/>
      <c r="Q539" s="161"/>
      <c r="R539" s="161"/>
      <c r="S539" s="161" t="s">
        <v>275</v>
      </c>
      <c r="T539" s="135" t="s">
        <v>565</v>
      </c>
      <c r="U539" s="120">
        <f>П4ВСР!Z702</f>
        <v>900.35000000000036</v>
      </c>
      <c r="V539" s="120">
        <f>П4ВСР!AA702</f>
        <v>8500.35</v>
      </c>
      <c r="W539" s="120">
        <f>П4ВСР!AB702</f>
        <v>0</v>
      </c>
      <c r="X539" s="118"/>
    </row>
    <row r="540" spans="1:24" ht="40.5" customHeight="1" x14ac:dyDescent="0.25">
      <c r="A540" s="118" t="s">
        <v>474</v>
      </c>
      <c r="B540" s="136" t="s">
        <v>143</v>
      </c>
      <c r="C540" s="136" t="s">
        <v>136</v>
      </c>
      <c r="D540" s="161" t="s">
        <v>905</v>
      </c>
      <c r="E540" s="136"/>
      <c r="F540" s="136"/>
      <c r="G540" s="136"/>
      <c r="H540" s="136"/>
      <c r="I540" s="136"/>
      <c r="J540" s="136"/>
      <c r="K540" s="136"/>
      <c r="L540" s="136"/>
      <c r="M540" s="136"/>
      <c r="N540" s="136"/>
      <c r="O540" s="136"/>
      <c r="P540" s="136"/>
      <c r="Q540" s="136"/>
      <c r="R540" s="136"/>
      <c r="S540" s="136" t="s">
        <v>393</v>
      </c>
      <c r="T540" s="135" t="s">
        <v>727</v>
      </c>
      <c r="U540" s="120">
        <f>П4ВСР!Z703</f>
        <v>59877.61</v>
      </c>
      <c r="V540" s="120">
        <f>П4ВСР!AA703</f>
        <v>54599.65</v>
      </c>
      <c r="W540" s="120">
        <f>П4ВСР!AB703</f>
        <v>63100</v>
      </c>
      <c r="X540" s="118" t="s">
        <v>474</v>
      </c>
    </row>
    <row r="541" spans="1:24" ht="144" customHeight="1" x14ac:dyDescent="0.25">
      <c r="A541" s="118" t="s">
        <v>475</v>
      </c>
      <c r="B541" s="161" t="s">
        <v>143</v>
      </c>
      <c r="C541" s="161" t="s">
        <v>136</v>
      </c>
      <c r="D541" s="161" t="s">
        <v>906</v>
      </c>
      <c r="E541" s="119"/>
      <c r="F541" s="119"/>
      <c r="G541" s="119"/>
      <c r="H541" s="119"/>
      <c r="I541" s="119"/>
      <c r="J541" s="119"/>
      <c r="K541" s="119"/>
      <c r="L541" s="119"/>
      <c r="M541" s="119"/>
      <c r="N541" s="119"/>
      <c r="O541" s="119"/>
      <c r="P541" s="119"/>
      <c r="Q541" s="119"/>
      <c r="R541" s="119"/>
      <c r="S541" s="119"/>
      <c r="T541" s="282" t="s">
        <v>1271</v>
      </c>
      <c r="U541" s="120">
        <f>U543+U542</f>
        <v>12645792.370000001</v>
      </c>
      <c r="V541" s="120">
        <f>V543</f>
        <v>13786800</v>
      </c>
      <c r="W541" s="120">
        <f>W543</f>
        <v>13786800</v>
      </c>
      <c r="X541" s="118" t="s">
        <v>475</v>
      </c>
    </row>
    <row r="542" spans="1:24" ht="1.5" hidden="1" customHeight="1" x14ac:dyDescent="0.25">
      <c r="A542" s="118"/>
      <c r="B542" s="136" t="s">
        <v>143</v>
      </c>
      <c r="C542" s="136" t="s">
        <v>136</v>
      </c>
      <c r="D542" s="161" t="s">
        <v>906</v>
      </c>
      <c r="E542" s="136"/>
      <c r="F542" s="136"/>
      <c r="G542" s="136"/>
      <c r="H542" s="136"/>
      <c r="I542" s="136"/>
      <c r="J542" s="136"/>
      <c r="K542" s="136"/>
      <c r="L542" s="136"/>
      <c r="M542" s="136"/>
      <c r="N542" s="136"/>
      <c r="O542" s="136"/>
      <c r="P542" s="136"/>
      <c r="Q542" s="136"/>
      <c r="R542" s="136"/>
      <c r="S542" s="136" t="s">
        <v>275</v>
      </c>
      <c r="T542" s="135" t="s">
        <v>778</v>
      </c>
      <c r="U542" s="120">
        <f>П4ВСР!Z705</f>
        <v>0</v>
      </c>
      <c r="V542" s="120">
        <v>0</v>
      </c>
      <c r="W542" s="120">
        <v>0</v>
      </c>
      <c r="X542" s="118"/>
    </row>
    <row r="543" spans="1:24" ht="42" customHeight="1" x14ac:dyDescent="0.25">
      <c r="A543" s="118" t="s">
        <v>476</v>
      </c>
      <c r="B543" s="136" t="s">
        <v>143</v>
      </c>
      <c r="C543" s="136" t="s">
        <v>136</v>
      </c>
      <c r="D543" s="161" t="s">
        <v>906</v>
      </c>
      <c r="E543" s="136"/>
      <c r="F543" s="136"/>
      <c r="G543" s="136"/>
      <c r="H543" s="136"/>
      <c r="I543" s="136"/>
      <c r="J543" s="136"/>
      <c r="K543" s="136"/>
      <c r="L543" s="136"/>
      <c r="M543" s="136"/>
      <c r="N543" s="136"/>
      <c r="O543" s="136"/>
      <c r="P543" s="136"/>
      <c r="Q543" s="136"/>
      <c r="R543" s="136"/>
      <c r="S543" s="136" t="s">
        <v>393</v>
      </c>
      <c r="T543" s="135" t="s">
        <v>727</v>
      </c>
      <c r="U543" s="120">
        <f>П4ВСР!Z706</f>
        <v>12645792.370000001</v>
      </c>
      <c r="V543" s="120">
        <f>П4ВСР!AA706</f>
        <v>13786800</v>
      </c>
      <c r="W543" s="120">
        <f>П4ВСР!AB706</f>
        <v>13786800</v>
      </c>
      <c r="X543" s="118" t="s">
        <v>476</v>
      </c>
    </row>
    <row r="544" spans="1:24" ht="213.75" customHeight="1" x14ac:dyDescent="0.25">
      <c r="A544" s="118" t="s">
        <v>228</v>
      </c>
      <c r="B544" s="136" t="s">
        <v>143</v>
      </c>
      <c r="C544" s="136" t="s">
        <v>136</v>
      </c>
      <c r="D544" s="230" t="s">
        <v>902</v>
      </c>
      <c r="E544" s="136"/>
      <c r="F544" s="136"/>
      <c r="G544" s="136"/>
      <c r="H544" s="136"/>
      <c r="I544" s="136"/>
      <c r="J544" s="136"/>
      <c r="K544" s="136"/>
      <c r="L544" s="136"/>
      <c r="M544" s="136"/>
      <c r="N544" s="136"/>
      <c r="O544" s="136"/>
      <c r="P544" s="136"/>
      <c r="Q544" s="136"/>
      <c r="R544" s="136"/>
      <c r="S544" s="136"/>
      <c r="T544" s="153" t="s">
        <v>1290</v>
      </c>
      <c r="U544" s="120">
        <f>U545</f>
        <v>3731723.1799999997</v>
      </c>
      <c r="V544" s="120">
        <f>V545</f>
        <v>5266800</v>
      </c>
      <c r="W544" s="120">
        <f>W545</f>
        <v>5266800</v>
      </c>
      <c r="X544" s="118" t="s">
        <v>228</v>
      </c>
    </row>
    <row r="545" spans="1:24" ht="57.75" customHeight="1" x14ac:dyDescent="0.25">
      <c r="A545" s="118" t="s">
        <v>401</v>
      </c>
      <c r="B545" s="161" t="s">
        <v>143</v>
      </c>
      <c r="C545" s="161" t="s">
        <v>136</v>
      </c>
      <c r="D545" s="230" t="s">
        <v>902</v>
      </c>
      <c r="E545" s="161"/>
      <c r="F545" s="161"/>
      <c r="G545" s="161"/>
      <c r="H545" s="161"/>
      <c r="I545" s="161"/>
      <c r="J545" s="161"/>
      <c r="K545" s="161"/>
      <c r="L545" s="161"/>
      <c r="M545" s="161"/>
      <c r="N545" s="161"/>
      <c r="O545" s="161"/>
      <c r="P545" s="161"/>
      <c r="Q545" s="161"/>
      <c r="R545" s="161"/>
      <c r="S545" s="161" t="s">
        <v>350</v>
      </c>
      <c r="T545" s="135" t="s">
        <v>725</v>
      </c>
      <c r="U545" s="120">
        <f>П4ВСР!Z345</f>
        <v>3731723.1799999997</v>
      </c>
      <c r="V545" s="120">
        <f>П4ВСР!AA345</f>
        <v>5266800</v>
      </c>
      <c r="W545" s="120">
        <f>П4ВСР!AB345</f>
        <v>5266800</v>
      </c>
      <c r="X545" s="118" t="s">
        <v>401</v>
      </c>
    </row>
    <row r="546" spans="1:24" ht="242.25" hidden="1" customHeight="1" x14ac:dyDescent="0.25">
      <c r="A546" s="118" t="s">
        <v>229</v>
      </c>
      <c r="B546" s="161" t="s">
        <v>143</v>
      </c>
      <c r="C546" s="161" t="s">
        <v>136</v>
      </c>
      <c r="D546" s="161" t="s">
        <v>614</v>
      </c>
      <c r="E546" s="161"/>
      <c r="F546" s="161"/>
      <c r="G546" s="161"/>
      <c r="H546" s="161"/>
      <c r="I546" s="161"/>
      <c r="J546" s="161"/>
      <c r="K546" s="161"/>
      <c r="L546" s="161"/>
      <c r="M546" s="161"/>
      <c r="N546" s="161"/>
      <c r="O546" s="161"/>
      <c r="P546" s="161"/>
      <c r="Q546" s="161"/>
      <c r="R546" s="161"/>
      <c r="S546" s="161"/>
      <c r="T546" s="153" t="s">
        <v>613</v>
      </c>
      <c r="U546" s="120">
        <f>U547</f>
        <v>0</v>
      </c>
      <c r="V546" s="120">
        <f>V547</f>
        <v>0</v>
      </c>
      <c r="W546" s="120">
        <f>W547</f>
        <v>0</v>
      </c>
      <c r="X546" s="118" t="s">
        <v>229</v>
      </c>
    </row>
    <row r="547" spans="1:24" ht="0.75" hidden="1" customHeight="1" x14ac:dyDescent="0.25">
      <c r="A547" s="124" t="s">
        <v>402</v>
      </c>
      <c r="B547" s="136" t="s">
        <v>143</v>
      </c>
      <c r="C547" s="136" t="s">
        <v>136</v>
      </c>
      <c r="D547" s="161" t="s">
        <v>614</v>
      </c>
      <c r="E547" s="136"/>
      <c r="F547" s="136"/>
      <c r="G547" s="136"/>
      <c r="H547" s="136"/>
      <c r="I547" s="136"/>
      <c r="J547" s="136"/>
      <c r="K547" s="136"/>
      <c r="L547" s="136"/>
      <c r="M547" s="136"/>
      <c r="N547" s="136"/>
      <c r="O547" s="136"/>
      <c r="P547" s="136"/>
      <c r="Q547" s="136"/>
      <c r="R547" s="136"/>
      <c r="S547" s="136" t="s">
        <v>350</v>
      </c>
      <c r="T547" s="154" t="s">
        <v>402</v>
      </c>
      <c r="U547" s="120">
        <f>П4ВСР!Z347</f>
        <v>0</v>
      </c>
      <c r="V547" s="120">
        <f>П4ВСР!AA347</f>
        <v>0</v>
      </c>
      <c r="W547" s="120">
        <f>П4ВСР!AB347</f>
        <v>0</v>
      </c>
      <c r="X547" s="124" t="s">
        <v>402</v>
      </c>
    </row>
    <row r="548" spans="1:24" ht="150.75" customHeight="1" x14ac:dyDescent="0.25">
      <c r="A548" s="124" t="s">
        <v>232</v>
      </c>
      <c r="B548" s="161" t="s">
        <v>143</v>
      </c>
      <c r="C548" s="161" t="s">
        <v>136</v>
      </c>
      <c r="D548" s="161" t="s">
        <v>907</v>
      </c>
      <c r="E548" s="161"/>
      <c r="F548" s="161"/>
      <c r="G548" s="161"/>
      <c r="H548" s="161"/>
      <c r="I548" s="161"/>
      <c r="J548" s="161"/>
      <c r="K548" s="161"/>
      <c r="L548" s="161"/>
      <c r="M548" s="161"/>
      <c r="N548" s="161"/>
      <c r="O548" s="161"/>
      <c r="P548" s="161"/>
      <c r="Q548" s="161"/>
      <c r="R548" s="161"/>
      <c r="S548" s="161"/>
      <c r="T548" s="281" t="s">
        <v>1272</v>
      </c>
      <c r="U548" s="120">
        <f>U550+U551+U549</f>
        <v>14196091.119999997</v>
      </c>
      <c r="V548" s="120">
        <f>V550+V551+V549</f>
        <v>12489427.699999999</v>
      </c>
      <c r="W548" s="120">
        <f>W550+W551+W549</f>
        <v>12489427.699999999</v>
      </c>
      <c r="X548" s="124" t="s">
        <v>232</v>
      </c>
    </row>
    <row r="549" spans="1:24" ht="46.5" customHeight="1" x14ac:dyDescent="0.25">
      <c r="A549" s="124"/>
      <c r="B549" s="136" t="s">
        <v>143</v>
      </c>
      <c r="C549" s="136" t="s">
        <v>136</v>
      </c>
      <c r="D549" s="161" t="s">
        <v>907</v>
      </c>
      <c r="E549" s="136"/>
      <c r="F549" s="136"/>
      <c r="G549" s="136"/>
      <c r="H549" s="136"/>
      <c r="I549" s="136"/>
      <c r="J549" s="136"/>
      <c r="K549" s="136"/>
      <c r="L549" s="136"/>
      <c r="M549" s="136"/>
      <c r="N549" s="136"/>
      <c r="O549" s="136"/>
      <c r="P549" s="136"/>
      <c r="Q549" s="136"/>
      <c r="R549" s="136"/>
      <c r="S549" s="136" t="s">
        <v>275</v>
      </c>
      <c r="T549" s="135" t="s">
        <v>565</v>
      </c>
      <c r="U549" s="120">
        <f>П4ВСР!Z708</f>
        <v>39546</v>
      </c>
      <c r="V549" s="120">
        <f>П4ВСР!AA708</f>
        <v>30000</v>
      </c>
      <c r="W549" s="120">
        <f>П4ВСР!AB708</f>
        <v>30000</v>
      </c>
      <c r="X549" s="124"/>
    </row>
    <row r="550" spans="1:24" ht="46.5" customHeight="1" x14ac:dyDescent="0.25">
      <c r="A550" s="124" t="s">
        <v>477</v>
      </c>
      <c r="B550" s="136" t="s">
        <v>143</v>
      </c>
      <c r="C550" s="136" t="s">
        <v>136</v>
      </c>
      <c r="D550" s="161" t="s">
        <v>907</v>
      </c>
      <c r="E550" s="136"/>
      <c r="F550" s="136"/>
      <c r="G550" s="136"/>
      <c r="H550" s="136"/>
      <c r="I550" s="136"/>
      <c r="J550" s="136"/>
      <c r="K550" s="136"/>
      <c r="L550" s="136"/>
      <c r="M550" s="136"/>
      <c r="N550" s="136"/>
      <c r="O550" s="136"/>
      <c r="P550" s="136"/>
      <c r="Q550" s="136"/>
      <c r="R550" s="136"/>
      <c r="S550" s="136" t="s">
        <v>393</v>
      </c>
      <c r="T550" s="154" t="s">
        <v>727</v>
      </c>
      <c r="U550" s="120">
        <f>П4ВСР!Z709</f>
        <v>4124744.29</v>
      </c>
      <c r="V550" s="120">
        <f>П4ВСР!AA709</f>
        <v>3219985</v>
      </c>
      <c r="W550" s="120">
        <f>П4ВСР!AB709</f>
        <v>3219985</v>
      </c>
      <c r="X550" s="124" t="s">
        <v>477</v>
      </c>
    </row>
    <row r="551" spans="1:24" ht="63" customHeight="1" x14ac:dyDescent="0.25">
      <c r="A551" s="124"/>
      <c r="B551" s="136" t="s">
        <v>143</v>
      </c>
      <c r="C551" s="136" t="s">
        <v>136</v>
      </c>
      <c r="D551" s="161" t="s">
        <v>907</v>
      </c>
      <c r="E551" s="136"/>
      <c r="F551" s="136"/>
      <c r="G551" s="136"/>
      <c r="H551" s="136"/>
      <c r="I551" s="136"/>
      <c r="J551" s="136"/>
      <c r="K551" s="136"/>
      <c r="L551" s="136"/>
      <c r="M551" s="136"/>
      <c r="N551" s="136"/>
      <c r="O551" s="136"/>
      <c r="P551" s="136"/>
      <c r="Q551" s="136"/>
      <c r="R551" s="136"/>
      <c r="S551" s="136" t="s">
        <v>294</v>
      </c>
      <c r="T551" s="135" t="s">
        <v>708</v>
      </c>
      <c r="U551" s="120">
        <f>П4ВСР!Z710</f>
        <v>10031800.829999998</v>
      </c>
      <c r="V551" s="120">
        <f>П4ВСР!AA710</f>
        <v>9239442.6999999993</v>
      </c>
      <c r="W551" s="120">
        <f>П4ВСР!AB710</f>
        <v>9239442.6999999993</v>
      </c>
      <c r="X551" s="124"/>
    </row>
    <row r="552" spans="1:24" ht="162" hidden="1" customHeight="1" x14ac:dyDescent="0.25">
      <c r="A552" s="124"/>
      <c r="B552" s="161"/>
      <c r="C552" s="161"/>
      <c r="D552" s="161"/>
      <c r="E552" s="161"/>
      <c r="F552" s="161"/>
      <c r="G552" s="161"/>
      <c r="H552" s="161"/>
      <c r="I552" s="161"/>
      <c r="J552" s="161"/>
      <c r="K552" s="161"/>
      <c r="L552" s="161"/>
      <c r="M552" s="161"/>
      <c r="N552" s="161"/>
      <c r="O552" s="161"/>
      <c r="P552" s="161"/>
      <c r="Q552" s="161"/>
      <c r="R552" s="161"/>
      <c r="S552" s="161"/>
      <c r="T552" s="153"/>
      <c r="U552" s="120"/>
      <c r="V552" s="120"/>
      <c r="W552" s="120"/>
      <c r="X552" s="124"/>
    </row>
    <row r="553" spans="1:24" ht="102.75" hidden="1" customHeight="1" x14ac:dyDescent="0.25">
      <c r="A553" s="124"/>
      <c r="B553" s="136"/>
      <c r="C553" s="136"/>
      <c r="D553" s="161"/>
      <c r="E553" s="136"/>
      <c r="F553" s="136"/>
      <c r="G553" s="136"/>
      <c r="H553" s="136"/>
      <c r="I553" s="136"/>
      <c r="J553" s="136"/>
      <c r="K553" s="136"/>
      <c r="L553" s="136"/>
      <c r="M553" s="136"/>
      <c r="N553" s="136"/>
      <c r="O553" s="136"/>
      <c r="P553" s="136"/>
      <c r="Q553" s="136"/>
      <c r="R553" s="136"/>
      <c r="S553" s="136"/>
      <c r="T553" s="154"/>
      <c r="U553" s="120"/>
      <c r="V553" s="120"/>
      <c r="W553" s="120"/>
      <c r="X553" s="124"/>
    </row>
    <row r="554" spans="1:24" ht="57" hidden="1" customHeight="1" x14ac:dyDescent="0.25">
      <c r="A554" s="124"/>
      <c r="B554" s="136"/>
      <c r="C554" s="136"/>
      <c r="D554" s="161"/>
      <c r="E554" s="136"/>
      <c r="F554" s="136"/>
      <c r="G554" s="136"/>
      <c r="H554" s="136"/>
      <c r="I554" s="136"/>
      <c r="J554" s="136"/>
      <c r="K554" s="136"/>
      <c r="L554" s="136"/>
      <c r="M554" s="136"/>
      <c r="N554" s="136"/>
      <c r="O554" s="136"/>
      <c r="P554" s="136"/>
      <c r="Q554" s="136"/>
      <c r="R554" s="136"/>
      <c r="S554" s="136"/>
      <c r="T554" s="135"/>
      <c r="U554" s="120"/>
      <c r="V554" s="120"/>
      <c r="W554" s="120"/>
      <c r="X554" s="124"/>
    </row>
    <row r="555" spans="1:24" ht="45.75" customHeight="1" x14ac:dyDescent="0.25">
      <c r="A555" s="124"/>
      <c r="B555" s="136" t="s">
        <v>143</v>
      </c>
      <c r="C555" s="136" t="s">
        <v>125</v>
      </c>
      <c r="D555" s="161"/>
      <c r="E555" s="136"/>
      <c r="F555" s="136"/>
      <c r="G555" s="136"/>
      <c r="H555" s="136"/>
      <c r="I555" s="136"/>
      <c r="J555" s="136"/>
      <c r="K555" s="136"/>
      <c r="L555" s="136"/>
      <c r="M555" s="136"/>
      <c r="N555" s="136"/>
      <c r="O555" s="136"/>
      <c r="P555" s="136"/>
      <c r="Q555" s="136"/>
      <c r="R555" s="136"/>
      <c r="S555" s="136"/>
      <c r="T555" s="153" t="s">
        <v>753</v>
      </c>
      <c r="U555" s="120">
        <f>U556</f>
        <v>1993052.68</v>
      </c>
      <c r="V555" s="120">
        <f>V556</f>
        <v>2069476.88</v>
      </c>
      <c r="W555" s="120">
        <f>W556</f>
        <v>2142929.7000000002</v>
      </c>
      <c r="X555" s="124"/>
    </row>
    <row r="556" spans="1:24" ht="141.75" customHeight="1" x14ac:dyDescent="0.25">
      <c r="A556" s="124"/>
      <c r="B556" s="136" t="s">
        <v>143</v>
      </c>
      <c r="C556" s="136" t="s">
        <v>125</v>
      </c>
      <c r="D556" s="161" t="s">
        <v>908</v>
      </c>
      <c r="E556" s="136"/>
      <c r="F556" s="136"/>
      <c r="G556" s="136"/>
      <c r="H556" s="136"/>
      <c r="I556" s="136"/>
      <c r="J556" s="136"/>
      <c r="K556" s="136"/>
      <c r="L556" s="136"/>
      <c r="M556" s="136"/>
      <c r="N556" s="136"/>
      <c r="O556" s="136"/>
      <c r="P556" s="136"/>
      <c r="Q556" s="136"/>
      <c r="R556" s="136"/>
      <c r="S556" s="136"/>
      <c r="T556" s="282" t="s">
        <v>1296</v>
      </c>
      <c r="U556" s="120">
        <f>U557+U558</f>
        <v>1993052.68</v>
      </c>
      <c r="V556" s="120">
        <f>V557+V558</f>
        <v>2069476.88</v>
      </c>
      <c r="W556" s="120">
        <f>W557+W558</f>
        <v>2142929.7000000002</v>
      </c>
      <c r="X556" s="124"/>
    </row>
    <row r="557" spans="1:24" ht="105.75" customHeight="1" x14ac:dyDescent="0.25">
      <c r="A557" s="124"/>
      <c r="B557" s="136" t="s">
        <v>143</v>
      </c>
      <c r="C557" s="136" t="s">
        <v>125</v>
      </c>
      <c r="D557" s="161" t="s">
        <v>908</v>
      </c>
      <c r="E557" s="136"/>
      <c r="F557" s="136"/>
      <c r="G557" s="136"/>
      <c r="H557" s="136"/>
      <c r="I557" s="136"/>
      <c r="J557" s="136"/>
      <c r="K557" s="136"/>
      <c r="L557" s="136"/>
      <c r="M557" s="136"/>
      <c r="N557" s="136"/>
      <c r="O557" s="136"/>
      <c r="P557" s="136"/>
      <c r="Q557" s="136"/>
      <c r="R557" s="136"/>
      <c r="S557" s="136" t="s">
        <v>38</v>
      </c>
      <c r="T557" s="154" t="s">
        <v>723</v>
      </c>
      <c r="U557" s="120">
        <f>П4ВСР!Z716</f>
        <v>1830635.68</v>
      </c>
      <c r="V557" s="120">
        <f>П4ВСР!AA716</f>
        <v>1774349.73</v>
      </c>
      <c r="W557" s="120">
        <f>П4ВСР!AB716</f>
        <v>1847802.5500000003</v>
      </c>
      <c r="X557" s="124"/>
    </row>
    <row r="558" spans="1:24" ht="57" customHeight="1" x14ac:dyDescent="0.25">
      <c r="A558" s="124"/>
      <c r="B558" s="136" t="s">
        <v>143</v>
      </c>
      <c r="C558" s="136" t="s">
        <v>125</v>
      </c>
      <c r="D558" s="161" t="s">
        <v>908</v>
      </c>
      <c r="E558" s="136"/>
      <c r="F558" s="136"/>
      <c r="G558" s="136"/>
      <c r="H558" s="136"/>
      <c r="I558" s="136"/>
      <c r="J558" s="136"/>
      <c r="K558" s="136"/>
      <c r="L558" s="136"/>
      <c r="M558" s="136"/>
      <c r="N558" s="136"/>
      <c r="O558" s="136"/>
      <c r="P558" s="136"/>
      <c r="Q558" s="136"/>
      <c r="R558" s="136"/>
      <c r="S558" s="136" t="s">
        <v>275</v>
      </c>
      <c r="T558" s="135" t="s">
        <v>565</v>
      </c>
      <c r="U558" s="120">
        <f>П4ВСР!Z717</f>
        <v>162417.00000000003</v>
      </c>
      <c r="V558" s="120">
        <f>П4ВСР!AA717</f>
        <v>295127.15000000002</v>
      </c>
      <c r="W558" s="120">
        <f>П4ВСР!AB717</f>
        <v>295127.15000000002</v>
      </c>
      <c r="X558" s="124"/>
    </row>
    <row r="559" spans="1:24" ht="18.600000000000001" customHeight="1" x14ac:dyDescent="0.25">
      <c r="A559" s="116" t="s">
        <v>403</v>
      </c>
      <c r="B559" s="126" t="s">
        <v>128</v>
      </c>
      <c r="C559" s="126" t="s">
        <v>133</v>
      </c>
      <c r="D559" s="126"/>
      <c r="E559" s="126"/>
      <c r="F559" s="126"/>
      <c r="G559" s="126"/>
      <c r="H559" s="126"/>
      <c r="I559" s="126"/>
      <c r="J559" s="126"/>
      <c r="K559" s="126"/>
      <c r="L559" s="126"/>
      <c r="M559" s="126"/>
      <c r="N559" s="126"/>
      <c r="O559" s="126"/>
      <c r="P559" s="126"/>
      <c r="Q559" s="126"/>
      <c r="R559" s="126"/>
      <c r="S559" s="126"/>
      <c r="T559" s="116" t="s">
        <v>403</v>
      </c>
      <c r="U559" s="117">
        <f>U560+U567</f>
        <v>2678209.73</v>
      </c>
      <c r="V559" s="117">
        <f>V560+V567</f>
        <v>250000</v>
      </c>
      <c r="W559" s="117">
        <f>W560+W567</f>
        <v>250000</v>
      </c>
      <c r="X559" s="116" t="s">
        <v>403</v>
      </c>
    </row>
    <row r="560" spans="1:24" ht="18.600000000000001" customHeight="1" x14ac:dyDescent="0.25">
      <c r="A560" s="118" t="s">
        <v>119</v>
      </c>
      <c r="B560" s="119" t="s">
        <v>128</v>
      </c>
      <c r="C560" s="119" t="s">
        <v>122</v>
      </c>
      <c r="D560" s="119"/>
      <c r="E560" s="119"/>
      <c r="F560" s="119"/>
      <c r="G560" s="119"/>
      <c r="H560" s="119"/>
      <c r="I560" s="119"/>
      <c r="J560" s="119"/>
      <c r="K560" s="119"/>
      <c r="L560" s="119"/>
      <c r="M560" s="119"/>
      <c r="N560" s="119"/>
      <c r="O560" s="119"/>
      <c r="P560" s="119"/>
      <c r="Q560" s="119"/>
      <c r="R560" s="119"/>
      <c r="S560" s="119"/>
      <c r="T560" s="118" t="s">
        <v>119</v>
      </c>
      <c r="U560" s="120">
        <f>U561+U563+U565</f>
        <v>681837.4</v>
      </c>
      <c r="V560" s="120">
        <f>V561+V563</f>
        <v>116000</v>
      </c>
      <c r="W560" s="120">
        <f>W561+W563</f>
        <v>150000</v>
      </c>
      <c r="X560" s="118" t="s">
        <v>119</v>
      </c>
    </row>
    <row r="561" spans="1:27" ht="143.25" customHeight="1" x14ac:dyDescent="0.25">
      <c r="A561" s="118" t="s">
        <v>404</v>
      </c>
      <c r="B561" s="161" t="s">
        <v>128</v>
      </c>
      <c r="C561" s="161" t="s">
        <v>122</v>
      </c>
      <c r="D561" s="161" t="s">
        <v>615</v>
      </c>
      <c r="E561" s="161"/>
      <c r="F561" s="161"/>
      <c r="G561" s="161"/>
      <c r="H561" s="161"/>
      <c r="I561" s="161"/>
      <c r="J561" s="161"/>
      <c r="K561" s="161"/>
      <c r="L561" s="161"/>
      <c r="M561" s="161"/>
      <c r="N561" s="161"/>
      <c r="O561" s="161"/>
      <c r="P561" s="161"/>
      <c r="Q561" s="161"/>
      <c r="R561" s="161"/>
      <c r="S561" s="161"/>
      <c r="T561" s="153" t="s">
        <v>1273</v>
      </c>
      <c r="U561" s="120">
        <f>U562</f>
        <v>680027.4</v>
      </c>
      <c r="V561" s="120">
        <f>V562</f>
        <v>66000</v>
      </c>
      <c r="W561" s="120">
        <f>W562</f>
        <v>100000</v>
      </c>
      <c r="X561" s="118" t="s">
        <v>404</v>
      </c>
      <c r="AA561" s="127"/>
    </row>
    <row r="562" spans="1:27" ht="50.25" customHeight="1" x14ac:dyDescent="0.25">
      <c r="A562" s="118" t="s">
        <v>405</v>
      </c>
      <c r="B562" s="136" t="s">
        <v>128</v>
      </c>
      <c r="C562" s="136" t="s">
        <v>122</v>
      </c>
      <c r="D562" s="161" t="s">
        <v>615</v>
      </c>
      <c r="E562" s="136"/>
      <c r="F562" s="136"/>
      <c r="G562" s="136"/>
      <c r="H562" s="136"/>
      <c r="I562" s="136"/>
      <c r="J562" s="136"/>
      <c r="K562" s="136"/>
      <c r="L562" s="136"/>
      <c r="M562" s="136"/>
      <c r="N562" s="136"/>
      <c r="O562" s="136"/>
      <c r="P562" s="136"/>
      <c r="Q562" s="136"/>
      <c r="R562" s="136"/>
      <c r="S562" s="136" t="s">
        <v>275</v>
      </c>
      <c r="T562" s="135" t="s">
        <v>565</v>
      </c>
      <c r="U562" s="120">
        <f>П4ВСР!Z351</f>
        <v>680027.4</v>
      </c>
      <c r="V562" s="120">
        <f>П4ВСР!AA351</f>
        <v>66000</v>
      </c>
      <c r="W562" s="120">
        <f>П4ВСР!AB351</f>
        <v>100000</v>
      </c>
      <c r="X562" s="118" t="s">
        <v>405</v>
      </c>
    </row>
    <row r="563" spans="1:27" ht="150.75" customHeight="1" x14ac:dyDescent="0.25">
      <c r="A563" s="118" t="s">
        <v>406</v>
      </c>
      <c r="B563" s="161" t="s">
        <v>128</v>
      </c>
      <c r="C563" s="161" t="s">
        <v>122</v>
      </c>
      <c r="D563" s="161" t="s">
        <v>616</v>
      </c>
      <c r="E563" s="161"/>
      <c r="F563" s="161"/>
      <c r="G563" s="161"/>
      <c r="H563" s="161"/>
      <c r="I563" s="161"/>
      <c r="J563" s="161"/>
      <c r="K563" s="161"/>
      <c r="L563" s="161"/>
      <c r="M563" s="161"/>
      <c r="N563" s="161"/>
      <c r="O563" s="161"/>
      <c r="P563" s="161"/>
      <c r="Q563" s="161"/>
      <c r="R563" s="161"/>
      <c r="S563" s="161"/>
      <c r="T563" s="153" t="s">
        <v>1274</v>
      </c>
      <c r="U563" s="120">
        <f>U564</f>
        <v>1810</v>
      </c>
      <c r="V563" s="120">
        <f>V564</f>
        <v>50000</v>
      </c>
      <c r="W563" s="120">
        <f>W564</f>
        <v>50000</v>
      </c>
      <c r="X563" s="118" t="s">
        <v>406</v>
      </c>
    </row>
    <row r="564" spans="1:27" ht="51.75" customHeight="1" x14ac:dyDescent="0.25">
      <c r="A564" s="118" t="s">
        <v>407</v>
      </c>
      <c r="B564" s="136" t="s">
        <v>128</v>
      </c>
      <c r="C564" s="136" t="s">
        <v>122</v>
      </c>
      <c r="D564" s="161" t="s">
        <v>616</v>
      </c>
      <c r="E564" s="136"/>
      <c r="F564" s="136"/>
      <c r="G564" s="136"/>
      <c r="H564" s="136"/>
      <c r="I564" s="136"/>
      <c r="J564" s="136"/>
      <c r="K564" s="136"/>
      <c r="L564" s="136"/>
      <c r="M564" s="136"/>
      <c r="N564" s="136"/>
      <c r="O564" s="136"/>
      <c r="P564" s="136"/>
      <c r="Q564" s="136"/>
      <c r="R564" s="136"/>
      <c r="S564" s="136" t="s">
        <v>275</v>
      </c>
      <c r="T564" s="135" t="s">
        <v>565</v>
      </c>
      <c r="U564" s="120">
        <f>П4ВСР!Z353</f>
        <v>1810</v>
      </c>
      <c r="V564" s="120">
        <f>П4ВСР!AA353</f>
        <v>50000</v>
      </c>
      <c r="W564" s="120">
        <f>П4ВСР!AB353</f>
        <v>50000</v>
      </c>
      <c r="X564" s="118" t="s">
        <v>407</v>
      </c>
    </row>
    <row r="565" spans="1:27" ht="129.75" customHeight="1" x14ac:dyDescent="0.25">
      <c r="A565" s="118"/>
      <c r="B565" s="136" t="s">
        <v>128</v>
      </c>
      <c r="C565" s="136" t="s">
        <v>122</v>
      </c>
      <c r="D565" s="161" t="s">
        <v>1006</v>
      </c>
      <c r="E565" s="136"/>
      <c r="F565" s="136"/>
      <c r="G565" s="136"/>
      <c r="H565" s="136"/>
      <c r="I565" s="136"/>
      <c r="J565" s="136"/>
      <c r="K565" s="136"/>
      <c r="L565" s="136"/>
      <c r="M565" s="136"/>
      <c r="N565" s="136"/>
      <c r="O565" s="136"/>
      <c r="P565" s="136"/>
      <c r="Q565" s="136"/>
      <c r="R565" s="136"/>
      <c r="S565" s="136"/>
      <c r="T565" s="486" t="s">
        <v>1275</v>
      </c>
      <c r="U565" s="120">
        <f>U566</f>
        <v>0</v>
      </c>
      <c r="V565" s="120">
        <v>0</v>
      </c>
      <c r="W565" s="120">
        <v>0</v>
      </c>
      <c r="X565" s="118"/>
    </row>
    <row r="566" spans="1:27" ht="47.25" customHeight="1" x14ac:dyDescent="0.25">
      <c r="A566" s="118"/>
      <c r="B566" s="136" t="s">
        <v>128</v>
      </c>
      <c r="C566" s="136" t="s">
        <v>122</v>
      </c>
      <c r="D566" s="161" t="s">
        <v>1006</v>
      </c>
      <c r="E566" s="136"/>
      <c r="F566" s="136"/>
      <c r="G566" s="136"/>
      <c r="H566" s="136"/>
      <c r="I566" s="136"/>
      <c r="J566" s="136"/>
      <c r="K566" s="136"/>
      <c r="L566" s="136"/>
      <c r="M566" s="136"/>
      <c r="N566" s="136"/>
      <c r="O566" s="136"/>
      <c r="P566" s="136"/>
      <c r="Q566" s="136"/>
      <c r="R566" s="136"/>
      <c r="S566" s="136" t="s">
        <v>275</v>
      </c>
      <c r="T566" s="135" t="s">
        <v>565</v>
      </c>
      <c r="U566" s="120">
        <f>П4ВСР!Z354</f>
        <v>0</v>
      </c>
      <c r="V566" s="120">
        <v>0</v>
      </c>
      <c r="W566" s="120">
        <v>0</v>
      </c>
      <c r="X566" s="118"/>
    </row>
    <row r="567" spans="1:27" ht="18.600000000000001" customHeight="1" x14ac:dyDescent="0.25">
      <c r="A567" s="118" t="s">
        <v>166</v>
      </c>
      <c r="B567" s="119" t="s">
        <v>128</v>
      </c>
      <c r="C567" s="119" t="s">
        <v>132</v>
      </c>
      <c r="D567" s="119"/>
      <c r="E567" s="119"/>
      <c r="F567" s="119"/>
      <c r="G567" s="119"/>
      <c r="H567" s="119"/>
      <c r="I567" s="119"/>
      <c r="J567" s="119"/>
      <c r="K567" s="119"/>
      <c r="L567" s="119"/>
      <c r="M567" s="119"/>
      <c r="N567" s="119"/>
      <c r="O567" s="119"/>
      <c r="P567" s="119"/>
      <c r="Q567" s="119"/>
      <c r="R567" s="119"/>
      <c r="S567" s="119"/>
      <c r="T567" s="118" t="s">
        <v>166</v>
      </c>
      <c r="U567" s="120">
        <f>U568+U570+U572</f>
        <v>1996372.33</v>
      </c>
      <c r="V567" s="120">
        <f>V568+V570+V572</f>
        <v>134000</v>
      </c>
      <c r="W567" s="120">
        <f>W568+W570+W572</f>
        <v>100000</v>
      </c>
      <c r="X567" s="118" t="s">
        <v>166</v>
      </c>
    </row>
    <row r="568" spans="1:27" ht="132" customHeight="1" x14ac:dyDescent="0.25">
      <c r="A568" s="118" t="s">
        <v>408</v>
      </c>
      <c r="B568" s="161" t="s">
        <v>128</v>
      </c>
      <c r="C568" s="161" t="s">
        <v>132</v>
      </c>
      <c r="D568" s="161" t="s">
        <v>617</v>
      </c>
      <c r="E568" s="161"/>
      <c r="F568" s="161"/>
      <c r="G568" s="161"/>
      <c r="H568" s="161"/>
      <c r="I568" s="161"/>
      <c r="J568" s="161"/>
      <c r="K568" s="161"/>
      <c r="L568" s="161"/>
      <c r="M568" s="161"/>
      <c r="N568" s="161"/>
      <c r="O568" s="161"/>
      <c r="P568" s="161"/>
      <c r="Q568" s="161"/>
      <c r="R568" s="161"/>
      <c r="S568" s="161"/>
      <c r="T568" s="153" t="s">
        <v>1276</v>
      </c>
      <c r="U568" s="120">
        <f>U569</f>
        <v>591820.66999999993</v>
      </c>
      <c r="V568" s="120">
        <f>V569</f>
        <v>50000</v>
      </c>
      <c r="W568" s="120">
        <f>W569</f>
        <v>50000</v>
      </c>
      <c r="X568" s="118" t="s">
        <v>408</v>
      </c>
    </row>
    <row r="569" spans="1:27" ht="51" customHeight="1" x14ac:dyDescent="0.25">
      <c r="A569" s="118" t="s">
        <v>409</v>
      </c>
      <c r="B569" s="136" t="s">
        <v>128</v>
      </c>
      <c r="C569" s="136" t="s">
        <v>132</v>
      </c>
      <c r="D569" s="161" t="s">
        <v>617</v>
      </c>
      <c r="E569" s="136"/>
      <c r="F569" s="136"/>
      <c r="G569" s="136"/>
      <c r="H569" s="136"/>
      <c r="I569" s="136"/>
      <c r="J569" s="136"/>
      <c r="K569" s="136"/>
      <c r="L569" s="136"/>
      <c r="M569" s="136"/>
      <c r="N569" s="136"/>
      <c r="O569" s="136"/>
      <c r="P569" s="136"/>
      <c r="Q569" s="136"/>
      <c r="R569" s="136"/>
      <c r="S569" s="136" t="s">
        <v>275</v>
      </c>
      <c r="T569" s="135" t="s">
        <v>565</v>
      </c>
      <c r="U569" s="120">
        <f>П4ВСР!Z358</f>
        <v>591820.66999999993</v>
      </c>
      <c r="V569" s="120">
        <f>П4ВСР!AA358</f>
        <v>50000</v>
      </c>
      <c r="W569" s="120">
        <f>П4ВСР!AB358</f>
        <v>50000</v>
      </c>
      <c r="X569" s="118" t="s">
        <v>409</v>
      </c>
    </row>
    <row r="570" spans="1:27" ht="135.75" customHeight="1" x14ac:dyDescent="0.25">
      <c r="A570" s="118" t="s">
        <v>410</v>
      </c>
      <c r="B570" s="161" t="s">
        <v>128</v>
      </c>
      <c r="C570" s="161" t="s">
        <v>132</v>
      </c>
      <c r="D570" s="161" t="s">
        <v>618</v>
      </c>
      <c r="E570" s="161"/>
      <c r="F570" s="161"/>
      <c r="G570" s="161"/>
      <c r="H570" s="161"/>
      <c r="I570" s="161"/>
      <c r="J570" s="161"/>
      <c r="K570" s="161"/>
      <c r="L570" s="161"/>
      <c r="M570" s="161"/>
      <c r="N570" s="161"/>
      <c r="O570" s="161"/>
      <c r="P570" s="161"/>
      <c r="Q570" s="161"/>
      <c r="R570" s="161"/>
      <c r="S570" s="161"/>
      <c r="T570" s="153" t="s">
        <v>1277</v>
      </c>
      <c r="U570" s="120">
        <f>U571</f>
        <v>1127013.4300000002</v>
      </c>
      <c r="V570" s="120">
        <f>V571</f>
        <v>50000</v>
      </c>
      <c r="W570" s="120">
        <f>W571</f>
        <v>50000</v>
      </c>
      <c r="X570" s="118" t="s">
        <v>410</v>
      </c>
    </row>
    <row r="571" spans="1:27" ht="51" customHeight="1" x14ac:dyDescent="0.25">
      <c r="A571" s="118" t="s">
        <v>411</v>
      </c>
      <c r="B571" s="136" t="s">
        <v>128</v>
      </c>
      <c r="C571" s="136" t="s">
        <v>132</v>
      </c>
      <c r="D571" s="161" t="s">
        <v>618</v>
      </c>
      <c r="E571" s="136"/>
      <c r="F571" s="136"/>
      <c r="G571" s="136"/>
      <c r="H571" s="136"/>
      <c r="I571" s="136"/>
      <c r="J571" s="136"/>
      <c r="K571" s="136"/>
      <c r="L571" s="136"/>
      <c r="M571" s="136"/>
      <c r="N571" s="136"/>
      <c r="O571" s="136"/>
      <c r="P571" s="136"/>
      <c r="Q571" s="136"/>
      <c r="R571" s="136"/>
      <c r="S571" s="136" t="s">
        <v>275</v>
      </c>
      <c r="T571" s="135" t="s">
        <v>565</v>
      </c>
      <c r="U571" s="120">
        <f>П4ВСР!Z360</f>
        <v>1127013.4300000002</v>
      </c>
      <c r="V571" s="120">
        <f>П4ВСР!AA360</f>
        <v>50000</v>
      </c>
      <c r="W571" s="120">
        <f>П4ВСР!AB360</f>
        <v>50000</v>
      </c>
      <c r="X571" s="118" t="s">
        <v>411</v>
      </c>
    </row>
    <row r="572" spans="1:27" ht="165" customHeight="1" x14ac:dyDescent="0.25">
      <c r="A572" s="118" t="s">
        <v>412</v>
      </c>
      <c r="B572" s="136" t="s">
        <v>128</v>
      </c>
      <c r="C572" s="136" t="s">
        <v>132</v>
      </c>
      <c r="D572" s="230" t="s">
        <v>982</v>
      </c>
      <c r="E572" s="136"/>
      <c r="F572" s="136"/>
      <c r="G572" s="136"/>
      <c r="H572" s="136"/>
      <c r="I572" s="136"/>
      <c r="J572" s="136"/>
      <c r="K572" s="136"/>
      <c r="L572" s="136"/>
      <c r="M572" s="136"/>
      <c r="N572" s="136"/>
      <c r="O572" s="136"/>
      <c r="P572" s="136"/>
      <c r="Q572" s="136"/>
      <c r="R572" s="136"/>
      <c r="S572" s="136"/>
      <c r="T572" s="254" t="s">
        <v>1467</v>
      </c>
      <c r="U572" s="120">
        <f>U573</f>
        <v>277538.23</v>
      </c>
      <c r="V572" s="120">
        <f>V573</f>
        <v>34000</v>
      </c>
      <c r="W572" s="120">
        <f>W573</f>
        <v>0</v>
      </c>
      <c r="X572" s="118" t="s">
        <v>412</v>
      </c>
    </row>
    <row r="573" spans="1:27" ht="32.25" customHeight="1" x14ac:dyDescent="0.25">
      <c r="A573" s="118" t="s">
        <v>413</v>
      </c>
      <c r="B573" s="136" t="s">
        <v>128</v>
      </c>
      <c r="C573" s="136" t="s">
        <v>132</v>
      </c>
      <c r="D573" s="230" t="s">
        <v>982</v>
      </c>
      <c r="E573" s="136"/>
      <c r="F573" s="136"/>
      <c r="G573" s="136"/>
      <c r="H573" s="136"/>
      <c r="I573" s="136"/>
      <c r="J573" s="136"/>
      <c r="K573" s="136"/>
      <c r="L573" s="136"/>
      <c r="M573" s="136"/>
      <c r="N573" s="136"/>
      <c r="O573" s="136"/>
      <c r="P573" s="136"/>
      <c r="Q573" s="136"/>
      <c r="R573" s="136"/>
      <c r="S573" s="136" t="s">
        <v>427</v>
      </c>
      <c r="T573" s="135" t="s">
        <v>770</v>
      </c>
      <c r="U573" s="120">
        <f>П4ВСР!Z584</f>
        <v>277538.23</v>
      </c>
      <c r="V573" s="120">
        <f>П4ВСР!AA362</f>
        <v>34000</v>
      </c>
      <c r="W573" s="120">
        <f>П4ВСР!AB362</f>
        <v>0</v>
      </c>
      <c r="X573" s="118" t="s">
        <v>413</v>
      </c>
    </row>
    <row r="574" spans="1:27" ht="93" customHeight="1" x14ac:dyDescent="0.25">
      <c r="A574" s="116" t="s">
        <v>424</v>
      </c>
      <c r="B574" s="126" t="s">
        <v>131</v>
      </c>
      <c r="C574" s="126" t="s">
        <v>133</v>
      </c>
      <c r="D574" s="126"/>
      <c r="E574" s="126"/>
      <c r="F574" s="126"/>
      <c r="G574" s="126"/>
      <c r="H574" s="126"/>
      <c r="I574" s="126"/>
      <c r="J574" s="126"/>
      <c r="K574" s="126"/>
      <c r="L574" s="126"/>
      <c r="M574" s="126"/>
      <c r="N574" s="126"/>
      <c r="O574" s="126"/>
      <c r="P574" s="126"/>
      <c r="Q574" s="126"/>
      <c r="R574" s="126"/>
      <c r="S574" s="126"/>
      <c r="T574" s="116" t="s">
        <v>715</v>
      </c>
      <c r="U574" s="117">
        <f>U575+U578</f>
        <v>21804570.870000001</v>
      </c>
      <c r="V574" s="117">
        <f>V575+V578</f>
        <v>22408600</v>
      </c>
      <c r="W574" s="117">
        <f>W575+W578</f>
        <v>22427900</v>
      </c>
      <c r="X574" s="116" t="s">
        <v>424</v>
      </c>
    </row>
    <row r="575" spans="1:27" ht="70.5" customHeight="1" x14ac:dyDescent="0.25">
      <c r="A575" s="118" t="s">
        <v>169</v>
      </c>
      <c r="B575" s="119" t="s">
        <v>131</v>
      </c>
      <c r="C575" s="119" t="s">
        <v>122</v>
      </c>
      <c r="D575" s="119"/>
      <c r="E575" s="119"/>
      <c r="F575" s="119"/>
      <c r="G575" s="119"/>
      <c r="H575" s="119"/>
      <c r="I575" s="119"/>
      <c r="J575" s="119"/>
      <c r="K575" s="119"/>
      <c r="L575" s="119"/>
      <c r="M575" s="119"/>
      <c r="N575" s="119"/>
      <c r="O575" s="119"/>
      <c r="P575" s="119"/>
      <c r="Q575" s="119"/>
      <c r="R575" s="119"/>
      <c r="S575" s="119"/>
      <c r="T575" s="116" t="s">
        <v>169</v>
      </c>
      <c r="U575" s="120">
        <f t="shared" ref="U575:W576" si="13">U576</f>
        <v>20000000</v>
      </c>
      <c r="V575" s="120">
        <f t="shared" si="13"/>
        <v>20000000</v>
      </c>
      <c r="W575" s="120">
        <f t="shared" si="13"/>
        <v>20000000</v>
      </c>
      <c r="X575" s="118" t="s">
        <v>169</v>
      </c>
    </row>
    <row r="576" spans="1:27" ht="174" customHeight="1" x14ac:dyDescent="0.25">
      <c r="A576" s="124" t="s">
        <v>425</v>
      </c>
      <c r="B576" s="161" t="s">
        <v>131</v>
      </c>
      <c r="C576" s="161" t="s">
        <v>122</v>
      </c>
      <c r="D576" s="230" t="s">
        <v>1094</v>
      </c>
      <c r="E576" s="161"/>
      <c r="F576" s="161"/>
      <c r="G576" s="161"/>
      <c r="H576" s="161"/>
      <c r="I576" s="161"/>
      <c r="J576" s="161"/>
      <c r="K576" s="161"/>
      <c r="L576" s="161"/>
      <c r="M576" s="161"/>
      <c r="N576" s="161"/>
      <c r="O576" s="161"/>
      <c r="P576" s="161"/>
      <c r="Q576" s="161"/>
      <c r="R576" s="161"/>
      <c r="S576" s="161"/>
      <c r="T576" s="155" t="s">
        <v>1313</v>
      </c>
      <c r="U576" s="120">
        <f t="shared" si="13"/>
        <v>20000000</v>
      </c>
      <c r="V576" s="120">
        <f t="shared" si="13"/>
        <v>20000000</v>
      </c>
      <c r="W576" s="120">
        <f t="shared" si="13"/>
        <v>20000000</v>
      </c>
      <c r="X576" s="124" t="s">
        <v>425</v>
      </c>
    </row>
    <row r="577" spans="1:24" ht="33" customHeight="1" x14ac:dyDescent="0.25">
      <c r="A577" s="124" t="s">
        <v>426</v>
      </c>
      <c r="B577" s="136" t="s">
        <v>131</v>
      </c>
      <c r="C577" s="136" t="s">
        <v>122</v>
      </c>
      <c r="D577" s="230" t="s">
        <v>1094</v>
      </c>
      <c r="E577" s="136"/>
      <c r="F577" s="136"/>
      <c r="G577" s="136"/>
      <c r="H577" s="136"/>
      <c r="I577" s="136"/>
      <c r="J577" s="136"/>
      <c r="K577" s="136"/>
      <c r="L577" s="136"/>
      <c r="M577" s="136"/>
      <c r="N577" s="136"/>
      <c r="O577" s="136"/>
      <c r="P577" s="136"/>
      <c r="Q577" s="136"/>
      <c r="R577" s="136"/>
      <c r="S577" s="136" t="s">
        <v>427</v>
      </c>
      <c r="T577" s="154" t="s">
        <v>1093</v>
      </c>
      <c r="U577" s="120">
        <f>П4ВСР!Z593</f>
        <v>20000000</v>
      </c>
      <c r="V577" s="120">
        <f>П4ВСР!AA593</f>
        <v>20000000</v>
      </c>
      <c r="W577" s="120">
        <f>П4ВСР!AB593</f>
        <v>20000000</v>
      </c>
      <c r="X577" s="124" t="s">
        <v>426</v>
      </c>
    </row>
    <row r="578" spans="1:24" ht="198" customHeight="1" x14ac:dyDescent="0.25">
      <c r="A578" s="124"/>
      <c r="B578" s="136" t="s">
        <v>131</v>
      </c>
      <c r="C578" s="136" t="s">
        <v>122</v>
      </c>
      <c r="D578" s="230" t="s">
        <v>1092</v>
      </c>
      <c r="E578" s="136"/>
      <c r="F578" s="136"/>
      <c r="G578" s="136"/>
      <c r="H578" s="136"/>
      <c r="I578" s="136"/>
      <c r="J578" s="136"/>
      <c r="K578" s="136"/>
      <c r="L578" s="136"/>
      <c r="M578" s="136"/>
      <c r="N578" s="136"/>
      <c r="O578" s="136"/>
      <c r="P578" s="136"/>
      <c r="Q578" s="136"/>
      <c r="R578" s="136"/>
      <c r="S578" s="136"/>
      <c r="T578" s="155" t="s">
        <v>1312</v>
      </c>
      <c r="U578" s="120">
        <f>U579</f>
        <v>1804570.87</v>
      </c>
      <c r="V578" s="120">
        <f>V579</f>
        <v>2408600</v>
      </c>
      <c r="W578" s="120">
        <f>W579</f>
        <v>2427900</v>
      </c>
      <c r="X578" s="124"/>
    </row>
    <row r="579" spans="1:24" ht="34.5" customHeight="1" x14ac:dyDescent="0.25">
      <c r="A579" s="124"/>
      <c r="B579" s="136" t="s">
        <v>131</v>
      </c>
      <c r="C579" s="136" t="s">
        <v>122</v>
      </c>
      <c r="D579" s="230" t="s">
        <v>1092</v>
      </c>
      <c r="E579" s="136"/>
      <c r="F579" s="136"/>
      <c r="G579" s="136"/>
      <c r="H579" s="136"/>
      <c r="I579" s="136"/>
      <c r="J579" s="136"/>
      <c r="K579" s="136"/>
      <c r="L579" s="136"/>
      <c r="M579" s="136"/>
      <c r="N579" s="136"/>
      <c r="O579" s="136"/>
      <c r="P579" s="136"/>
      <c r="Q579" s="136"/>
      <c r="R579" s="136"/>
      <c r="S579" s="136" t="s">
        <v>427</v>
      </c>
      <c r="T579" s="154" t="s">
        <v>1093</v>
      </c>
      <c r="U579" s="120">
        <f>П4ВСР!Z594</f>
        <v>1804570.87</v>
      </c>
      <c r="V579" s="120">
        <f>П4ВСР!AA594</f>
        <v>2408600</v>
      </c>
      <c r="W579" s="120">
        <f>П4ВСР!AB594</f>
        <v>2427900</v>
      </c>
      <c r="X579" s="124"/>
    </row>
    <row r="580" spans="1:24" ht="44.25" customHeight="1" x14ac:dyDescent="0.25">
      <c r="A580" s="124"/>
      <c r="B580" s="128" t="s">
        <v>122</v>
      </c>
      <c r="C580" s="128" t="s">
        <v>125</v>
      </c>
      <c r="D580" s="218" t="s">
        <v>720</v>
      </c>
      <c r="E580" s="128"/>
      <c r="F580" s="128"/>
      <c r="G580" s="128"/>
      <c r="H580" s="128"/>
      <c r="I580" s="128"/>
      <c r="J580" s="128"/>
      <c r="K580" s="128"/>
      <c r="L580" s="128"/>
      <c r="M580" s="128"/>
      <c r="N580" s="128"/>
      <c r="O580" s="128"/>
      <c r="P580" s="128"/>
      <c r="Q580" s="128"/>
      <c r="R580" s="128"/>
      <c r="S580" s="128" t="s">
        <v>502</v>
      </c>
      <c r="T580" s="651" t="s">
        <v>1343</v>
      </c>
      <c r="U580" s="120">
        <v>0</v>
      </c>
      <c r="V580" s="117">
        <f>П4ВСР!AA364</f>
        <v>4420012.5</v>
      </c>
      <c r="W580" s="117">
        <f>П4ВСР!AB364</f>
        <v>9094467.7599999998</v>
      </c>
      <c r="X580" s="124"/>
    </row>
    <row r="581" spans="1:24" ht="18.600000000000001" customHeight="1" x14ac:dyDescent="0.25">
      <c r="A581" s="116" t="s">
        <v>495</v>
      </c>
      <c r="B581" s="126"/>
      <c r="C581" s="126"/>
      <c r="D581" s="126"/>
      <c r="E581" s="126"/>
      <c r="F581" s="126"/>
      <c r="G581" s="126"/>
      <c r="H581" s="126"/>
      <c r="I581" s="126"/>
      <c r="J581" s="126"/>
      <c r="K581" s="126"/>
      <c r="L581" s="126"/>
      <c r="M581" s="126"/>
      <c r="N581" s="126"/>
      <c r="O581" s="126"/>
      <c r="P581" s="126"/>
      <c r="Q581" s="126"/>
      <c r="R581" s="126"/>
      <c r="S581" s="126"/>
      <c r="T581" s="116" t="s">
        <v>495</v>
      </c>
      <c r="U581" s="117">
        <f>U11+U137+U160+U268+U341+U470+U504+U509+U559+U574</f>
        <v>1006891333.1199999</v>
      </c>
      <c r="V581" s="117">
        <f>V11+V137+V160+V268+V341+V470+V504+V509+V559+V574+V580</f>
        <v>759856163.04999995</v>
      </c>
      <c r="W581" s="117">
        <f>W11+W137+W160+W268+W341+W470+W504+W509+W559+W574+W580</f>
        <v>784078404.67999995</v>
      </c>
      <c r="X581" s="116" t="s">
        <v>495</v>
      </c>
    </row>
    <row r="582" spans="1:24" ht="10.15" customHeight="1" x14ac:dyDescent="0.25"/>
    <row r="583" spans="1:24" ht="10.15" customHeight="1" x14ac:dyDescent="0.25"/>
    <row r="584" spans="1:24" ht="10.15" customHeight="1" x14ac:dyDescent="0.25"/>
    <row r="585" spans="1:24" ht="10.15" customHeight="1" x14ac:dyDescent="0.25"/>
    <row r="586" spans="1:24" ht="10.15" customHeight="1" x14ac:dyDescent="0.25"/>
    <row r="587" spans="1:24" ht="10.15" customHeight="1" x14ac:dyDescent="0.25"/>
    <row r="588" spans="1:24" ht="10.15" customHeight="1" x14ac:dyDescent="0.25"/>
    <row r="589" spans="1:24" ht="10.15" customHeight="1" x14ac:dyDescent="0.25"/>
    <row r="590" spans="1:24" ht="10.15" customHeight="1" x14ac:dyDescent="0.25"/>
    <row r="591" spans="1:24" ht="10.15" customHeight="1" x14ac:dyDescent="0.25"/>
    <row r="592" spans="1:24" ht="10.15" customHeight="1" x14ac:dyDescent="0.25"/>
    <row r="593" ht="10.15" customHeight="1" x14ac:dyDescent="0.25"/>
    <row r="594" ht="10.15" customHeight="1" x14ac:dyDescent="0.25"/>
    <row r="595" ht="10.15" customHeight="1" x14ac:dyDescent="0.25"/>
    <row r="596" ht="10.15" customHeight="1" x14ac:dyDescent="0.25"/>
    <row r="597" ht="10.15" customHeight="1" x14ac:dyDescent="0.25"/>
    <row r="598" ht="10.15" customHeight="1" x14ac:dyDescent="0.25"/>
    <row r="599" ht="10.15" customHeight="1" x14ac:dyDescent="0.25"/>
    <row r="600" ht="10.15" customHeight="1" x14ac:dyDescent="0.25"/>
    <row r="601" ht="10.15" customHeight="1" x14ac:dyDescent="0.25"/>
    <row r="602" ht="10.15" customHeight="1" x14ac:dyDescent="0.25"/>
    <row r="603" ht="10.15" customHeight="1" x14ac:dyDescent="0.25"/>
    <row r="604" ht="10.15" customHeight="1" x14ac:dyDescent="0.25"/>
    <row r="605" ht="10.15" customHeight="1" x14ac:dyDescent="0.25"/>
    <row r="606" ht="10.15" customHeight="1" x14ac:dyDescent="0.25"/>
    <row r="607" ht="10.15" customHeight="1" x14ac:dyDescent="0.25"/>
    <row r="608" ht="10.15" customHeight="1" x14ac:dyDescent="0.25"/>
    <row r="609" ht="10.15" customHeight="1" x14ac:dyDescent="0.25"/>
    <row r="610" ht="10.15" customHeight="1" x14ac:dyDescent="0.25"/>
    <row r="611" ht="10.15" customHeight="1" x14ac:dyDescent="0.25"/>
    <row r="612" ht="10.15" customHeight="1" x14ac:dyDescent="0.25"/>
    <row r="613" ht="10.15" customHeight="1" x14ac:dyDescent="0.25"/>
    <row r="614" ht="10.15" customHeight="1" x14ac:dyDescent="0.25"/>
    <row r="615" ht="10.15" customHeight="1" x14ac:dyDescent="0.25"/>
    <row r="616" ht="10.15" customHeight="1" x14ac:dyDescent="0.25"/>
    <row r="617" ht="10.15" customHeight="1" x14ac:dyDescent="0.25"/>
    <row r="618" ht="10.15" customHeight="1" x14ac:dyDescent="0.25"/>
    <row r="619" ht="10.15" customHeight="1" x14ac:dyDescent="0.25"/>
    <row r="620" ht="10.15" customHeight="1" x14ac:dyDescent="0.25"/>
    <row r="621" ht="10.15" customHeight="1" x14ac:dyDescent="0.25"/>
    <row r="622" ht="10.15" customHeight="1" x14ac:dyDescent="0.25"/>
    <row r="623" ht="10.15" customHeight="1" x14ac:dyDescent="0.25"/>
    <row r="624" ht="10.15" customHeight="1" x14ac:dyDescent="0.25"/>
    <row r="625" ht="10.15" customHeight="1" x14ac:dyDescent="0.25"/>
    <row r="626" ht="10.15" customHeight="1" x14ac:dyDescent="0.25"/>
    <row r="627" ht="10.15" customHeight="1" x14ac:dyDescent="0.25"/>
    <row r="628"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2"/>
  <sheetViews>
    <sheetView topLeftCell="A762" zoomScale="80" zoomScaleNormal="80" workbookViewId="0">
      <selection activeCell="AE256" sqref="AE256"/>
    </sheetView>
  </sheetViews>
  <sheetFormatPr defaultRowHeight="15" x14ac:dyDescent="0.25"/>
  <cols>
    <col min="1" max="1" width="43.140625" customWidth="1"/>
    <col min="2" max="2" width="16.7109375" customWidth="1"/>
    <col min="3" max="4" width="10.7109375" customWidth="1"/>
    <col min="5" max="5" width="17.710937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2" t="s">
        <v>882</v>
      </c>
    </row>
    <row r="2" spans="1:33" x14ac:dyDescent="0.25">
      <c r="AB2" s="232" t="s">
        <v>496</v>
      </c>
    </row>
    <row r="3" spans="1:33" x14ac:dyDescent="0.25">
      <c r="AB3" s="232" t="s">
        <v>256</v>
      </c>
    </row>
    <row r="4" spans="1:33" ht="15.75" x14ac:dyDescent="0.25">
      <c r="AA4" s="2"/>
      <c r="AB4" s="297" t="s">
        <v>1682</v>
      </c>
    </row>
    <row r="5" spans="1:33" ht="33.75" customHeight="1" x14ac:dyDescent="0.25">
      <c r="A5" s="1194" t="s">
        <v>1084</v>
      </c>
      <c r="B5" s="1194"/>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row>
    <row r="6" spans="1:33" hidden="1" x14ac:dyDescent="0.25"/>
    <row r="7" spans="1:33"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2"/>
      <c r="W7" s="112"/>
      <c r="X7" s="112"/>
      <c r="Y7" s="111"/>
      <c r="Z7" s="111"/>
      <c r="AA7" s="111"/>
      <c r="AB7" s="111" t="s">
        <v>262</v>
      </c>
      <c r="AC7" s="111"/>
    </row>
    <row r="8" spans="1:33" ht="15" customHeight="1" x14ac:dyDescent="0.25">
      <c r="A8" s="1195" t="s">
        <v>1</v>
      </c>
      <c r="B8" s="1197" t="s">
        <v>704</v>
      </c>
      <c r="C8" s="1190" t="s">
        <v>263</v>
      </c>
      <c r="D8" s="1190" t="s">
        <v>264</v>
      </c>
      <c r="E8" s="1190" t="s">
        <v>197</v>
      </c>
      <c r="F8" s="182" t="s">
        <v>197</v>
      </c>
      <c r="G8" s="182" t="s">
        <v>197</v>
      </c>
      <c r="H8" s="182" t="s">
        <v>197</v>
      </c>
      <c r="I8" s="182" t="s">
        <v>197</v>
      </c>
      <c r="J8" s="182" t="s">
        <v>197</v>
      </c>
      <c r="K8" s="182" t="s">
        <v>197</v>
      </c>
      <c r="L8" s="182" t="s">
        <v>197</v>
      </c>
      <c r="M8" s="182" t="s">
        <v>197</v>
      </c>
      <c r="N8" s="182" t="s">
        <v>197</v>
      </c>
      <c r="O8" s="182" t="s">
        <v>197</v>
      </c>
      <c r="P8" s="182" t="s">
        <v>197</v>
      </c>
      <c r="Q8" s="182" t="s">
        <v>197</v>
      </c>
      <c r="R8" s="182" t="s">
        <v>197</v>
      </c>
      <c r="S8" s="182" t="s">
        <v>197</v>
      </c>
      <c r="T8" s="1190" t="s">
        <v>225</v>
      </c>
      <c r="U8" s="182" t="s">
        <v>265</v>
      </c>
      <c r="V8" s="182" t="s">
        <v>52</v>
      </c>
      <c r="W8" s="182" t="s">
        <v>266</v>
      </c>
      <c r="X8" s="1190" t="s">
        <v>267</v>
      </c>
      <c r="Y8" s="1195" t="s">
        <v>1</v>
      </c>
      <c r="Z8" s="1195">
        <v>2019</v>
      </c>
      <c r="AA8" s="1188">
        <v>2020</v>
      </c>
      <c r="AB8" s="1188">
        <v>2021</v>
      </c>
      <c r="AC8" s="1192" t="s">
        <v>1</v>
      </c>
    </row>
    <row r="9" spans="1:33" ht="15" customHeight="1" x14ac:dyDescent="0.25">
      <c r="A9" s="1196"/>
      <c r="B9" s="1191"/>
      <c r="C9" s="1191"/>
      <c r="D9" s="1191"/>
      <c r="E9" s="1191"/>
      <c r="F9" s="182" t="s">
        <v>197</v>
      </c>
      <c r="G9" s="182" t="s">
        <v>197</v>
      </c>
      <c r="H9" s="182" t="s">
        <v>197</v>
      </c>
      <c r="I9" s="182" t="s">
        <v>197</v>
      </c>
      <c r="J9" s="182" t="s">
        <v>197</v>
      </c>
      <c r="K9" s="182" t="s">
        <v>197</v>
      </c>
      <c r="L9" s="182" t="s">
        <v>197</v>
      </c>
      <c r="M9" s="182" t="s">
        <v>197</v>
      </c>
      <c r="N9" s="182" t="s">
        <v>197</v>
      </c>
      <c r="O9" s="182" t="s">
        <v>197</v>
      </c>
      <c r="P9" s="182" t="s">
        <v>197</v>
      </c>
      <c r="Q9" s="182" t="s">
        <v>197</v>
      </c>
      <c r="R9" s="182" t="s">
        <v>197</v>
      </c>
      <c r="S9" s="182" t="s">
        <v>197</v>
      </c>
      <c r="T9" s="1191" t="s">
        <v>225</v>
      </c>
      <c r="U9" s="182" t="s">
        <v>265</v>
      </c>
      <c r="V9" s="182" t="s">
        <v>52</v>
      </c>
      <c r="W9" s="182" t="s">
        <v>266</v>
      </c>
      <c r="X9" s="1191" t="s">
        <v>267</v>
      </c>
      <c r="Y9" s="1196"/>
      <c r="Z9" s="1196" t="s">
        <v>268</v>
      </c>
      <c r="AA9" s="1189" t="s">
        <v>268</v>
      </c>
      <c r="AB9" s="1189" t="s">
        <v>268</v>
      </c>
      <c r="AC9" s="1193"/>
    </row>
    <row r="10" spans="1:33" ht="15" hidden="1" customHeight="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4"/>
      <c r="W10" s="114"/>
      <c r="X10" s="114"/>
      <c r="Y10" s="113"/>
      <c r="Z10" s="113"/>
      <c r="AA10" s="113"/>
      <c r="AB10" s="113"/>
      <c r="AC10" s="557"/>
    </row>
    <row r="11" spans="1:33" ht="37.15" customHeight="1" x14ac:dyDescent="0.3">
      <c r="A11" s="159" t="s">
        <v>269</v>
      </c>
      <c r="B11" s="160" t="s">
        <v>15</v>
      </c>
      <c r="C11" s="160"/>
      <c r="D11" s="160"/>
      <c r="E11" s="160"/>
      <c r="F11" s="160"/>
      <c r="G11" s="160"/>
      <c r="H11" s="160"/>
      <c r="I11" s="160"/>
      <c r="J11" s="160"/>
      <c r="K11" s="160"/>
      <c r="L11" s="160"/>
      <c r="M11" s="160"/>
      <c r="N11" s="160"/>
      <c r="O11" s="160"/>
      <c r="P11" s="160"/>
      <c r="Q11" s="160"/>
      <c r="R11" s="160"/>
      <c r="S11" s="160"/>
      <c r="T11" s="160"/>
      <c r="U11" s="160"/>
      <c r="V11" s="212"/>
      <c r="W11" s="212"/>
      <c r="X11" s="212"/>
      <c r="Y11" s="159" t="s">
        <v>269</v>
      </c>
      <c r="Z11" s="213">
        <f>Z12+Z100+Z115+Z217+Z267+Z296+Z314+Z319+Z348</f>
        <v>344942734.51999998</v>
      </c>
      <c r="AA11" s="213">
        <f>AA12+AA100+AA115+AA217+AA267+AA296+AA314+AA319+AA348</f>
        <v>185887440.58999997</v>
      </c>
      <c r="AB11" s="213">
        <f>AB12+AB100+AB115+AB217+AB267+AB296+AB314+AB319+AB348</f>
        <v>182381618.27000001</v>
      </c>
      <c r="AC11" s="288" t="s">
        <v>269</v>
      </c>
    </row>
    <row r="12" spans="1:33" ht="37.15" customHeight="1" x14ac:dyDescent="0.3">
      <c r="A12" s="159" t="s">
        <v>270</v>
      </c>
      <c r="B12" s="160" t="s">
        <v>15</v>
      </c>
      <c r="C12" s="160" t="s">
        <v>122</v>
      </c>
      <c r="D12" s="160" t="s">
        <v>133</v>
      </c>
      <c r="E12" s="160"/>
      <c r="F12" s="160"/>
      <c r="G12" s="160"/>
      <c r="H12" s="160"/>
      <c r="I12" s="160"/>
      <c r="J12" s="160"/>
      <c r="K12" s="160"/>
      <c r="L12" s="160"/>
      <c r="M12" s="160"/>
      <c r="N12" s="160"/>
      <c r="O12" s="160"/>
      <c r="P12" s="160"/>
      <c r="Q12" s="160"/>
      <c r="R12" s="160"/>
      <c r="S12" s="160"/>
      <c r="T12" s="160"/>
      <c r="U12" s="160"/>
      <c r="V12" s="212"/>
      <c r="W12" s="212"/>
      <c r="X12" s="212"/>
      <c r="Y12" s="159" t="s">
        <v>270</v>
      </c>
      <c r="Z12" s="213">
        <f>Z13+Z16+Z24+Z37+Z40+Z46+Z49+Z43</f>
        <v>113309280.60000001</v>
      </c>
      <c r="AA12" s="213">
        <f>AA13+AA16+AA24+AA37+AA40+AA46+AA49+AA43</f>
        <v>78719581.280000001</v>
      </c>
      <c r="AB12" s="213">
        <f>AB13+AB16+AB24+AB37+AB40+AB46+AB49+AB43</f>
        <v>78521395.420000017</v>
      </c>
      <c r="AC12" s="288" t="s">
        <v>270</v>
      </c>
    </row>
    <row r="13" spans="1:33" ht="74.45" customHeight="1" x14ac:dyDescent="0.3">
      <c r="A13" s="159" t="s">
        <v>247</v>
      </c>
      <c r="B13" s="160" t="s">
        <v>15</v>
      </c>
      <c r="C13" s="160" t="s">
        <v>122</v>
      </c>
      <c r="D13" s="160" t="s">
        <v>132</v>
      </c>
      <c r="E13" s="139"/>
      <c r="F13" s="160"/>
      <c r="G13" s="160"/>
      <c r="H13" s="160"/>
      <c r="I13" s="160"/>
      <c r="J13" s="160"/>
      <c r="K13" s="160"/>
      <c r="L13" s="160"/>
      <c r="M13" s="160"/>
      <c r="N13" s="160"/>
      <c r="O13" s="160"/>
      <c r="P13" s="160"/>
      <c r="Q13" s="160"/>
      <c r="R13" s="160"/>
      <c r="S13" s="160"/>
      <c r="T13" s="160"/>
      <c r="U13" s="160"/>
      <c r="V13" s="212"/>
      <c r="W13" s="212"/>
      <c r="X13" s="212"/>
      <c r="Y13" s="159" t="s">
        <v>247</v>
      </c>
      <c r="Z13" s="213">
        <f t="shared" ref="Z13:AB14" si="0">Z14</f>
        <v>2316632.7599999998</v>
      </c>
      <c r="AA13" s="213">
        <f t="shared" si="0"/>
        <v>1554484</v>
      </c>
      <c r="AB13" s="213">
        <f t="shared" si="0"/>
        <v>1554484</v>
      </c>
      <c r="AC13" s="288" t="s">
        <v>247</v>
      </c>
      <c r="AE13" s="127"/>
      <c r="AF13" s="127"/>
      <c r="AG13" s="127"/>
    </row>
    <row r="14" spans="1:33" ht="108" customHeight="1" x14ac:dyDescent="0.3">
      <c r="A14" s="153" t="s">
        <v>236</v>
      </c>
      <c r="B14" s="161" t="s">
        <v>15</v>
      </c>
      <c r="C14" s="161" t="s">
        <v>122</v>
      </c>
      <c r="D14" s="161" t="s">
        <v>132</v>
      </c>
      <c r="E14" s="230" t="s">
        <v>524</v>
      </c>
      <c r="F14" s="161"/>
      <c r="G14" s="161"/>
      <c r="H14" s="161"/>
      <c r="I14" s="161"/>
      <c r="J14" s="161"/>
      <c r="K14" s="161"/>
      <c r="L14" s="161"/>
      <c r="M14" s="161"/>
      <c r="N14" s="161"/>
      <c r="O14" s="161"/>
      <c r="P14" s="161"/>
      <c r="Q14" s="161"/>
      <c r="R14" s="161"/>
      <c r="S14" s="161"/>
      <c r="T14" s="161"/>
      <c r="U14" s="161"/>
      <c r="V14" s="204"/>
      <c r="W14" s="204"/>
      <c r="X14" s="204"/>
      <c r="Y14" s="153" t="s">
        <v>236</v>
      </c>
      <c r="Z14" s="235">
        <f t="shared" si="0"/>
        <v>2316632.7599999998</v>
      </c>
      <c r="AA14" s="235">
        <f t="shared" si="0"/>
        <v>1554484</v>
      </c>
      <c r="AB14" s="235">
        <f t="shared" si="0"/>
        <v>1554484</v>
      </c>
      <c r="AC14" s="558" t="s">
        <v>236</v>
      </c>
    </row>
    <row r="15" spans="1:33" ht="108.75" customHeight="1" x14ac:dyDescent="0.3">
      <c r="A15" s="154" t="s">
        <v>723</v>
      </c>
      <c r="B15" s="136" t="s">
        <v>15</v>
      </c>
      <c r="C15" s="136" t="s">
        <v>122</v>
      </c>
      <c r="D15" s="136" t="s">
        <v>132</v>
      </c>
      <c r="E15" s="230" t="s">
        <v>524</v>
      </c>
      <c r="F15" s="136"/>
      <c r="G15" s="136"/>
      <c r="H15" s="136"/>
      <c r="I15" s="136"/>
      <c r="J15" s="136"/>
      <c r="K15" s="136"/>
      <c r="L15" s="136"/>
      <c r="M15" s="136"/>
      <c r="N15" s="136"/>
      <c r="O15" s="136"/>
      <c r="P15" s="136"/>
      <c r="Q15" s="136"/>
      <c r="R15" s="136"/>
      <c r="S15" s="136"/>
      <c r="T15" s="136" t="s">
        <v>38</v>
      </c>
      <c r="U15" s="136"/>
      <c r="V15" s="137"/>
      <c r="W15" s="137"/>
      <c r="X15" s="137"/>
      <c r="Y15" s="154" t="s">
        <v>271</v>
      </c>
      <c r="Z15" s="210">
        <f>1554484+762148.76</f>
        <v>2316632.7599999998</v>
      </c>
      <c r="AA15" s="210">
        <v>1554484</v>
      </c>
      <c r="AB15" s="210">
        <v>1554484</v>
      </c>
      <c r="AC15" s="559" t="s">
        <v>271</v>
      </c>
      <c r="AE15" s="127"/>
    </row>
    <row r="16" spans="1:33" ht="85.5" customHeight="1" x14ac:dyDescent="0.3">
      <c r="A16" s="159" t="s">
        <v>248</v>
      </c>
      <c r="B16" s="160" t="s">
        <v>15</v>
      </c>
      <c r="C16" s="160" t="s">
        <v>122</v>
      </c>
      <c r="D16" s="160" t="s">
        <v>123</v>
      </c>
      <c r="E16" s="139"/>
      <c r="F16" s="160"/>
      <c r="G16" s="160"/>
      <c r="H16" s="160"/>
      <c r="I16" s="160"/>
      <c r="J16" s="160"/>
      <c r="K16" s="160"/>
      <c r="L16" s="160"/>
      <c r="M16" s="160"/>
      <c r="N16" s="160"/>
      <c r="O16" s="160"/>
      <c r="P16" s="160"/>
      <c r="Q16" s="160"/>
      <c r="R16" s="160"/>
      <c r="S16" s="160"/>
      <c r="T16" s="160"/>
      <c r="U16" s="160"/>
      <c r="V16" s="212"/>
      <c r="W16" s="212"/>
      <c r="X16" s="212"/>
      <c r="Y16" s="159" t="s">
        <v>248</v>
      </c>
      <c r="Z16" s="213">
        <f>Z17+Z19</f>
        <v>4000675.9699999997</v>
      </c>
      <c r="AA16" s="213">
        <f>AA17+AA19</f>
        <v>2993545.12</v>
      </c>
      <c r="AB16" s="213">
        <f>AB17+AB19</f>
        <v>2993545.12</v>
      </c>
      <c r="AC16" s="288" t="s">
        <v>248</v>
      </c>
      <c r="AE16" s="127"/>
    </row>
    <row r="17" spans="1:31" ht="130.5" customHeight="1" x14ac:dyDescent="0.3">
      <c r="A17" s="153" t="s">
        <v>237</v>
      </c>
      <c r="B17" s="161" t="s">
        <v>15</v>
      </c>
      <c r="C17" s="161" t="s">
        <v>122</v>
      </c>
      <c r="D17" s="161" t="s">
        <v>123</v>
      </c>
      <c r="E17" s="230" t="s">
        <v>525</v>
      </c>
      <c r="F17" s="161"/>
      <c r="G17" s="161"/>
      <c r="H17" s="161"/>
      <c r="I17" s="161"/>
      <c r="J17" s="161"/>
      <c r="K17" s="161"/>
      <c r="L17" s="161"/>
      <c r="M17" s="161"/>
      <c r="N17" s="161"/>
      <c r="O17" s="161"/>
      <c r="P17" s="161"/>
      <c r="Q17" s="161"/>
      <c r="R17" s="161"/>
      <c r="S17" s="161"/>
      <c r="T17" s="161"/>
      <c r="U17" s="161"/>
      <c r="V17" s="204"/>
      <c r="W17" s="204"/>
      <c r="X17" s="204"/>
      <c r="Y17" s="153" t="s">
        <v>237</v>
      </c>
      <c r="Z17" s="235">
        <f>Z18</f>
        <v>1851610.71</v>
      </c>
      <c r="AA17" s="235">
        <f>AA18</f>
        <v>1398388</v>
      </c>
      <c r="AB17" s="235">
        <f>AB18</f>
        <v>1398388</v>
      </c>
      <c r="AC17" s="558" t="s">
        <v>237</v>
      </c>
      <c r="AE17" s="127"/>
    </row>
    <row r="18" spans="1:31" ht="110.25" customHeight="1" x14ac:dyDescent="0.3">
      <c r="A18" s="1018" t="s">
        <v>723</v>
      </c>
      <c r="B18" s="1016" t="s">
        <v>15</v>
      </c>
      <c r="C18" s="1016" t="s">
        <v>122</v>
      </c>
      <c r="D18" s="1016" t="s">
        <v>123</v>
      </c>
      <c r="E18" s="1015" t="s">
        <v>525</v>
      </c>
      <c r="F18" s="1016"/>
      <c r="G18" s="1016"/>
      <c r="H18" s="1016"/>
      <c r="I18" s="1016"/>
      <c r="J18" s="1016"/>
      <c r="K18" s="1016"/>
      <c r="L18" s="1016"/>
      <c r="M18" s="1016"/>
      <c r="N18" s="1016"/>
      <c r="O18" s="1016"/>
      <c r="P18" s="1016"/>
      <c r="Q18" s="1016"/>
      <c r="R18" s="1016"/>
      <c r="S18" s="1016"/>
      <c r="T18" s="1016" t="s">
        <v>38</v>
      </c>
      <c r="U18" s="1016"/>
      <c r="V18" s="1017"/>
      <c r="W18" s="1017"/>
      <c r="X18" s="1017"/>
      <c r="Y18" s="1018" t="s">
        <v>272</v>
      </c>
      <c r="Z18" s="1019">
        <f>1398388+462273.41-52036.96+42986.26</f>
        <v>1851610.71</v>
      </c>
      <c r="AA18" s="210">
        <v>1398388</v>
      </c>
      <c r="AB18" s="210">
        <v>1398388</v>
      </c>
      <c r="AC18" s="559" t="s">
        <v>272</v>
      </c>
    </row>
    <row r="19" spans="1:31" ht="85.5" customHeight="1" x14ac:dyDescent="0.3">
      <c r="A19" s="153" t="s">
        <v>238</v>
      </c>
      <c r="B19" s="161" t="s">
        <v>15</v>
      </c>
      <c r="C19" s="161" t="s">
        <v>122</v>
      </c>
      <c r="D19" s="161" t="s">
        <v>123</v>
      </c>
      <c r="E19" s="230" t="s">
        <v>526</v>
      </c>
      <c r="F19" s="161"/>
      <c r="G19" s="161"/>
      <c r="H19" s="161"/>
      <c r="I19" s="161"/>
      <c r="J19" s="161"/>
      <c r="K19" s="161"/>
      <c r="L19" s="161"/>
      <c r="M19" s="161"/>
      <c r="N19" s="161"/>
      <c r="O19" s="161"/>
      <c r="P19" s="161"/>
      <c r="Q19" s="161"/>
      <c r="R19" s="161"/>
      <c r="S19" s="161"/>
      <c r="T19" s="161"/>
      <c r="U19" s="161"/>
      <c r="V19" s="204"/>
      <c r="W19" s="204"/>
      <c r="X19" s="204"/>
      <c r="Y19" s="153" t="s">
        <v>238</v>
      </c>
      <c r="Z19" s="235">
        <f>Z20+Z21+Z23+Z22</f>
        <v>2149065.2599999998</v>
      </c>
      <c r="AA19" s="235">
        <f>AA20+AA21+AA23</f>
        <v>1595157.1199999999</v>
      </c>
      <c r="AB19" s="235">
        <f>AB20+AB21+AB23</f>
        <v>1595157.1199999999</v>
      </c>
      <c r="AC19" s="558" t="s">
        <v>238</v>
      </c>
      <c r="AE19" s="127"/>
    </row>
    <row r="20" spans="1:31" ht="97.15" customHeight="1" x14ac:dyDescent="0.3">
      <c r="A20" s="1018" t="s">
        <v>723</v>
      </c>
      <c r="B20" s="1016" t="s">
        <v>15</v>
      </c>
      <c r="C20" s="1016" t="s">
        <v>122</v>
      </c>
      <c r="D20" s="1016" t="s">
        <v>123</v>
      </c>
      <c r="E20" s="1015" t="s">
        <v>526</v>
      </c>
      <c r="F20" s="1016"/>
      <c r="G20" s="1016"/>
      <c r="H20" s="1016"/>
      <c r="I20" s="1016"/>
      <c r="J20" s="1016"/>
      <c r="K20" s="1016"/>
      <c r="L20" s="1016"/>
      <c r="M20" s="1016"/>
      <c r="N20" s="1016"/>
      <c r="O20" s="1016"/>
      <c r="P20" s="1016"/>
      <c r="Q20" s="1016"/>
      <c r="R20" s="1016"/>
      <c r="S20" s="1016"/>
      <c r="T20" s="1016" t="s">
        <v>38</v>
      </c>
      <c r="U20" s="1016"/>
      <c r="V20" s="1017"/>
      <c r="W20" s="1017"/>
      <c r="X20" s="1017"/>
      <c r="Y20" s="1018" t="s">
        <v>273</v>
      </c>
      <c r="Z20" s="1019">
        <f>1377587.25+200000+50000+153908.14</f>
        <v>1781495.3900000001</v>
      </c>
      <c r="AA20" s="210">
        <v>1377587.25</v>
      </c>
      <c r="AB20" s="210">
        <v>1377587.25</v>
      </c>
      <c r="AC20" s="559" t="s">
        <v>273</v>
      </c>
      <c r="AD20" s="718"/>
      <c r="AE20" s="127"/>
    </row>
    <row r="21" spans="1:31" ht="43.15" customHeight="1" x14ac:dyDescent="0.3">
      <c r="A21" s="135" t="s">
        <v>1318</v>
      </c>
      <c r="B21" s="136" t="s">
        <v>15</v>
      </c>
      <c r="C21" s="136" t="s">
        <v>122</v>
      </c>
      <c r="D21" s="136" t="s">
        <v>123</v>
      </c>
      <c r="E21" s="230" t="s">
        <v>526</v>
      </c>
      <c r="F21" s="136"/>
      <c r="G21" s="136"/>
      <c r="H21" s="136"/>
      <c r="I21" s="136"/>
      <c r="J21" s="136"/>
      <c r="K21" s="136"/>
      <c r="L21" s="136"/>
      <c r="M21" s="136"/>
      <c r="N21" s="136"/>
      <c r="O21" s="136"/>
      <c r="P21" s="136"/>
      <c r="Q21" s="136"/>
      <c r="R21" s="136"/>
      <c r="S21" s="136"/>
      <c r="T21" s="136" t="s">
        <v>275</v>
      </c>
      <c r="U21" s="136"/>
      <c r="V21" s="137"/>
      <c r="W21" s="137"/>
      <c r="X21" s="137"/>
      <c r="Y21" s="135" t="s">
        <v>274</v>
      </c>
      <c r="Z21" s="210">
        <f>222573.22-13000+150000-51246</f>
        <v>308327.21999999997</v>
      </c>
      <c r="AA21" s="210">
        <v>209573.22</v>
      </c>
      <c r="AB21" s="210">
        <v>209573.22</v>
      </c>
      <c r="AC21" s="211" t="s">
        <v>274</v>
      </c>
      <c r="AE21" s="127"/>
    </row>
    <row r="22" spans="1:31" ht="43.5" customHeight="1" x14ac:dyDescent="0.3">
      <c r="A22" s="1013" t="s">
        <v>727</v>
      </c>
      <c r="B22" s="1016" t="s">
        <v>15</v>
      </c>
      <c r="C22" s="1016" t="s">
        <v>122</v>
      </c>
      <c r="D22" s="1016" t="s">
        <v>123</v>
      </c>
      <c r="E22" s="1015" t="s">
        <v>526</v>
      </c>
      <c r="F22" s="1016"/>
      <c r="G22" s="1016"/>
      <c r="H22" s="1016"/>
      <c r="I22" s="1016"/>
      <c r="J22" s="1016"/>
      <c r="K22" s="1016"/>
      <c r="L22" s="1016"/>
      <c r="M22" s="1016"/>
      <c r="N22" s="1016"/>
      <c r="O22" s="1016"/>
      <c r="P22" s="1016"/>
      <c r="Q22" s="1016"/>
      <c r="R22" s="1016"/>
      <c r="S22" s="1016"/>
      <c r="T22" s="1016" t="s">
        <v>393</v>
      </c>
      <c r="U22" s="1016"/>
      <c r="V22" s="1017"/>
      <c r="W22" s="1017"/>
      <c r="X22" s="1017"/>
      <c r="Y22" s="1013"/>
      <c r="Z22" s="1019">
        <f>51246+1500</f>
        <v>52746</v>
      </c>
      <c r="AA22" s="210">
        <v>0</v>
      </c>
      <c r="AB22" s="210">
        <v>0</v>
      </c>
      <c r="AC22" s="211"/>
      <c r="AE22" s="127"/>
    </row>
    <row r="23" spans="1:31" ht="36.75" customHeight="1" x14ac:dyDescent="0.3">
      <c r="A23" s="1013" t="s">
        <v>760</v>
      </c>
      <c r="B23" s="1016" t="s">
        <v>15</v>
      </c>
      <c r="C23" s="1016" t="s">
        <v>122</v>
      </c>
      <c r="D23" s="1016" t="s">
        <v>123</v>
      </c>
      <c r="E23" s="1015" t="s">
        <v>526</v>
      </c>
      <c r="F23" s="1016"/>
      <c r="G23" s="1016"/>
      <c r="H23" s="1016"/>
      <c r="I23" s="1016"/>
      <c r="J23" s="1016"/>
      <c r="K23" s="1016"/>
      <c r="L23" s="1016"/>
      <c r="M23" s="1016"/>
      <c r="N23" s="1016"/>
      <c r="O23" s="1016"/>
      <c r="P23" s="1016"/>
      <c r="Q23" s="1016"/>
      <c r="R23" s="1016"/>
      <c r="S23" s="1016"/>
      <c r="T23" s="1016" t="s">
        <v>243</v>
      </c>
      <c r="U23" s="1016"/>
      <c r="V23" s="1017"/>
      <c r="W23" s="1017"/>
      <c r="X23" s="1017"/>
      <c r="Y23" s="1013" t="s">
        <v>276</v>
      </c>
      <c r="Z23" s="1019">
        <f>7996.65-1500</f>
        <v>6496.65</v>
      </c>
      <c r="AA23" s="210">
        <v>7996.65</v>
      </c>
      <c r="AB23" s="210">
        <v>7996.65</v>
      </c>
      <c r="AC23" s="211" t="s">
        <v>276</v>
      </c>
      <c r="AD23" s="718"/>
      <c r="AE23" s="127"/>
    </row>
    <row r="24" spans="1:31" ht="101.25" customHeight="1" x14ac:dyDescent="0.3">
      <c r="A24" s="159" t="s">
        <v>249</v>
      </c>
      <c r="B24" s="160" t="s">
        <v>15</v>
      </c>
      <c r="C24" s="160" t="s">
        <v>122</v>
      </c>
      <c r="D24" s="160" t="s">
        <v>136</v>
      </c>
      <c r="E24" s="139"/>
      <c r="F24" s="160"/>
      <c r="G24" s="160"/>
      <c r="H24" s="160"/>
      <c r="I24" s="160"/>
      <c r="J24" s="160"/>
      <c r="K24" s="160"/>
      <c r="L24" s="160"/>
      <c r="M24" s="160"/>
      <c r="N24" s="160"/>
      <c r="O24" s="160"/>
      <c r="P24" s="160"/>
      <c r="Q24" s="160"/>
      <c r="R24" s="160"/>
      <c r="S24" s="160"/>
      <c r="T24" s="160"/>
      <c r="U24" s="160"/>
      <c r="V24" s="212"/>
      <c r="W24" s="212"/>
      <c r="X24" s="212"/>
      <c r="Y24" s="159" t="s">
        <v>249</v>
      </c>
      <c r="Z24" s="213">
        <f>Z25+Z27+Z34+Z32</f>
        <v>29148844.360000003</v>
      </c>
      <c r="AA24" s="213">
        <f>AA25+AA27+AA34+AA32</f>
        <v>30947252.790000003</v>
      </c>
      <c r="AB24" s="213">
        <f>AB25+AB27+AB34+AB32</f>
        <v>30947252.790000003</v>
      </c>
      <c r="AC24" s="168" t="e">
        <f t="shared" ref="AC24" si="1">AC25+AC27+AC34+AC32</f>
        <v>#VALUE!</v>
      </c>
      <c r="AE24" s="127"/>
    </row>
    <row r="25" spans="1:31" ht="152.25" hidden="1" customHeight="1" x14ac:dyDescent="0.3">
      <c r="A25" s="152" t="s">
        <v>984</v>
      </c>
      <c r="B25" s="161" t="s">
        <v>15</v>
      </c>
      <c r="C25" s="161" t="s">
        <v>122</v>
      </c>
      <c r="D25" s="161" t="s">
        <v>136</v>
      </c>
      <c r="E25" s="230" t="s">
        <v>986</v>
      </c>
      <c r="F25" s="161"/>
      <c r="G25" s="161"/>
      <c r="H25" s="161"/>
      <c r="I25" s="161"/>
      <c r="J25" s="161"/>
      <c r="K25" s="161"/>
      <c r="L25" s="161"/>
      <c r="M25" s="161"/>
      <c r="N25" s="161"/>
      <c r="O25" s="161"/>
      <c r="P25" s="161"/>
      <c r="Q25" s="161"/>
      <c r="R25" s="161"/>
      <c r="S25" s="161"/>
      <c r="T25" s="161"/>
      <c r="U25" s="161"/>
      <c r="V25" s="204"/>
      <c r="W25" s="204"/>
      <c r="X25" s="204"/>
      <c r="Y25" s="153" t="s">
        <v>277</v>
      </c>
      <c r="Z25" s="235">
        <f>Z26</f>
        <v>0</v>
      </c>
      <c r="AA25" s="235">
        <f>AA26</f>
        <v>0</v>
      </c>
      <c r="AB25" s="235">
        <f>AB26</f>
        <v>0</v>
      </c>
      <c r="AC25" s="558" t="s">
        <v>277</v>
      </c>
    </row>
    <row r="26" spans="1:31" ht="84" hidden="1" customHeight="1" x14ac:dyDescent="0.3">
      <c r="A26" s="135" t="s">
        <v>985</v>
      </c>
      <c r="B26" s="136" t="s">
        <v>15</v>
      </c>
      <c r="C26" s="136" t="s">
        <v>122</v>
      </c>
      <c r="D26" s="136" t="s">
        <v>136</v>
      </c>
      <c r="E26" s="230" t="s">
        <v>986</v>
      </c>
      <c r="F26" s="136"/>
      <c r="G26" s="136"/>
      <c r="H26" s="136"/>
      <c r="I26" s="136"/>
      <c r="J26" s="136"/>
      <c r="K26" s="136"/>
      <c r="L26" s="136"/>
      <c r="M26" s="136"/>
      <c r="N26" s="136"/>
      <c r="O26" s="136"/>
      <c r="P26" s="136"/>
      <c r="Q26" s="136"/>
      <c r="R26" s="136"/>
      <c r="S26" s="136"/>
      <c r="T26" s="136" t="s">
        <v>275</v>
      </c>
      <c r="U26" s="136"/>
      <c r="V26" s="137"/>
      <c r="W26" s="137"/>
      <c r="X26" s="137"/>
      <c r="Y26" s="135" t="s">
        <v>278</v>
      </c>
      <c r="Z26" s="210">
        <v>0</v>
      </c>
      <c r="AA26" s="210">
        <v>0</v>
      </c>
      <c r="AB26" s="210">
        <v>0</v>
      </c>
      <c r="AC26" s="211" t="s">
        <v>278</v>
      </c>
    </row>
    <row r="27" spans="1:31" ht="143.44999999999999" customHeight="1" x14ac:dyDescent="0.3">
      <c r="A27" s="153" t="s">
        <v>1219</v>
      </c>
      <c r="B27" s="161" t="s">
        <v>15</v>
      </c>
      <c r="C27" s="161" t="s">
        <v>122</v>
      </c>
      <c r="D27" s="161" t="s">
        <v>136</v>
      </c>
      <c r="E27" s="230" t="s">
        <v>527</v>
      </c>
      <c r="F27" s="161"/>
      <c r="G27" s="161"/>
      <c r="H27" s="161"/>
      <c r="I27" s="161"/>
      <c r="J27" s="161"/>
      <c r="K27" s="161"/>
      <c r="L27" s="161"/>
      <c r="M27" s="161"/>
      <c r="N27" s="161"/>
      <c r="O27" s="161"/>
      <c r="P27" s="161"/>
      <c r="Q27" s="161"/>
      <c r="R27" s="161"/>
      <c r="S27" s="161"/>
      <c r="T27" s="161"/>
      <c r="U27" s="161"/>
      <c r="V27" s="204"/>
      <c r="W27" s="204"/>
      <c r="X27" s="204"/>
      <c r="Y27" s="153" t="s">
        <v>279</v>
      </c>
      <c r="Z27" s="235">
        <f>Z28+Z29+Z31+Z30</f>
        <v>28998844.360000003</v>
      </c>
      <c r="AA27" s="235">
        <f>AA28+AA29+AA31+AA30</f>
        <v>30797252.790000003</v>
      </c>
      <c r="AB27" s="235">
        <f>AB28+AB29+AB31+AB30</f>
        <v>30797252.790000003</v>
      </c>
      <c r="AC27" s="558" t="s">
        <v>279</v>
      </c>
      <c r="AE27" s="127"/>
    </row>
    <row r="28" spans="1:31" ht="100.15" customHeight="1" x14ac:dyDescent="0.3">
      <c r="A28" s="1018" t="s">
        <v>723</v>
      </c>
      <c r="B28" s="1016" t="s">
        <v>15</v>
      </c>
      <c r="C28" s="1016" t="s">
        <v>122</v>
      </c>
      <c r="D28" s="1016" t="s">
        <v>136</v>
      </c>
      <c r="E28" s="1015" t="s">
        <v>527</v>
      </c>
      <c r="F28" s="1016"/>
      <c r="G28" s="1016"/>
      <c r="H28" s="1016"/>
      <c r="I28" s="1016"/>
      <c r="J28" s="1016"/>
      <c r="K28" s="1016"/>
      <c r="L28" s="1016"/>
      <c r="M28" s="1016"/>
      <c r="N28" s="1016"/>
      <c r="O28" s="1016"/>
      <c r="P28" s="1016"/>
      <c r="Q28" s="1016"/>
      <c r="R28" s="1016"/>
      <c r="S28" s="1016"/>
      <c r="T28" s="1016" t="s">
        <v>38</v>
      </c>
      <c r="U28" s="1016"/>
      <c r="V28" s="1017"/>
      <c r="W28" s="1017"/>
      <c r="X28" s="1017"/>
      <c r="Y28" s="1018" t="s">
        <v>280</v>
      </c>
      <c r="Z28" s="1019">
        <f>17266840.2+689030.66+5214585.74+1282124.41+734111+221702+719541.11-1224422.17-180000-1000000-42986.26</f>
        <v>23680526.690000001</v>
      </c>
      <c r="AA28" s="210">
        <v>26127935.120000001</v>
      </c>
      <c r="AB28" s="210">
        <v>26127935.120000001</v>
      </c>
      <c r="AC28" s="559" t="s">
        <v>280</v>
      </c>
      <c r="AE28" s="127"/>
    </row>
    <row r="29" spans="1:31" ht="48" customHeight="1" x14ac:dyDescent="0.3">
      <c r="A29" s="135" t="s">
        <v>565</v>
      </c>
      <c r="B29" s="136" t="s">
        <v>15</v>
      </c>
      <c r="C29" s="136" t="s">
        <v>122</v>
      </c>
      <c r="D29" s="136" t="s">
        <v>136</v>
      </c>
      <c r="E29" s="230" t="s">
        <v>527</v>
      </c>
      <c r="F29" s="136"/>
      <c r="G29" s="136"/>
      <c r="H29" s="136"/>
      <c r="I29" s="136"/>
      <c r="J29" s="136"/>
      <c r="K29" s="136"/>
      <c r="L29" s="136"/>
      <c r="M29" s="136"/>
      <c r="N29" s="136"/>
      <c r="O29" s="136"/>
      <c r="P29" s="136"/>
      <c r="Q29" s="136"/>
      <c r="R29" s="136"/>
      <c r="S29" s="136"/>
      <c r="T29" s="136" t="s">
        <v>275</v>
      </c>
      <c r="U29" s="136"/>
      <c r="V29" s="137"/>
      <c r="W29" s="137"/>
      <c r="X29" s="137"/>
      <c r="Y29" s="135" t="s">
        <v>281</v>
      </c>
      <c r="Z29" s="210">
        <f>4393266.48+800000-29000</f>
        <v>5164266.4800000004</v>
      </c>
      <c r="AA29" s="210">
        <f>1127061.54+2572541.69+387346.05+256317.2+50000</f>
        <v>4393266.4799999995</v>
      </c>
      <c r="AB29" s="210">
        <f>1127061.54+2572541.69+387346.05+256317.2+50000</f>
        <v>4393266.4799999995</v>
      </c>
      <c r="AC29" s="211" t="s">
        <v>281</v>
      </c>
      <c r="AE29" s="127"/>
    </row>
    <row r="30" spans="1:31" ht="42.75" customHeight="1" x14ac:dyDescent="0.3">
      <c r="A30" s="135" t="s">
        <v>727</v>
      </c>
      <c r="B30" s="136" t="s">
        <v>15</v>
      </c>
      <c r="C30" s="136" t="s">
        <v>122</v>
      </c>
      <c r="D30" s="136" t="s">
        <v>136</v>
      </c>
      <c r="E30" s="230" t="s">
        <v>527</v>
      </c>
      <c r="F30" s="136"/>
      <c r="G30" s="136"/>
      <c r="H30" s="136"/>
      <c r="I30" s="136"/>
      <c r="J30" s="136"/>
      <c r="K30" s="136"/>
      <c r="L30" s="136"/>
      <c r="M30" s="136"/>
      <c r="N30" s="136"/>
      <c r="O30" s="136"/>
      <c r="P30" s="136"/>
      <c r="Q30" s="136"/>
      <c r="R30" s="136"/>
      <c r="S30" s="136"/>
      <c r="T30" s="136" t="s">
        <v>393</v>
      </c>
      <c r="U30" s="136"/>
      <c r="V30" s="137"/>
      <c r="W30" s="137"/>
      <c r="X30" s="137"/>
      <c r="Y30" s="135"/>
      <c r="Z30" s="210">
        <f>10000+3000</f>
        <v>13000</v>
      </c>
      <c r="AA30" s="210">
        <v>10000</v>
      </c>
      <c r="AB30" s="210">
        <v>10000</v>
      </c>
      <c r="AC30" s="211"/>
    </row>
    <row r="31" spans="1:31" ht="36" customHeight="1" x14ac:dyDescent="0.3">
      <c r="A31" s="135" t="s">
        <v>760</v>
      </c>
      <c r="B31" s="136" t="s">
        <v>15</v>
      </c>
      <c r="C31" s="136" t="s">
        <v>122</v>
      </c>
      <c r="D31" s="136" t="s">
        <v>136</v>
      </c>
      <c r="E31" s="230" t="s">
        <v>527</v>
      </c>
      <c r="F31" s="136"/>
      <c r="G31" s="136"/>
      <c r="H31" s="136"/>
      <c r="I31" s="136"/>
      <c r="J31" s="136"/>
      <c r="K31" s="136"/>
      <c r="L31" s="136"/>
      <c r="M31" s="136"/>
      <c r="N31" s="136"/>
      <c r="O31" s="136"/>
      <c r="P31" s="136"/>
      <c r="Q31" s="136"/>
      <c r="R31" s="136"/>
      <c r="S31" s="136"/>
      <c r="T31" s="136" t="s">
        <v>243</v>
      </c>
      <c r="U31" s="136"/>
      <c r="V31" s="137"/>
      <c r="W31" s="137"/>
      <c r="X31" s="137"/>
      <c r="Y31" s="135" t="s">
        <v>282</v>
      </c>
      <c r="Z31" s="210">
        <f>93879.52+162171.67+10000-50000-20000-2000-3000-50000</f>
        <v>141051.19</v>
      </c>
      <c r="AA31" s="210">
        <f>93879.52+162171.67+10000</f>
        <v>266051.19</v>
      </c>
      <c r="AB31" s="210">
        <f>93879.52+162171.67+10000</f>
        <v>266051.19</v>
      </c>
      <c r="AC31" s="211" t="s">
        <v>282</v>
      </c>
    </row>
    <row r="32" spans="1:31" s="271" customFormat="1" ht="91.5" hidden="1" customHeight="1" x14ac:dyDescent="0.3">
      <c r="A32" s="153" t="s">
        <v>864</v>
      </c>
      <c r="B32" s="161" t="s">
        <v>15</v>
      </c>
      <c r="C32" s="161" t="s">
        <v>122</v>
      </c>
      <c r="D32" s="161" t="s">
        <v>136</v>
      </c>
      <c r="E32" s="230" t="s">
        <v>863</v>
      </c>
      <c r="F32" s="161"/>
      <c r="G32" s="161"/>
      <c r="H32" s="161"/>
      <c r="I32" s="161"/>
      <c r="J32" s="161"/>
      <c r="K32" s="161"/>
      <c r="L32" s="161"/>
      <c r="M32" s="161"/>
      <c r="N32" s="161"/>
      <c r="O32" s="161"/>
      <c r="P32" s="161"/>
      <c r="Q32" s="161"/>
      <c r="R32" s="161"/>
      <c r="S32" s="161"/>
      <c r="T32" s="161"/>
      <c r="U32" s="161"/>
      <c r="V32" s="204"/>
      <c r="W32" s="204"/>
      <c r="X32" s="204"/>
      <c r="Y32" s="153"/>
      <c r="Z32" s="235">
        <f>Z33</f>
        <v>0</v>
      </c>
      <c r="AA32" s="235">
        <f>AA33</f>
        <v>0</v>
      </c>
      <c r="AB32" s="235">
        <f>AB33</f>
        <v>0</v>
      </c>
      <c r="AC32" s="560">
        <f>AC33</f>
        <v>0</v>
      </c>
    </row>
    <row r="33" spans="1:29" s="271" customFormat="1" ht="87.75" hidden="1" customHeight="1" x14ac:dyDescent="0.3">
      <c r="A33" s="135" t="s">
        <v>281</v>
      </c>
      <c r="B33" s="136" t="s">
        <v>15</v>
      </c>
      <c r="C33" s="136" t="s">
        <v>122</v>
      </c>
      <c r="D33" s="136" t="s">
        <v>136</v>
      </c>
      <c r="E33" s="230" t="s">
        <v>863</v>
      </c>
      <c r="F33" s="136"/>
      <c r="G33" s="136"/>
      <c r="H33" s="136"/>
      <c r="I33" s="136"/>
      <c r="J33" s="136"/>
      <c r="K33" s="136"/>
      <c r="L33" s="136"/>
      <c r="M33" s="136"/>
      <c r="N33" s="136"/>
      <c r="O33" s="136"/>
      <c r="P33" s="136"/>
      <c r="Q33" s="136"/>
      <c r="R33" s="136"/>
      <c r="S33" s="136"/>
      <c r="T33" s="136" t="s">
        <v>275</v>
      </c>
      <c r="U33" s="136"/>
      <c r="V33" s="137"/>
      <c r="W33" s="137"/>
      <c r="X33" s="137"/>
      <c r="Y33" s="135"/>
      <c r="Z33" s="210">
        <v>0</v>
      </c>
      <c r="AA33" s="210">
        <v>0</v>
      </c>
      <c r="AB33" s="210">
        <v>0</v>
      </c>
      <c r="AC33" s="561"/>
    </row>
    <row r="34" spans="1:29" ht="96.75" customHeight="1" x14ac:dyDescent="0.3">
      <c r="A34" s="153" t="s">
        <v>283</v>
      </c>
      <c r="B34" s="161" t="s">
        <v>15</v>
      </c>
      <c r="C34" s="161" t="s">
        <v>122</v>
      </c>
      <c r="D34" s="161" t="s">
        <v>136</v>
      </c>
      <c r="E34" s="230" t="s">
        <v>528</v>
      </c>
      <c r="F34" s="161"/>
      <c r="G34" s="161"/>
      <c r="H34" s="161"/>
      <c r="I34" s="161"/>
      <c r="J34" s="161"/>
      <c r="K34" s="161"/>
      <c r="L34" s="161"/>
      <c r="M34" s="161"/>
      <c r="N34" s="161"/>
      <c r="O34" s="161"/>
      <c r="P34" s="161"/>
      <c r="Q34" s="161"/>
      <c r="R34" s="161"/>
      <c r="S34" s="161"/>
      <c r="T34" s="161"/>
      <c r="U34" s="161"/>
      <c r="V34" s="204"/>
      <c r="W34" s="204"/>
      <c r="X34" s="204"/>
      <c r="Y34" s="153" t="s">
        <v>283</v>
      </c>
      <c r="Z34" s="235">
        <f>Z35+Z36</f>
        <v>150000</v>
      </c>
      <c r="AA34" s="235">
        <f>AA35+AA36</f>
        <v>150000</v>
      </c>
      <c r="AB34" s="235">
        <f>AB35+AB36</f>
        <v>150000</v>
      </c>
      <c r="AC34" s="558" t="s">
        <v>283</v>
      </c>
    </row>
    <row r="35" spans="1:29" ht="108" customHeight="1" x14ac:dyDescent="0.3">
      <c r="A35" s="154" t="s">
        <v>723</v>
      </c>
      <c r="B35" s="136" t="s">
        <v>15</v>
      </c>
      <c r="C35" s="136" t="s">
        <v>122</v>
      </c>
      <c r="D35" s="136" t="s">
        <v>136</v>
      </c>
      <c r="E35" s="230" t="s">
        <v>528</v>
      </c>
      <c r="F35" s="136"/>
      <c r="G35" s="136"/>
      <c r="H35" s="136"/>
      <c r="I35" s="136"/>
      <c r="J35" s="136"/>
      <c r="K35" s="136"/>
      <c r="L35" s="136"/>
      <c r="M35" s="136"/>
      <c r="N35" s="136"/>
      <c r="O35" s="136"/>
      <c r="P35" s="136"/>
      <c r="Q35" s="136"/>
      <c r="R35" s="136"/>
      <c r="S35" s="136"/>
      <c r="T35" s="136" t="s">
        <v>38</v>
      </c>
      <c r="U35" s="136"/>
      <c r="V35" s="137"/>
      <c r="W35" s="137"/>
      <c r="X35" s="137"/>
      <c r="Y35" s="154" t="s">
        <v>284</v>
      </c>
      <c r="Z35" s="210">
        <v>100000</v>
      </c>
      <c r="AA35" s="210">
        <v>100000</v>
      </c>
      <c r="AB35" s="210">
        <v>100000</v>
      </c>
      <c r="AC35" s="559" t="s">
        <v>284</v>
      </c>
    </row>
    <row r="36" spans="1:29" ht="39" customHeight="1" x14ac:dyDescent="0.3">
      <c r="A36" s="135" t="s">
        <v>565</v>
      </c>
      <c r="B36" s="136" t="s">
        <v>15</v>
      </c>
      <c r="C36" s="136" t="s">
        <v>122</v>
      </c>
      <c r="D36" s="136" t="s">
        <v>136</v>
      </c>
      <c r="E36" s="230" t="s">
        <v>528</v>
      </c>
      <c r="F36" s="136"/>
      <c r="G36" s="136"/>
      <c r="H36" s="136"/>
      <c r="I36" s="136"/>
      <c r="J36" s="136"/>
      <c r="K36" s="136"/>
      <c r="L36" s="136"/>
      <c r="M36" s="136"/>
      <c r="N36" s="136"/>
      <c r="O36" s="136"/>
      <c r="P36" s="136"/>
      <c r="Q36" s="136"/>
      <c r="R36" s="136"/>
      <c r="S36" s="136"/>
      <c r="T36" s="136" t="s">
        <v>275</v>
      </c>
      <c r="U36" s="136"/>
      <c r="V36" s="137"/>
      <c r="W36" s="137"/>
      <c r="X36" s="137"/>
      <c r="Y36" s="135" t="s">
        <v>285</v>
      </c>
      <c r="Z36" s="210">
        <v>50000</v>
      </c>
      <c r="AA36" s="210">
        <v>50000</v>
      </c>
      <c r="AB36" s="210">
        <v>50000</v>
      </c>
      <c r="AC36" s="211" t="s">
        <v>285</v>
      </c>
    </row>
    <row r="37" spans="1:29" ht="27" customHeight="1" x14ac:dyDescent="0.3">
      <c r="A37" s="159" t="s">
        <v>137</v>
      </c>
      <c r="B37" s="160" t="s">
        <v>15</v>
      </c>
      <c r="C37" s="160" t="s">
        <v>122</v>
      </c>
      <c r="D37" s="160" t="s">
        <v>124</v>
      </c>
      <c r="E37" s="139"/>
      <c r="F37" s="160"/>
      <c r="G37" s="160"/>
      <c r="H37" s="160"/>
      <c r="I37" s="160"/>
      <c r="J37" s="160"/>
      <c r="K37" s="160"/>
      <c r="L37" s="160"/>
      <c r="M37" s="160"/>
      <c r="N37" s="160"/>
      <c r="O37" s="160"/>
      <c r="P37" s="160"/>
      <c r="Q37" s="160"/>
      <c r="R37" s="160"/>
      <c r="S37" s="160"/>
      <c r="T37" s="160"/>
      <c r="U37" s="160"/>
      <c r="V37" s="212"/>
      <c r="W37" s="212"/>
      <c r="X37" s="212"/>
      <c r="Y37" s="159" t="s">
        <v>137</v>
      </c>
      <c r="Z37" s="213">
        <f>Z38</f>
        <v>27892</v>
      </c>
      <c r="AA37" s="213">
        <f t="shared" ref="Z37:AB38" si="2">AA38</f>
        <v>29405</v>
      </c>
      <c r="AB37" s="213">
        <f t="shared" si="2"/>
        <v>31153</v>
      </c>
      <c r="AC37" s="573" t="s">
        <v>137</v>
      </c>
    </row>
    <row r="38" spans="1:29" ht="80.25" customHeight="1" x14ac:dyDescent="0.3">
      <c r="A38" s="291" t="s">
        <v>230</v>
      </c>
      <c r="B38" s="161" t="s">
        <v>15</v>
      </c>
      <c r="C38" s="161" t="s">
        <v>122</v>
      </c>
      <c r="D38" s="161" t="s">
        <v>124</v>
      </c>
      <c r="E38" s="230" t="s">
        <v>645</v>
      </c>
      <c r="F38" s="161"/>
      <c r="G38" s="161"/>
      <c r="H38" s="161"/>
      <c r="I38" s="161"/>
      <c r="J38" s="161"/>
      <c r="K38" s="161"/>
      <c r="L38" s="161"/>
      <c r="M38" s="161"/>
      <c r="N38" s="161"/>
      <c r="O38" s="161"/>
      <c r="P38" s="161"/>
      <c r="Q38" s="161"/>
      <c r="R38" s="161"/>
      <c r="S38" s="161"/>
      <c r="T38" s="161"/>
      <c r="U38" s="161"/>
      <c r="V38" s="204"/>
      <c r="W38" s="204"/>
      <c r="X38" s="204"/>
      <c r="Y38" s="153" t="s">
        <v>230</v>
      </c>
      <c r="Z38" s="235">
        <f t="shared" si="2"/>
        <v>27892</v>
      </c>
      <c r="AA38" s="235">
        <f t="shared" si="2"/>
        <v>29405</v>
      </c>
      <c r="AB38" s="235">
        <f t="shared" si="2"/>
        <v>31153</v>
      </c>
      <c r="AC38" s="558" t="s">
        <v>230</v>
      </c>
    </row>
    <row r="39" spans="1:29" ht="54" customHeight="1" x14ac:dyDescent="0.3">
      <c r="A39" s="339" t="s">
        <v>565</v>
      </c>
      <c r="B39" s="136" t="s">
        <v>15</v>
      </c>
      <c r="C39" s="136" t="s">
        <v>122</v>
      </c>
      <c r="D39" s="136" t="s">
        <v>124</v>
      </c>
      <c r="E39" s="230" t="s">
        <v>645</v>
      </c>
      <c r="F39" s="136"/>
      <c r="G39" s="136"/>
      <c r="H39" s="136"/>
      <c r="I39" s="136"/>
      <c r="J39" s="136"/>
      <c r="K39" s="136"/>
      <c r="L39" s="136"/>
      <c r="M39" s="136"/>
      <c r="N39" s="136"/>
      <c r="O39" s="136"/>
      <c r="P39" s="136"/>
      <c r="Q39" s="136"/>
      <c r="R39" s="136"/>
      <c r="S39" s="136"/>
      <c r="T39" s="136" t="s">
        <v>275</v>
      </c>
      <c r="U39" s="136"/>
      <c r="V39" s="137"/>
      <c r="W39" s="137"/>
      <c r="X39" s="137"/>
      <c r="Y39" s="135" t="s">
        <v>286</v>
      </c>
      <c r="Z39" s="210">
        <f>27900-8</f>
        <v>27892</v>
      </c>
      <c r="AA39" s="210">
        <f>29400+5</f>
        <v>29405</v>
      </c>
      <c r="AB39" s="210">
        <f>31100+53</f>
        <v>31153</v>
      </c>
      <c r="AC39" s="211" t="s">
        <v>286</v>
      </c>
    </row>
    <row r="40" spans="1:29" ht="74.25" customHeight="1" x14ac:dyDescent="0.3">
      <c r="A40" s="159" t="s">
        <v>250</v>
      </c>
      <c r="B40" s="160" t="s">
        <v>15</v>
      </c>
      <c r="C40" s="160" t="s">
        <v>122</v>
      </c>
      <c r="D40" s="160" t="s">
        <v>125</v>
      </c>
      <c r="E40" s="139"/>
      <c r="F40" s="160"/>
      <c r="G40" s="160"/>
      <c r="H40" s="160"/>
      <c r="I40" s="160"/>
      <c r="J40" s="160"/>
      <c r="K40" s="160"/>
      <c r="L40" s="160"/>
      <c r="M40" s="160"/>
      <c r="N40" s="160"/>
      <c r="O40" s="160"/>
      <c r="P40" s="160"/>
      <c r="Q40" s="160"/>
      <c r="R40" s="160"/>
      <c r="S40" s="160"/>
      <c r="T40" s="160"/>
      <c r="U40" s="160"/>
      <c r="V40" s="212"/>
      <c r="W40" s="212"/>
      <c r="X40" s="212"/>
      <c r="Y40" s="159" t="s">
        <v>250</v>
      </c>
      <c r="Z40" s="213">
        <f t="shared" ref="Z40:AB41" si="3">Z41</f>
        <v>285199.07000000007</v>
      </c>
      <c r="AA40" s="213">
        <f t="shared" si="3"/>
        <v>570430.68000000005</v>
      </c>
      <c r="AB40" s="213">
        <f t="shared" si="3"/>
        <v>570430.68000000005</v>
      </c>
      <c r="AC40" s="288" t="s">
        <v>250</v>
      </c>
    </row>
    <row r="41" spans="1:29" ht="74.45" customHeight="1" x14ac:dyDescent="0.3">
      <c r="A41" s="153" t="s">
        <v>239</v>
      </c>
      <c r="B41" s="161" t="s">
        <v>15</v>
      </c>
      <c r="C41" s="161" t="s">
        <v>122</v>
      </c>
      <c r="D41" s="161" t="s">
        <v>125</v>
      </c>
      <c r="E41" s="230" t="s">
        <v>529</v>
      </c>
      <c r="F41" s="161"/>
      <c r="G41" s="161"/>
      <c r="H41" s="161"/>
      <c r="I41" s="161"/>
      <c r="J41" s="161"/>
      <c r="K41" s="161"/>
      <c r="L41" s="161"/>
      <c r="M41" s="161"/>
      <c r="N41" s="161"/>
      <c r="O41" s="161"/>
      <c r="P41" s="161"/>
      <c r="Q41" s="161"/>
      <c r="R41" s="161"/>
      <c r="S41" s="161"/>
      <c r="T41" s="161"/>
      <c r="U41" s="161"/>
      <c r="V41" s="204"/>
      <c r="W41" s="204"/>
      <c r="X41" s="204"/>
      <c r="Y41" s="153" t="s">
        <v>239</v>
      </c>
      <c r="Z41" s="235">
        <f t="shared" si="3"/>
        <v>285199.07000000007</v>
      </c>
      <c r="AA41" s="235">
        <f t="shared" si="3"/>
        <v>570430.68000000005</v>
      </c>
      <c r="AB41" s="235">
        <f t="shared" si="3"/>
        <v>570430.68000000005</v>
      </c>
      <c r="AC41" s="558" t="s">
        <v>239</v>
      </c>
    </row>
    <row r="42" spans="1:29" ht="103.15" customHeight="1" x14ac:dyDescent="0.3">
      <c r="A42" s="1018" t="s">
        <v>723</v>
      </c>
      <c r="B42" s="1016" t="s">
        <v>15</v>
      </c>
      <c r="C42" s="1016" t="s">
        <v>122</v>
      </c>
      <c r="D42" s="1016" t="s">
        <v>125</v>
      </c>
      <c r="E42" s="1015" t="s">
        <v>529</v>
      </c>
      <c r="F42" s="1016"/>
      <c r="G42" s="1016"/>
      <c r="H42" s="1016"/>
      <c r="I42" s="1016"/>
      <c r="J42" s="1016"/>
      <c r="K42" s="1016"/>
      <c r="L42" s="1016"/>
      <c r="M42" s="1016"/>
      <c r="N42" s="1016"/>
      <c r="O42" s="1016"/>
      <c r="P42" s="1016"/>
      <c r="Q42" s="1016"/>
      <c r="R42" s="1016"/>
      <c r="S42" s="1016"/>
      <c r="T42" s="1016" t="s">
        <v>38</v>
      </c>
      <c r="U42" s="1016"/>
      <c r="V42" s="1017"/>
      <c r="W42" s="1017"/>
      <c r="X42" s="1017"/>
      <c r="Y42" s="1018" t="s">
        <v>287</v>
      </c>
      <c r="Z42" s="1019">
        <f>408410.1+1114.06+123339.85+21315+16251.67-200000-50000-35231.61</f>
        <v>285199.07000000007</v>
      </c>
      <c r="AA42" s="210">
        <v>570430.68000000005</v>
      </c>
      <c r="AB42" s="210">
        <v>570430.68000000005</v>
      </c>
      <c r="AC42" s="559" t="s">
        <v>287</v>
      </c>
    </row>
    <row r="43" spans="1:29" ht="42.75" customHeight="1" x14ac:dyDescent="0.35">
      <c r="A43" s="207" t="s">
        <v>139</v>
      </c>
      <c r="B43" s="160" t="s">
        <v>15</v>
      </c>
      <c r="C43" s="160" t="s">
        <v>122</v>
      </c>
      <c r="D43" s="160" t="s">
        <v>138</v>
      </c>
      <c r="E43" s="139"/>
      <c r="F43" s="214"/>
      <c r="G43" s="214"/>
      <c r="H43" s="214"/>
      <c r="I43" s="214"/>
      <c r="J43" s="214"/>
      <c r="K43" s="214"/>
      <c r="L43" s="214"/>
      <c r="M43" s="214"/>
      <c r="N43" s="214"/>
      <c r="O43" s="214"/>
      <c r="P43" s="214"/>
      <c r="Q43" s="214"/>
      <c r="R43" s="214"/>
      <c r="S43" s="214"/>
      <c r="T43" s="214"/>
      <c r="U43" s="214"/>
      <c r="V43" s="215"/>
      <c r="W43" s="215"/>
      <c r="X43" s="215"/>
      <c r="Y43" s="216"/>
      <c r="Z43" s="213">
        <f t="shared" ref="Z43:AB44" si="4">Z44</f>
        <v>2300839.5499999998</v>
      </c>
      <c r="AA43" s="217">
        <f t="shared" si="4"/>
        <v>0</v>
      </c>
      <c r="AB43" s="217">
        <f t="shared" si="4"/>
        <v>0</v>
      </c>
      <c r="AC43" s="559"/>
    </row>
    <row r="44" spans="1:29" ht="148.9" customHeight="1" x14ac:dyDescent="0.3">
      <c r="A44" s="486" t="s">
        <v>1221</v>
      </c>
      <c r="B44" s="161" t="s">
        <v>15</v>
      </c>
      <c r="C44" s="161" t="s">
        <v>122</v>
      </c>
      <c r="D44" s="161" t="s">
        <v>138</v>
      </c>
      <c r="E44" s="230" t="s">
        <v>710</v>
      </c>
      <c r="F44" s="136"/>
      <c r="G44" s="136"/>
      <c r="H44" s="136"/>
      <c r="I44" s="136"/>
      <c r="J44" s="136"/>
      <c r="K44" s="136"/>
      <c r="L44" s="136"/>
      <c r="M44" s="136"/>
      <c r="N44" s="136"/>
      <c r="O44" s="136"/>
      <c r="P44" s="136"/>
      <c r="Q44" s="136"/>
      <c r="R44" s="136"/>
      <c r="S44" s="136"/>
      <c r="T44" s="136"/>
      <c r="U44" s="136"/>
      <c r="V44" s="137"/>
      <c r="W44" s="137"/>
      <c r="X44" s="137"/>
      <c r="Y44" s="154"/>
      <c r="Z44" s="210">
        <f t="shared" si="4"/>
        <v>2300839.5499999998</v>
      </c>
      <c r="AA44" s="210">
        <f t="shared" si="4"/>
        <v>0</v>
      </c>
      <c r="AB44" s="210">
        <f t="shared" si="4"/>
        <v>0</v>
      </c>
      <c r="AC44" s="559"/>
    </row>
    <row r="45" spans="1:29" ht="39.75" customHeight="1" x14ac:dyDescent="0.3">
      <c r="A45" s="154" t="s">
        <v>721</v>
      </c>
      <c r="B45" s="161" t="s">
        <v>15</v>
      </c>
      <c r="C45" s="161" t="s">
        <v>122</v>
      </c>
      <c r="D45" s="161" t="s">
        <v>138</v>
      </c>
      <c r="E45" s="230" t="s">
        <v>710</v>
      </c>
      <c r="F45" s="136"/>
      <c r="G45" s="136"/>
      <c r="H45" s="136"/>
      <c r="I45" s="136"/>
      <c r="J45" s="136"/>
      <c r="K45" s="136"/>
      <c r="L45" s="136"/>
      <c r="M45" s="136"/>
      <c r="N45" s="136"/>
      <c r="O45" s="136"/>
      <c r="P45" s="136"/>
      <c r="Q45" s="136"/>
      <c r="R45" s="136"/>
      <c r="S45" s="136"/>
      <c r="T45" s="136" t="s">
        <v>243</v>
      </c>
      <c r="U45" s="136"/>
      <c r="V45" s="137"/>
      <c r="W45" s="137"/>
      <c r="X45" s="137"/>
      <c r="Y45" s="154"/>
      <c r="Z45" s="210">
        <f>2646000-345160.45</f>
        <v>2300839.5499999998</v>
      </c>
      <c r="AA45" s="210">
        <v>0</v>
      </c>
      <c r="AB45" s="210">
        <v>0</v>
      </c>
      <c r="AC45" s="559"/>
    </row>
    <row r="46" spans="1:29" ht="28.5" customHeight="1" x14ac:dyDescent="0.3">
      <c r="A46" s="159" t="s">
        <v>140</v>
      </c>
      <c r="B46" s="160" t="s">
        <v>15</v>
      </c>
      <c r="C46" s="160" t="s">
        <v>122</v>
      </c>
      <c r="D46" s="160" t="s">
        <v>128</v>
      </c>
      <c r="E46" s="139"/>
      <c r="F46" s="160"/>
      <c r="G46" s="160"/>
      <c r="H46" s="160"/>
      <c r="I46" s="160"/>
      <c r="J46" s="160"/>
      <c r="K46" s="160"/>
      <c r="L46" s="160"/>
      <c r="M46" s="160"/>
      <c r="N46" s="160"/>
      <c r="O46" s="160"/>
      <c r="P46" s="160"/>
      <c r="Q46" s="160"/>
      <c r="R46" s="160"/>
      <c r="S46" s="160"/>
      <c r="T46" s="160"/>
      <c r="U46" s="160"/>
      <c r="V46" s="212"/>
      <c r="W46" s="212"/>
      <c r="X46" s="212"/>
      <c r="Y46" s="159" t="s">
        <v>140</v>
      </c>
      <c r="Z46" s="213">
        <f t="shared" ref="Z46:AB46" si="5">Z47</f>
        <v>351931</v>
      </c>
      <c r="AA46" s="213">
        <f t="shared" si="5"/>
        <v>351931</v>
      </c>
      <c r="AB46" s="213">
        <f t="shared" si="5"/>
        <v>351931</v>
      </c>
      <c r="AC46" s="288" t="s">
        <v>140</v>
      </c>
    </row>
    <row r="47" spans="1:29" ht="133.15" customHeight="1" x14ac:dyDescent="0.3">
      <c r="A47" s="153" t="s">
        <v>1327</v>
      </c>
      <c r="B47" s="161" t="s">
        <v>15</v>
      </c>
      <c r="C47" s="161" t="s">
        <v>122</v>
      </c>
      <c r="D47" s="161" t="s">
        <v>128</v>
      </c>
      <c r="E47" s="230" t="s">
        <v>530</v>
      </c>
      <c r="F47" s="161"/>
      <c r="G47" s="161"/>
      <c r="H47" s="161"/>
      <c r="I47" s="161"/>
      <c r="J47" s="161"/>
      <c r="K47" s="161"/>
      <c r="L47" s="161"/>
      <c r="M47" s="161"/>
      <c r="N47" s="161"/>
      <c r="O47" s="161"/>
      <c r="P47" s="161"/>
      <c r="Q47" s="161"/>
      <c r="R47" s="161"/>
      <c r="S47" s="161"/>
      <c r="T47" s="161"/>
      <c r="U47" s="161"/>
      <c r="V47" s="204"/>
      <c r="W47" s="204"/>
      <c r="X47" s="204"/>
      <c r="Y47" s="153" t="s">
        <v>288</v>
      </c>
      <c r="Z47" s="235">
        <f>Z48</f>
        <v>351931</v>
      </c>
      <c r="AA47" s="235">
        <f>AA48</f>
        <v>351931</v>
      </c>
      <c r="AB47" s="235">
        <f>AB48</f>
        <v>351931</v>
      </c>
      <c r="AC47" s="558" t="s">
        <v>288</v>
      </c>
    </row>
    <row r="48" spans="1:29" ht="30.75" customHeight="1" x14ac:dyDescent="0.3">
      <c r="A48" s="135" t="s">
        <v>760</v>
      </c>
      <c r="B48" s="136" t="s">
        <v>15</v>
      </c>
      <c r="C48" s="136" t="s">
        <v>122</v>
      </c>
      <c r="D48" s="136" t="s">
        <v>128</v>
      </c>
      <c r="E48" s="230" t="s">
        <v>530</v>
      </c>
      <c r="F48" s="136"/>
      <c r="G48" s="136"/>
      <c r="H48" s="136"/>
      <c r="I48" s="136"/>
      <c r="J48" s="136"/>
      <c r="K48" s="136"/>
      <c r="L48" s="136"/>
      <c r="M48" s="136"/>
      <c r="N48" s="136"/>
      <c r="O48" s="136"/>
      <c r="P48" s="136"/>
      <c r="Q48" s="136"/>
      <c r="R48" s="136"/>
      <c r="S48" s="136"/>
      <c r="T48" s="136" t="s">
        <v>243</v>
      </c>
      <c r="U48" s="136"/>
      <c r="V48" s="137"/>
      <c r="W48" s="137"/>
      <c r="X48" s="137"/>
      <c r="Y48" s="135" t="s">
        <v>289</v>
      </c>
      <c r="Z48" s="210">
        <v>351931</v>
      </c>
      <c r="AA48" s="210">
        <v>351931</v>
      </c>
      <c r="AB48" s="210">
        <v>351931</v>
      </c>
      <c r="AC48" s="211" t="s">
        <v>289</v>
      </c>
    </row>
    <row r="49" spans="1:31" ht="32.25" customHeight="1" x14ac:dyDescent="0.3">
      <c r="A49" s="159" t="s">
        <v>141</v>
      </c>
      <c r="B49" s="160" t="s">
        <v>15</v>
      </c>
      <c r="C49" s="160" t="s">
        <v>122</v>
      </c>
      <c r="D49" s="160" t="s">
        <v>130</v>
      </c>
      <c r="E49" s="139"/>
      <c r="F49" s="160"/>
      <c r="G49" s="160"/>
      <c r="H49" s="160"/>
      <c r="I49" s="160"/>
      <c r="J49" s="160"/>
      <c r="K49" s="160"/>
      <c r="L49" s="160"/>
      <c r="M49" s="160"/>
      <c r="N49" s="160"/>
      <c r="O49" s="160"/>
      <c r="P49" s="160"/>
      <c r="Q49" s="160"/>
      <c r="R49" s="160"/>
      <c r="S49" s="160"/>
      <c r="T49" s="160"/>
      <c r="U49" s="160"/>
      <c r="V49" s="212"/>
      <c r="W49" s="212"/>
      <c r="X49" s="212"/>
      <c r="Y49" s="159" t="s">
        <v>141</v>
      </c>
      <c r="Z49" s="213">
        <f>Z50+Z54+Z90+Z98+Z58+Z95+Z56+Z81+Z87+Z52+Z60+Z62+Z66+Z77+Z70+Z75+Z72+Z84+Z79+Z93</f>
        <v>74877265.890000001</v>
      </c>
      <c r="AA49" s="213">
        <f>AA50+AA54+AA90+AA98+AA58+AA95+AA56+AA81+AA87+AA52+AA60+AA62+AA66+AA84</f>
        <v>42272532.690000005</v>
      </c>
      <c r="AB49" s="213">
        <f>AB50+AB54+AB90+AB98+AB58+AB95+AB56+AB81+AB87+AB52+AB60+AB62+AB66+AB84</f>
        <v>42072598.830000006</v>
      </c>
      <c r="AC49" s="288" t="s">
        <v>141</v>
      </c>
    </row>
    <row r="50" spans="1:31" ht="44.25" hidden="1" customHeight="1" x14ac:dyDescent="0.3">
      <c r="A50" s="153" t="s">
        <v>593</v>
      </c>
      <c r="B50" s="161" t="s">
        <v>15</v>
      </c>
      <c r="C50" s="161" t="s">
        <v>122</v>
      </c>
      <c r="D50" s="161" t="s">
        <v>130</v>
      </c>
      <c r="E50" s="230" t="s">
        <v>531</v>
      </c>
      <c r="F50" s="161"/>
      <c r="G50" s="161"/>
      <c r="H50" s="161"/>
      <c r="I50" s="161"/>
      <c r="J50" s="161"/>
      <c r="K50" s="161"/>
      <c r="L50" s="161"/>
      <c r="M50" s="161"/>
      <c r="N50" s="161"/>
      <c r="O50" s="161"/>
      <c r="P50" s="161"/>
      <c r="Q50" s="161"/>
      <c r="R50" s="161"/>
      <c r="S50" s="161"/>
      <c r="T50" s="161"/>
      <c r="U50" s="161"/>
      <c r="V50" s="204"/>
      <c r="W50" s="204"/>
      <c r="X50" s="204"/>
      <c r="Y50" s="153" t="s">
        <v>290</v>
      </c>
      <c r="Z50" s="235">
        <f>Z51</f>
        <v>0</v>
      </c>
      <c r="AA50" s="235">
        <f>AA51</f>
        <v>0</v>
      </c>
      <c r="AB50" s="235">
        <f>AB51</f>
        <v>0</v>
      </c>
      <c r="AC50" s="558" t="s">
        <v>290</v>
      </c>
    </row>
    <row r="51" spans="1:31" ht="114" hidden="1" customHeight="1" x14ac:dyDescent="0.3">
      <c r="A51" s="135" t="s">
        <v>291</v>
      </c>
      <c r="B51" s="136" t="s">
        <v>15</v>
      </c>
      <c r="C51" s="136" t="s">
        <v>122</v>
      </c>
      <c r="D51" s="136" t="s">
        <v>130</v>
      </c>
      <c r="E51" s="230" t="s">
        <v>531</v>
      </c>
      <c r="F51" s="136"/>
      <c r="G51" s="136"/>
      <c r="H51" s="136"/>
      <c r="I51" s="136"/>
      <c r="J51" s="136"/>
      <c r="K51" s="136"/>
      <c r="L51" s="136"/>
      <c r="M51" s="136"/>
      <c r="N51" s="136"/>
      <c r="O51" s="136"/>
      <c r="P51" s="136"/>
      <c r="Q51" s="136"/>
      <c r="R51" s="136"/>
      <c r="S51" s="136"/>
      <c r="T51" s="136" t="s">
        <v>275</v>
      </c>
      <c r="U51" s="136"/>
      <c r="V51" s="137"/>
      <c r="W51" s="137"/>
      <c r="X51" s="137"/>
      <c r="Y51" s="135" t="s">
        <v>291</v>
      </c>
      <c r="Z51" s="210">
        <f>800000-800000</f>
        <v>0</v>
      </c>
      <c r="AA51" s="210">
        <v>0</v>
      </c>
      <c r="AB51" s="210">
        <v>0</v>
      </c>
      <c r="AC51" s="211" t="s">
        <v>291</v>
      </c>
    </row>
    <row r="52" spans="1:31" ht="173.25" customHeight="1" x14ac:dyDescent="0.3">
      <c r="A52" s="155" t="s">
        <v>1313</v>
      </c>
      <c r="B52" s="136" t="s">
        <v>15</v>
      </c>
      <c r="C52" s="136" t="s">
        <v>122</v>
      </c>
      <c r="D52" s="136" t="s">
        <v>130</v>
      </c>
      <c r="E52" s="230" t="s">
        <v>1107</v>
      </c>
      <c r="F52" s="136"/>
      <c r="G52" s="136"/>
      <c r="H52" s="136"/>
      <c r="I52" s="136"/>
      <c r="J52" s="136"/>
      <c r="K52" s="136"/>
      <c r="L52" s="136"/>
      <c r="M52" s="136"/>
      <c r="N52" s="136"/>
      <c r="O52" s="136"/>
      <c r="P52" s="136"/>
      <c r="Q52" s="136"/>
      <c r="R52" s="136"/>
      <c r="S52" s="136"/>
      <c r="T52" s="136"/>
      <c r="U52" s="136"/>
      <c r="V52" s="137"/>
      <c r="W52" s="137"/>
      <c r="X52" s="137"/>
      <c r="Y52" s="135"/>
      <c r="Z52" s="210">
        <f>Z53</f>
        <v>23076255.629999999</v>
      </c>
      <c r="AA52" s="210">
        <f>AA53</f>
        <v>21986350.640000001</v>
      </c>
      <c r="AB52" s="210">
        <f>AB53</f>
        <v>21986350.640000001</v>
      </c>
      <c r="AC52" s="211"/>
    </row>
    <row r="53" spans="1:31" ht="60" customHeight="1" x14ac:dyDescent="0.3">
      <c r="A53" s="1013" t="s">
        <v>708</v>
      </c>
      <c r="B53" s="1016" t="s">
        <v>15</v>
      </c>
      <c r="C53" s="1016" t="s">
        <v>122</v>
      </c>
      <c r="D53" s="1016" t="s">
        <v>130</v>
      </c>
      <c r="E53" s="1015" t="s">
        <v>1107</v>
      </c>
      <c r="F53" s="1016"/>
      <c r="G53" s="1016"/>
      <c r="H53" s="1016"/>
      <c r="I53" s="1016"/>
      <c r="J53" s="1016"/>
      <c r="K53" s="1016"/>
      <c r="L53" s="1016"/>
      <c r="M53" s="1016"/>
      <c r="N53" s="1016"/>
      <c r="O53" s="1016"/>
      <c r="P53" s="1016"/>
      <c r="Q53" s="1016"/>
      <c r="R53" s="1016"/>
      <c r="S53" s="1016"/>
      <c r="T53" s="1016" t="s">
        <v>294</v>
      </c>
      <c r="U53" s="1016"/>
      <c r="V53" s="1017"/>
      <c r="W53" s="1017"/>
      <c r="X53" s="1017"/>
      <c r="Y53" s="1013"/>
      <c r="Z53" s="1019">
        <f>12896493+9089857.64+1089904.99</f>
        <v>23076255.629999999</v>
      </c>
      <c r="AA53" s="210">
        <f>12896493+9089857.64</f>
        <v>21986350.640000001</v>
      </c>
      <c r="AB53" s="210">
        <f>12896493+9089857.64</f>
        <v>21986350.640000001</v>
      </c>
      <c r="AC53" s="211"/>
    </row>
    <row r="54" spans="1:31" ht="186.6" customHeight="1" x14ac:dyDescent="0.3">
      <c r="A54" s="153" t="s">
        <v>1402</v>
      </c>
      <c r="B54" s="161" t="s">
        <v>15</v>
      </c>
      <c r="C54" s="161" t="s">
        <v>122</v>
      </c>
      <c r="D54" s="161" t="s">
        <v>130</v>
      </c>
      <c r="E54" s="230" t="s">
        <v>532</v>
      </c>
      <c r="F54" s="161"/>
      <c r="G54" s="161"/>
      <c r="H54" s="161"/>
      <c r="I54" s="161"/>
      <c r="J54" s="161"/>
      <c r="K54" s="161"/>
      <c r="L54" s="161"/>
      <c r="M54" s="161"/>
      <c r="N54" s="161"/>
      <c r="O54" s="161"/>
      <c r="P54" s="161"/>
      <c r="Q54" s="161"/>
      <c r="R54" s="161"/>
      <c r="S54" s="161"/>
      <c r="T54" s="161"/>
      <c r="U54" s="161"/>
      <c r="V54" s="204"/>
      <c r="W54" s="204"/>
      <c r="X54" s="204"/>
      <c r="Y54" s="153" t="s">
        <v>292</v>
      </c>
      <c r="Z54" s="235">
        <f>Z55</f>
        <v>4750000</v>
      </c>
      <c r="AA54" s="235">
        <f>AA55</f>
        <v>300000</v>
      </c>
      <c r="AB54" s="235">
        <f>AB55</f>
        <v>0</v>
      </c>
      <c r="AC54" s="558" t="s">
        <v>292</v>
      </c>
    </row>
    <row r="55" spans="1:31" ht="69.75" customHeight="1" x14ac:dyDescent="0.3">
      <c r="A55" s="154" t="s">
        <v>708</v>
      </c>
      <c r="B55" s="136" t="s">
        <v>15</v>
      </c>
      <c r="C55" s="136" t="s">
        <v>122</v>
      </c>
      <c r="D55" s="136" t="s">
        <v>130</v>
      </c>
      <c r="E55" s="230" t="s">
        <v>532</v>
      </c>
      <c r="F55" s="136"/>
      <c r="G55" s="136"/>
      <c r="H55" s="136"/>
      <c r="I55" s="136"/>
      <c r="J55" s="136"/>
      <c r="K55" s="136"/>
      <c r="L55" s="136"/>
      <c r="M55" s="136"/>
      <c r="N55" s="136"/>
      <c r="O55" s="136"/>
      <c r="P55" s="136"/>
      <c r="Q55" s="136"/>
      <c r="R55" s="136"/>
      <c r="S55" s="136"/>
      <c r="T55" s="136" t="s">
        <v>294</v>
      </c>
      <c r="U55" s="136"/>
      <c r="V55" s="137"/>
      <c r="W55" s="137"/>
      <c r="X55" s="137"/>
      <c r="Y55" s="154" t="s">
        <v>293</v>
      </c>
      <c r="Z55" s="210">
        <f>2580000+2170000</f>
        <v>4750000</v>
      </c>
      <c r="AA55" s="210">
        <v>300000</v>
      </c>
      <c r="AB55" s="210">
        <v>0</v>
      </c>
      <c r="AC55" s="559" t="s">
        <v>293</v>
      </c>
    </row>
    <row r="56" spans="1:31" ht="48" hidden="1" customHeight="1" thickBot="1" x14ac:dyDescent="0.35">
      <c r="A56" s="486" t="s">
        <v>988</v>
      </c>
      <c r="B56" s="136" t="s">
        <v>15</v>
      </c>
      <c r="C56" s="136" t="s">
        <v>122</v>
      </c>
      <c r="D56" s="136" t="s">
        <v>130</v>
      </c>
      <c r="E56" s="230" t="s">
        <v>798</v>
      </c>
      <c r="F56" s="136"/>
      <c r="G56" s="136"/>
      <c r="H56" s="136"/>
      <c r="I56" s="136"/>
      <c r="J56" s="136"/>
      <c r="K56" s="136"/>
      <c r="L56" s="136"/>
      <c r="M56" s="136"/>
      <c r="N56" s="136"/>
      <c r="O56" s="136"/>
      <c r="P56" s="136"/>
      <c r="Q56" s="136"/>
      <c r="R56" s="136"/>
      <c r="S56" s="136"/>
      <c r="T56" s="136"/>
      <c r="U56" s="136"/>
      <c r="V56" s="137"/>
      <c r="W56" s="137"/>
      <c r="X56" s="137"/>
      <c r="Y56" s="154"/>
      <c r="Z56" s="210">
        <f>Z57</f>
        <v>0</v>
      </c>
      <c r="AA56" s="210">
        <v>0</v>
      </c>
      <c r="AB56" s="210">
        <v>0</v>
      </c>
      <c r="AC56" s="559"/>
    </row>
    <row r="57" spans="1:31" ht="45.75" hidden="1" customHeight="1" thickBot="1" x14ac:dyDescent="0.35">
      <c r="A57" s="154" t="s">
        <v>797</v>
      </c>
      <c r="B57" s="136" t="s">
        <v>15</v>
      </c>
      <c r="C57" s="136" t="s">
        <v>122</v>
      </c>
      <c r="D57" s="136" t="s">
        <v>130</v>
      </c>
      <c r="E57" s="230" t="s">
        <v>798</v>
      </c>
      <c r="F57" s="136"/>
      <c r="G57" s="136"/>
      <c r="H57" s="136"/>
      <c r="I57" s="136"/>
      <c r="J57" s="136"/>
      <c r="K57" s="136"/>
      <c r="L57" s="136"/>
      <c r="M57" s="136"/>
      <c r="N57" s="136"/>
      <c r="O57" s="136"/>
      <c r="P57" s="136"/>
      <c r="Q57" s="136"/>
      <c r="R57" s="136"/>
      <c r="S57" s="136"/>
      <c r="T57" s="136" t="s">
        <v>243</v>
      </c>
      <c r="U57" s="136"/>
      <c r="V57" s="137"/>
      <c r="W57" s="137"/>
      <c r="X57" s="137"/>
      <c r="Y57" s="154"/>
      <c r="Z57" s="210">
        <v>0</v>
      </c>
      <c r="AA57" s="210">
        <v>0</v>
      </c>
      <c r="AB57" s="210">
        <v>0</v>
      </c>
      <c r="AC57" s="559"/>
    </row>
    <row r="58" spans="1:31" s="271" customFormat="1" ht="45.75" hidden="1" customHeight="1" thickBot="1" x14ac:dyDescent="0.35">
      <c r="A58" s="155" t="s">
        <v>754</v>
      </c>
      <c r="B58" s="136" t="s">
        <v>15</v>
      </c>
      <c r="C58" s="136" t="s">
        <v>122</v>
      </c>
      <c r="D58" s="136" t="s">
        <v>130</v>
      </c>
      <c r="E58" s="230" t="s">
        <v>752</v>
      </c>
      <c r="F58" s="136"/>
      <c r="G58" s="136"/>
      <c r="H58" s="136"/>
      <c r="I58" s="136"/>
      <c r="J58" s="136"/>
      <c r="K58" s="136"/>
      <c r="L58" s="136"/>
      <c r="M58" s="136"/>
      <c r="N58" s="136"/>
      <c r="O58" s="136"/>
      <c r="P58" s="136"/>
      <c r="Q58" s="136"/>
      <c r="R58" s="136"/>
      <c r="S58" s="136"/>
      <c r="T58" s="136"/>
      <c r="U58" s="136"/>
      <c r="V58" s="137"/>
      <c r="W58" s="137"/>
      <c r="X58" s="137"/>
      <c r="Y58" s="154"/>
      <c r="Z58" s="210">
        <f>Z59</f>
        <v>0</v>
      </c>
      <c r="AA58" s="210">
        <f>AA59</f>
        <v>0</v>
      </c>
      <c r="AB58" s="210">
        <f>AB59</f>
        <v>0</v>
      </c>
      <c r="AC58" s="562"/>
    </row>
    <row r="59" spans="1:31" s="271" customFormat="1" ht="107.25" hidden="1" customHeight="1" thickBot="1" x14ac:dyDescent="0.35">
      <c r="A59" s="749" t="s">
        <v>755</v>
      </c>
      <c r="B59" s="136" t="s">
        <v>15</v>
      </c>
      <c r="C59" s="136" t="s">
        <v>122</v>
      </c>
      <c r="D59" s="136" t="s">
        <v>130</v>
      </c>
      <c r="E59" s="230" t="s">
        <v>752</v>
      </c>
      <c r="F59" s="136"/>
      <c r="G59" s="136"/>
      <c r="H59" s="136"/>
      <c r="I59" s="136"/>
      <c r="J59" s="136"/>
      <c r="K59" s="136"/>
      <c r="L59" s="136"/>
      <c r="M59" s="136"/>
      <c r="N59" s="136"/>
      <c r="O59" s="136"/>
      <c r="P59" s="136"/>
      <c r="Q59" s="136"/>
      <c r="R59" s="136"/>
      <c r="S59" s="136"/>
      <c r="T59" s="136" t="s">
        <v>275</v>
      </c>
      <c r="U59" s="136"/>
      <c r="V59" s="137"/>
      <c r="W59" s="137"/>
      <c r="X59" s="137"/>
      <c r="Y59" s="154"/>
      <c r="Z59" s="210">
        <v>0</v>
      </c>
      <c r="AA59" s="210">
        <v>0</v>
      </c>
      <c r="AB59" s="210">
        <v>0</v>
      </c>
      <c r="AC59" s="562"/>
    </row>
    <row r="60" spans="1:31" s="271" customFormat="1" ht="149.25" customHeight="1" x14ac:dyDescent="0.3">
      <c r="A60" s="867" t="s">
        <v>1386</v>
      </c>
      <c r="B60" s="245" t="s">
        <v>15</v>
      </c>
      <c r="C60" s="136" t="s">
        <v>122</v>
      </c>
      <c r="D60" s="136" t="s">
        <v>130</v>
      </c>
      <c r="E60" s="230" t="s">
        <v>1370</v>
      </c>
      <c r="F60" s="136"/>
      <c r="G60" s="136"/>
      <c r="H60" s="136"/>
      <c r="I60" s="136"/>
      <c r="J60" s="136"/>
      <c r="K60" s="136"/>
      <c r="L60" s="136"/>
      <c r="M60" s="136"/>
      <c r="N60" s="136"/>
      <c r="O60" s="136"/>
      <c r="P60" s="136"/>
      <c r="Q60" s="136"/>
      <c r="R60" s="136"/>
      <c r="S60" s="136"/>
      <c r="T60" s="136"/>
      <c r="U60" s="136"/>
      <c r="V60" s="137"/>
      <c r="W60" s="137"/>
      <c r="X60" s="137"/>
      <c r="Y60" s="154"/>
      <c r="Z60" s="210">
        <f>Z61</f>
        <v>2348310.9699999997</v>
      </c>
      <c r="AA60" s="210">
        <f>AA61</f>
        <v>3489834.84</v>
      </c>
      <c r="AB60" s="210">
        <f>AB61</f>
        <v>3489834.84</v>
      </c>
      <c r="AC60" s="562"/>
    </row>
    <row r="61" spans="1:31" s="271" customFormat="1" ht="55.5" customHeight="1" x14ac:dyDescent="0.3">
      <c r="A61" s="1089" t="s">
        <v>708</v>
      </c>
      <c r="B61" s="1016" t="s">
        <v>15</v>
      </c>
      <c r="C61" s="1016" t="s">
        <v>122</v>
      </c>
      <c r="D61" s="1016" t="s">
        <v>130</v>
      </c>
      <c r="E61" s="1015" t="s">
        <v>1370</v>
      </c>
      <c r="F61" s="1016"/>
      <c r="G61" s="1016"/>
      <c r="H61" s="1016"/>
      <c r="I61" s="1016"/>
      <c r="J61" s="1016"/>
      <c r="K61" s="1016"/>
      <c r="L61" s="1016"/>
      <c r="M61" s="1016"/>
      <c r="N61" s="1016"/>
      <c r="O61" s="1016"/>
      <c r="P61" s="1016"/>
      <c r="Q61" s="1016"/>
      <c r="R61" s="1016"/>
      <c r="S61" s="1016"/>
      <c r="T61" s="1016" t="s">
        <v>294</v>
      </c>
      <c r="U61" s="1016"/>
      <c r="V61" s="1017"/>
      <c r="W61" s="1017"/>
      <c r="X61" s="1017"/>
      <c r="Y61" s="1018"/>
      <c r="Z61" s="1019">
        <f>3489834.84+3000000+100000+100000+100000-3000000+40000+40000-1442023.87-75000-4500</f>
        <v>2348310.9699999997</v>
      </c>
      <c r="AA61" s="210">
        <v>3489834.84</v>
      </c>
      <c r="AB61" s="210">
        <v>3489834.84</v>
      </c>
      <c r="AC61" s="562"/>
      <c r="AE61" s="661"/>
    </row>
    <row r="62" spans="1:31" s="271" customFormat="1" ht="164.25" customHeight="1" x14ac:dyDescent="0.3">
      <c r="A62" s="486" t="s">
        <v>1387</v>
      </c>
      <c r="B62" s="136" t="s">
        <v>15</v>
      </c>
      <c r="C62" s="136" t="s">
        <v>122</v>
      </c>
      <c r="D62" s="136" t="s">
        <v>130</v>
      </c>
      <c r="E62" s="230" t="s">
        <v>1371</v>
      </c>
      <c r="F62" s="136"/>
      <c r="G62" s="136"/>
      <c r="H62" s="136"/>
      <c r="I62" s="136"/>
      <c r="J62" s="136"/>
      <c r="K62" s="136"/>
      <c r="L62" s="136"/>
      <c r="M62" s="136"/>
      <c r="N62" s="136"/>
      <c r="O62" s="136"/>
      <c r="P62" s="136"/>
      <c r="Q62" s="136"/>
      <c r="R62" s="136"/>
      <c r="S62" s="136"/>
      <c r="T62" s="136"/>
      <c r="U62" s="136"/>
      <c r="V62" s="137"/>
      <c r="W62" s="137"/>
      <c r="X62" s="137"/>
      <c r="Y62" s="154"/>
      <c r="Z62" s="210">
        <f>Z63+Z64+Z65</f>
        <v>10020956.779999999</v>
      </c>
      <c r="AA62" s="210">
        <f>AA63+AA64</f>
        <v>8281043.8099999996</v>
      </c>
      <c r="AB62" s="210">
        <f>AB63+AB64</f>
        <v>8281043.8099999996</v>
      </c>
      <c r="AC62" s="562"/>
    </row>
    <row r="63" spans="1:31" s="271" customFormat="1" ht="103.5" customHeight="1" x14ac:dyDescent="0.3">
      <c r="A63" s="1018" t="s">
        <v>723</v>
      </c>
      <c r="B63" s="1016" t="s">
        <v>15</v>
      </c>
      <c r="C63" s="1016" t="s">
        <v>122</v>
      </c>
      <c r="D63" s="1016" t="s">
        <v>130</v>
      </c>
      <c r="E63" s="1015" t="s">
        <v>1371</v>
      </c>
      <c r="F63" s="1016"/>
      <c r="G63" s="1016"/>
      <c r="H63" s="1016"/>
      <c r="I63" s="1016"/>
      <c r="J63" s="1016"/>
      <c r="K63" s="1016"/>
      <c r="L63" s="1016"/>
      <c r="M63" s="1016"/>
      <c r="N63" s="1016"/>
      <c r="O63" s="1016"/>
      <c r="P63" s="1016"/>
      <c r="Q63" s="1016"/>
      <c r="R63" s="1016"/>
      <c r="S63" s="1016"/>
      <c r="T63" s="1016" t="s">
        <v>38</v>
      </c>
      <c r="U63" s="1016"/>
      <c r="V63" s="1017"/>
      <c r="W63" s="1017"/>
      <c r="X63" s="1017"/>
      <c r="Y63" s="1018"/>
      <c r="Z63" s="1019">
        <f>8281043.81-100000+100000+5883.97+82910.21+25038</f>
        <v>8394875.9899999984</v>
      </c>
      <c r="AA63" s="210">
        <v>8181043.8099999996</v>
      </c>
      <c r="AB63" s="210">
        <v>8181043.8099999996</v>
      </c>
      <c r="AC63" s="562"/>
    </row>
    <row r="64" spans="1:31" s="271" customFormat="1" ht="55.5" customHeight="1" x14ac:dyDescent="0.3">
      <c r="A64" s="1018" t="s">
        <v>565</v>
      </c>
      <c r="B64" s="1016" t="s">
        <v>15</v>
      </c>
      <c r="C64" s="1016" t="s">
        <v>122</v>
      </c>
      <c r="D64" s="1016" t="s">
        <v>130</v>
      </c>
      <c r="E64" s="1015" t="s">
        <v>1371</v>
      </c>
      <c r="F64" s="1016"/>
      <c r="G64" s="1016"/>
      <c r="H64" s="1016"/>
      <c r="I64" s="1016"/>
      <c r="J64" s="1016"/>
      <c r="K64" s="1016"/>
      <c r="L64" s="1016"/>
      <c r="M64" s="1016"/>
      <c r="N64" s="1016"/>
      <c r="O64" s="1016"/>
      <c r="P64" s="1016"/>
      <c r="Q64" s="1016"/>
      <c r="R64" s="1016"/>
      <c r="S64" s="1016"/>
      <c r="T64" s="1016" t="s">
        <v>275</v>
      </c>
      <c r="U64" s="1016"/>
      <c r="V64" s="1017"/>
      <c r="W64" s="1017"/>
      <c r="X64" s="1017"/>
      <c r="Y64" s="1018"/>
      <c r="Z64" s="1019">
        <f>100000+150000+500000+50000-200+100000+170989+219340+7000+11700+25000+200000+50000+150000-864.24-3-107948.21</f>
        <v>1625013.55</v>
      </c>
      <c r="AA64" s="210">
        <v>100000</v>
      </c>
      <c r="AB64" s="210">
        <v>100000</v>
      </c>
      <c r="AC64" s="562"/>
    </row>
    <row r="65" spans="1:29" s="271" customFormat="1" ht="29.25" customHeight="1" x14ac:dyDescent="0.3">
      <c r="A65" s="1013" t="s">
        <v>760</v>
      </c>
      <c r="B65" s="1016" t="s">
        <v>15</v>
      </c>
      <c r="C65" s="1016" t="s">
        <v>122</v>
      </c>
      <c r="D65" s="1016" t="s">
        <v>130</v>
      </c>
      <c r="E65" s="1015" t="s">
        <v>1371</v>
      </c>
      <c r="F65" s="1016"/>
      <c r="G65" s="1016"/>
      <c r="H65" s="1016"/>
      <c r="I65" s="1016"/>
      <c r="J65" s="1016"/>
      <c r="K65" s="1016"/>
      <c r="L65" s="1016"/>
      <c r="M65" s="1016"/>
      <c r="N65" s="1016"/>
      <c r="O65" s="1016"/>
      <c r="P65" s="1016"/>
      <c r="Q65" s="1016"/>
      <c r="R65" s="1016"/>
      <c r="S65" s="1016"/>
      <c r="T65" s="1016" t="s">
        <v>243</v>
      </c>
      <c r="U65" s="1016"/>
      <c r="V65" s="1017"/>
      <c r="W65" s="1017"/>
      <c r="X65" s="1017"/>
      <c r="Y65" s="1018"/>
      <c r="Z65" s="1019">
        <f>200+864.24+3</f>
        <v>1067.24</v>
      </c>
      <c r="AA65" s="210">
        <v>0</v>
      </c>
      <c r="AB65" s="210">
        <v>0</v>
      </c>
      <c r="AC65" s="562"/>
    </row>
    <row r="66" spans="1:29" s="271" customFormat="1" ht="167.25" customHeight="1" x14ac:dyDescent="0.3">
      <c r="A66" s="486" t="s">
        <v>1388</v>
      </c>
      <c r="B66" s="136" t="s">
        <v>15</v>
      </c>
      <c r="C66" s="136" t="s">
        <v>122</v>
      </c>
      <c r="D66" s="136" t="s">
        <v>130</v>
      </c>
      <c r="E66" s="230" t="s">
        <v>1372</v>
      </c>
      <c r="F66" s="136"/>
      <c r="G66" s="136"/>
      <c r="H66" s="136"/>
      <c r="I66" s="136"/>
      <c r="J66" s="136"/>
      <c r="K66" s="136"/>
      <c r="L66" s="136"/>
      <c r="M66" s="136"/>
      <c r="N66" s="136"/>
      <c r="O66" s="136"/>
      <c r="P66" s="136"/>
      <c r="Q66" s="136"/>
      <c r="R66" s="136"/>
      <c r="S66" s="136"/>
      <c r="T66" s="136"/>
      <c r="U66" s="136"/>
      <c r="V66" s="137"/>
      <c r="W66" s="137"/>
      <c r="X66" s="137"/>
      <c r="Y66" s="154"/>
      <c r="Z66" s="210">
        <f>Z67+Z68+Z69</f>
        <v>5293081.6399999997</v>
      </c>
      <c r="AA66" s="210">
        <f>AA67+AA68</f>
        <v>5431834.3799999999</v>
      </c>
      <c r="AB66" s="210">
        <f>AB67+AB68</f>
        <v>5431834.3799999999</v>
      </c>
      <c r="AC66" s="562"/>
    </row>
    <row r="67" spans="1:29" s="271" customFormat="1" ht="99.75" customHeight="1" x14ac:dyDescent="0.3">
      <c r="A67" s="1018" t="s">
        <v>723</v>
      </c>
      <c r="B67" s="1016" t="s">
        <v>15</v>
      </c>
      <c r="C67" s="1016" t="s">
        <v>122</v>
      </c>
      <c r="D67" s="1016" t="s">
        <v>130</v>
      </c>
      <c r="E67" s="1015" t="s">
        <v>1372</v>
      </c>
      <c r="F67" s="1016"/>
      <c r="G67" s="1016"/>
      <c r="H67" s="1016"/>
      <c r="I67" s="1016"/>
      <c r="J67" s="1016"/>
      <c r="K67" s="1016"/>
      <c r="L67" s="1016"/>
      <c r="M67" s="1016"/>
      <c r="N67" s="1016"/>
      <c r="O67" s="1016"/>
      <c r="P67" s="1016"/>
      <c r="Q67" s="1016"/>
      <c r="R67" s="1016"/>
      <c r="S67" s="1016"/>
      <c r="T67" s="1016" t="s">
        <v>38</v>
      </c>
      <c r="U67" s="1016"/>
      <c r="V67" s="1017"/>
      <c r="W67" s="1017"/>
      <c r="X67" s="1017"/>
      <c r="Y67" s="1018"/>
      <c r="Z67" s="1019">
        <f>5431834.38-100000+100000-280000-59961.21-28791.53</f>
        <v>5063081.6399999997</v>
      </c>
      <c r="AA67" s="210">
        <v>5331834.38</v>
      </c>
      <c r="AB67" s="210">
        <v>5331834.38</v>
      </c>
      <c r="AC67" s="562"/>
    </row>
    <row r="68" spans="1:29" s="271" customFormat="1" ht="53.25" customHeight="1" x14ac:dyDescent="0.3">
      <c r="A68" s="1098" t="s">
        <v>565</v>
      </c>
      <c r="B68" s="136" t="s">
        <v>15</v>
      </c>
      <c r="C68" s="136" t="s">
        <v>122</v>
      </c>
      <c r="D68" s="136" t="s">
        <v>130</v>
      </c>
      <c r="E68" s="230" t="s">
        <v>1372</v>
      </c>
      <c r="F68" s="136"/>
      <c r="G68" s="136"/>
      <c r="H68" s="136"/>
      <c r="I68" s="136"/>
      <c r="J68" s="136"/>
      <c r="K68" s="136"/>
      <c r="L68" s="136"/>
      <c r="M68" s="136"/>
      <c r="N68" s="136"/>
      <c r="O68" s="136"/>
      <c r="P68" s="136"/>
      <c r="Q68" s="136"/>
      <c r="R68" s="136"/>
      <c r="S68" s="136"/>
      <c r="T68" s="136" t="s">
        <v>275</v>
      </c>
      <c r="U68" s="136"/>
      <c r="V68" s="137"/>
      <c r="W68" s="137"/>
      <c r="X68" s="137"/>
      <c r="Y68" s="154"/>
      <c r="Z68" s="210">
        <f>100000-200+130000</f>
        <v>229800</v>
      </c>
      <c r="AA68" s="210">
        <v>100000</v>
      </c>
      <c r="AB68" s="210">
        <v>100000</v>
      </c>
      <c r="AC68" s="562"/>
    </row>
    <row r="69" spans="1:29" s="271" customFormat="1" ht="40.5" customHeight="1" x14ac:dyDescent="0.3">
      <c r="A69" s="738" t="s">
        <v>760</v>
      </c>
      <c r="B69" s="136" t="s">
        <v>15</v>
      </c>
      <c r="C69" s="136" t="s">
        <v>122</v>
      </c>
      <c r="D69" s="136" t="s">
        <v>130</v>
      </c>
      <c r="E69" s="230" t="s">
        <v>1372</v>
      </c>
      <c r="F69" s="136"/>
      <c r="G69" s="136"/>
      <c r="H69" s="136"/>
      <c r="I69" s="136"/>
      <c r="J69" s="136"/>
      <c r="K69" s="136"/>
      <c r="L69" s="136"/>
      <c r="M69" s="136"/>
      <c r="N69" s="136"/>
      <c r="O69" s="136"/>
      <c r="P69" s="136"/>
      <c r="Q69" s="136"/>
      <c r="R69" s="136"/>
      <c r="S69" s="136"/>
      <c r="T69" s="136" t="s">
        <v>243</v>
      </c>
      <c r="U69" s="136"/>
      <c r="V69" s="137"/>
      <c r="W69" s="137"/>
      <c r="X69" s="137"/>
      <c r="Y69" s="154"/>
      <c r="Z69" s="210">
        <v>200</v>
      </c>
      <c r="AA69" s="210">
        <v>0</v>
      </c>
      <c r="AB69" s="210">
        <v>0</v>
      </c>
      <c r="AC69" s="562"/>
    </row>
    <row r="70" spans="1:29" s="271" customFormat="1" ht="128.44999999999999" customHeight="1" x14ac:dyDescent="0.3">
      <c r="A70" s="750" t="s">
        <v>1437</v>
      </c>
      <c r="B70" s="136" t="s">
        <v>15</v>
      </c>
      <c r="C70" s="136" t="s">
        <v>122</v>
      </c>
      <c r="D70" s="136" t="s">
        <v>130</v>
      </c>
      <c r="E70" s="230" t="s">
        <v>1436</v>
      </c>
      <c r="F70" s="136"/>
      <c r="G70" s="136"/>
      <c r="H70" s="136"/>
      <c r="I70" s="136"/>
      <c r="J70" s="136"/>
      <c r="K70" s="136"/>
      <c r="L70" s="136"/>
      <c r="M70" s="136"/>
      <c r="N70" s="136"/>
      <c r="O70" s="136"/>
      <c r="P70" s="136"/>
      <c r="Q70" s="136"/>
      <c r="R70" s="136"/>
      <c r="S70" s="136"/>
      <c r="T70" s="136"/>
      <c r="U70" s="136"/>
      <c r="V70" s="137"/>
      <c r="W70" s="137"/>
      <c r="X70" s="137"/>
      <c r="Y70" s="154"/>
      <c r="Z70" s="210">
        <f>Z71</f>
        <v>5825100</v>
      </c>
      <c r="AA70" s="210">
        <v>0</v>
      </c>
      <c r="AB70" s="210">
        <v>0</v>
      </c>
      <c r="AC70" s="562"/>
    </row>
    <row r="71" spans="1:29" s="271" customFormat="1" ht="60" customHeight="1" x14ac:dyDescent="0.3">
      <c r="A71" s="798" t="s">
        <v>708</v>
      </c>
      <c r="B71" s="136" t="s">
        <v>15</v>
      </c>
      <c r="C71" s="136" t="s">
        <v>122</v>
      </c>
      <c r="D71" s="136" t="s">
        <v>130</v>
      </c>
      <c r="E71" s="230" t="s">
        <v>1436</v>
      </c>
      <c r="F71" s="136"/>
      <c r="G71" s="136"/>
      <c r="H71" s="136"/>
      <c r="I71" s="136"/>
      <c r="J71" s="136"/>
      <c r="K71" s="136"/>
      <c r="L71" s="136"/>
      <c r="M71" s="136"/>
      <c r="N71" s="136"/>
      <c r="O71" s="136"/>
      <c r="P71" s="136"/>
      <c r="Q71" s="136"/>
      <c r="R71" s="136"/>
      <c r="S71" s="136"/>
      <c r="T71" s="136" t="s">
        <v>294</v>
      </c>
      <c r="U71" s="136"/>
      <c r="V71" s="137"/>
      <c r="W71" s="137"/>
      <c r="X71" s="137"/>
      <c r="Y71" s="154"/>
      <c r="Z71" s="210">
        <f>3000000+2825100</f>
        <v>5825100</v>
      </c>
      <c r="AA71" s="210">
        <v>0</v>
      </c>
      <c r="AB71" s="210">
        <v>0</v>
      </c>
      <c r="AC71" s="562"/>
    </row>
    <row r="72" spans="1:29" s="271" customFormat="1" ht="164.25" customHeight="1" x14ac:dyDescent="0.3">
      <c r="A72" s="867" t="s">
        <v>1489</v>
      </c>
      <c r="B72" s="245" t="s">
        <v>15</v>
      </c>
      <c r="C72" s="136" t="s">
        <v>122</v>
      </c>
      <c r="D72" s="136" t="s">
        <v>130</v>
      </c>
      <c r="E72" s="230" t="s">
        <v>1490</v>
      </c>
      <c r="F72" s="136"/>
      <c r="G72" s="136"/>
      <c r="H72" s="136"/>
      <c r="I72" s="136"/>
      <c r="J72" s="136"/>
      <c r="K72" s="136"/>
      <c r="L72" s="136"/>
      <c r="M72" s="136"/>
      <c r="N72" s="136"/>
      <c r="O72" s="136"/>
      <c r="P72" s="136"/>
      <c r="Q72" s="136"/>
      <c r="R72" s="136"/>
      <c r="S72" s="136"/>
      <c r="T72" s="136"/>
      <c r="U72" s="136"/>
      <c r="V72" s="137"/>
      <c r="W72" s="137"/>
      <c r="X72" s="137"/>
      <c r="Y72" s="154"/>
      <c r="Z72" s="210">
        <f>Z73+Z74</f>
        <v>1555276.62</v>
      </c>
      <c r="AA72" s="210">
        <v>0</v>
      </c>
      <c r="AB72" s="210">
        <v>0</v>
      </c>
      <c r="AC72" s="562"/>
    </row>
    <row r="73" spans="1:29" s="271" customFormat="1" ht="113.25" customHeight="1" x14ac:dyDescent="0.3">
      <c r="A73" s="1100" t="s">
        <v>723</v>
      </c>
      <c r="B73" s="1091" t="s">
        <v>15</v>
      </c>
      <c r="C73" s="1016" t="s">
        <v>122</v>
      </c>
      <c r="D73" s="1016" t="s">
        <v>130</v>
      </c>
      <c r="E73" s="1015" t="s">
        <v>1490</v>
      </c>
      <c r="F73" s="1016"/>
      <c r="G73" s="1016"/>
      <c r="H73" s="1016"/>
      <c r="I73" s="1016"/>
      <c r="J73" s="1016"/>
      <c r="K73" s="1016"/>
      <c r="L73" s="1016"/>
      <c r="M73" s="1016"/>
      <c r="N73" s="1016"/>
      <c r="O73" s="1016"/>
      <c r="P73" s="1016"/>
      <c r="Q73" s="1016"/>
      <c r="R73" s="1016"/>
      <c r="S73" s="1016"/>
      <c r="T73" s="1016" t="s">
        <v>38</v>
      </c>
      <c r="U73" s="1016"/>
      <c r="V73" s="1017"/>
      <c r="W73" s="1017"/>
      <c r="X73" s="1017"/>
      <c r="Y73" s="1018"/>
      <c r="Z73" s="1019">
        <f>1173001.87+195943.14+59961.22+22113.32+6678.21</f>
        <v>1457697.7600000002</v>
      </c>
      <c r="AA73" s="210">
        <v>0</v>
      </c>
      <c r="AB73" s="210">
        <v>0</v>
      </c>
      <c r="AC73" s="562"/>
    </row>
    <row r="74" spans="1:29" s="271" customFormat="1" ht="60" customHeight="1" x14ac:dyDescent="0.3">
      <c r="A74" s="1090" t="s">
        <v>565</v>
      </c>
      <c r="B74" s="1091" t="s">
        <v>15</v>
      </c>
      <c r="C74" s="1016" t="s">
        <v>122</v>
      </c>
      <c r="D74" s="1016" t="s">
        <v>130</v>
      </c>
      <c r="E74" s="1015" t="s">
        <v>1490</v>
      </c>
      <c r="F74" s="1016"/>
      <c r="G74" s="1016"/>
      <c r="H74" s="1016"/>
      <c r="I74" s="1016"/>
      <c r="J74" s="1016"/>
      <c r="K74" s="1016"/>
      <c r="L74" s="1016"/>
      <c r="M74" s="1016"/>
      <c r="N74" s="1016"/>
      <c r="O74" s="1016"/>
      <c r="P74" s="1016"/>
      <c r="Q74" s="1016"/>
      <c r="R74" s="1016"/>
      <c r="S74" s="1016"/>
      <c r="T74" s="1016" t="s">
        <v>275</v>
      </c>
      <c r="U74" s="1016"/>
      <c r="V74" s="1017"/>
      <c r="W74" s="1017"/>
      <c r="X74" s="1017"/>
      <c r="Y74" s="1018"/>
      <c r="Z74" s="1019">
        <f>269022+20000-195943.14+4500</f>
        <v>97578.859999999986</v>
      </c>
      <c r="AA74" s="210">
        <v>0</v>
      </c>
      <c r="AB74" s="210">
        <v>0</v>
      </c>
      <c r="AC74" s="562"/>
    </row>
    <row r="75" spans="1:29" s="271" customFormat="1" ht="168" customHeight="1" x14ac:dyDescent="0.3">
      <c r="A75" s="725" t="s">
        <v>1471</v>
      </c>
      <c r="B75" s="796" t="s">
        <v>15</v>
      </c>
      <c r="C75" s="161" t="s">
        <v>122</v>
      </c>
      <c r="D75" s="161" t="s">
        <v>130</v>
      </c>
      <c r="E75" s="230" t="s">
        <v>768</v>
      </c>
      <c r="F75" s="161"/>
      <c r="G75" s="161"/>
      <c r="H75" s="161"/>
      <c r="I75" s="161"/>
      <c r="J75" s="161"/>
      <c r="K75" s="161"/>
      <c r="L75" s="161"/>
      <c r="M75" s="161"/>
      <c r="N75" s="161"/>
      <c r="O75" s="161"/>
      <c r="P75" s="161"/>
      <c r="Q75" s="161"/>
      <c r="R75" s="161"/>
      <c r="S75" s="161"/>
      <c r="T75" s="161"/>
      <c r="U75" s="161"/>
      <c r="V75" s="204"/>
      <c r="W75" s="204"/>
      <c r="X75" s="204"/>
      <c r="Y75" s="155"/>
      <c r="Z75" s="235">
        <f>Z76</f>
        <v>176966</v>
      </c>
      <c r="AA75" s="235">
        <f t="shared" ref="AA75:AB75" si="6">AA76</f>
        <v>0</v>
      </c>
      <c r="AB75" s="235">
        <f t="shared" si="6"/>
        <v>0</v>
      </c>
      <c r="AC75" s="773"/>
    </row>
    <row r="76" spans="1:29" s="774" customFormat="1" ht="26.25" customHeight="1" x14ac:dyDescent="0.3">
      <c r="A76" s="583" t="s">
        <v>760</v>
      </c>
      <c r="B76" s="245" t="s">
        <v>15</v>
      </c>
      <c r="C76" s="136" t="s">
        <v>122</v>
      </c>
      <c r="D76" s="136" t="s">
        <v>130</v>
      </c>
      <c r="E76" s="230" t="s">
        <v>768</v>
      </c>
      <c r="F76" s="136"/>
      <c r="G76" s="136"/>
      <c r="H76" s="136"/>
      <c r="I76" s="136"/>
      <c r="J76" s="136"/>
      <c r="K76" s="136"/>
      <c r="L76" s="136"/>
      <c r="M76" s="136"/>
      <c r="N76" s="136"/>
      <c r="O76" s="136"/>
      <c r="P76" s="136"/>
      <c r="Q76" s="136"/>
      <c r="R76" s="136"/>
      <c r="S76" s="136"/>
      <c r="T76" s="136" t="s">
        <v>243</v>
      </c>
      <c r="U76" s="136"/>
      <c r="V76" s="137"/>
      <c r="W76" s="137"/>
      <c r="X76" s="137"/>
      <c r="Y76" s="154"/>
      <c r="Z76" s="210">
        <f>93800+1348551.43-90351.74+300498.57-197532.26-1300000+20000+2000</f>
        <v>176966</v>
      </c>
      <c r="AA76" s="210">
        <v>0</v>
      </c>
      <c r="AB76" s="210">
        <v>0</v>
      </c>
      <c r="AC76" s="562"/>
    </row>
    <row r="77" spans="1:29" s="271" customFormat="1" ht="139.9" customHeight="1" x14ac:dyDescent="0.3">
      <c r="A77" s="280" t="s">
        <v>1400</v>
      </c>
      <c r="B77" s="140" t="s">
        <v>15</v>
      </c>
      <c r="C77" s="140" t="s">
        <v>122</v>
      </c>
      <c r="D77" s="140" t="s">
        <v>130</v>
      </c>
      <c r="E77" s="230" t="s">
        <v>1401</v>
      </c>
      <c r="F77" s="140"/>
      <c r="G77" s="140"/>
      <c r="H77" s="140"/>
      <c r="I77" s="140"/>
      <c r="J77" s="140"/>
      <c r="K77" s="140"/>
      <c r="L77" s="140"/>
      <c r="M77" s="140"/>
      <c r="N77" s="140"/>
      <c r="O77" s="140"/>
      <c r="P77" s="140"/>
      <c r="Q77" s="140"/>
      <c r="R77" s="140"/>
      <c r="S77" s="140"/>
      <c r="T77" s="140"/>
      <c r="U77" s="136"/>
      <c r="V77" s="137"/>
      <c r="W77" s="137"/>
      <c r="X77" s="137"/>
      <c r="Y77" s="154"/>
      <c r="Z77" s="210">
        <f>Z78</f>
        <v>16668538.66</v>
      </c>
      <c r="AA77" s="210">
        <v>0</v>
      </c>
      <c r="AB77" s="210">
        <v>0</v>
      </c>
      <c r="AC77" s="562"/>
    </row>
    <row r="78" spans="1:29" s="271" customFormat="1" ht="47.45" customHeight="1" x14ac:dyDescent="0.3">
      <c r="A78" s="1018" t="s">
        <v>565</v>
      </c>
      <c r="B78" s="1014" t="s">
        <v>15</v>
      </c>
      <c r="C78" s="1014" t="s">
        <v>122</v>
      </c>
      <c r="D78" s="1014" t="s">
        <v>130</v>
      </c>
      <c r="E78" s="1015" t="s">
        <v>1401</v>
      </c>
      <c r="F78" s="1014"/>
      <c r="G78" s="1014"/>
      <c r="H78" s="1014"/>
      <c r="I78" s="1014"/>
      <c r="J78" s="1014"/>
      <c r="K78" s="1014"/>
      <c r="L78" s="1014"/>
      <c r="M78" s="1014"/>
      <c r="N78" s="1014"/>
      <c r="O78" s="1014"/>
      <c r="P78" s="1014"/>
      <c r="Q78" s="1014"/>
      <c r="R78" s="1014"/>
      <c r="S78" s="1014"/>
      <c r="T78" s="1014" t="s">
        <v>275</v>
      </c>
      <c r="U78" s="1016"/>
      <c r="V78" s="1017"/>
      <c r="W78" s="1017"/>
      <c r="X78" s="1017"/>
      <c r="Y78" s="1018"/>
      <c r="Z78" s="1019">
        <f>10665000+2300000-339882.69-130426.67+170467.97+200000+59760.53+4000000-18382.06-65198.42-172800</f>
        <v>16668538.66</v>
      </c>
      <c r="AA78" s="210">
        <v>0</v>
      </c>
      <c r="AB78" s="210">
        <v>0</v>
      </c>
      <c r="AC78" s="562"/>
    </row>
    <row r="79" spans="1:29" s="271" customFormat="1" ht="132" customHeight="1" x14ac:dyDescent="0.3">
      <c r="A79" s="254" t="s">
        <v>1552</v>
      </c>
      <c r="B79" s="140" t="s">
        <v>15</v>
      </c>
      <c r="C79" s="140" t="s">
        <v>122</v>
      </c>
      <c r="D79" s="140" t="s">
        <v>130</v>
      </c>
      <c r="E79" s="230" t="s">
        <v>1553</v>
      </c>
      <c r="F79" s="140"/>
      <c r="G79" s="140"/>
      <c r="H79" s="140"/>
      <c r="I79" s="140"/>
      <c r="J79" s="140"/>
      <c r="K79" s="140"/>
      <c r="L79" s="140"/>
      <c r="M79" s="140"/>
      <c r="N79" s="140"/>
      <c r="O79" s="140"/>
      <c r="P79" s="140"/>
      <c r="Q79" s="140"/>
      <c r="R79" s="140"/>
      <c r="S79" s="140"/>
      <c r="T79" s="140" t="s">
        <v>275</v>
      </c>
      <c r="U79" s="136"/>
      <c r="V79" s="137"/>
      <c r="W79" s="137"/>
      <c r="X79" s="137"/>
      <c r="Y79" s="154"/>
      <c r="Z79" s="210">
        <f>Z80</f>
        <v>10000</v>
      </c>
      <c r="AA79" s="210">
        <f>AA80</f>
        <v>0</v>
      </c>
      <c r="AB79" s="210">
        <f>AB80</f>
        <v>0</v>
      </c>
      <c r="AC79" s="562"/>
    </row>
    <row r="80" spans="1:29" s="271" customFormat="1" ht="54" customHeight="1" x14ac:dyDescent="0.3">
      <c r="A80" s="1018" t="s">
        <v>565</v>
      </c>
      <c r="B80" s="1014" t="s">
        <v>15</v>
      </c>
      <c r="C80" s="1014" t="s">
        <v>122</v>
      </c>
      <c r="D80" s="1014" t="s">
        <v>130</v>
      </c>
      <c r="E80" s="1015" t="s">
        <v>1553</v>
      </c>
      <c r="F80" s="1014"/>
      <c r="G80" s="1014"/>
      <c r="H80" s="1014"/>
      <c r="I80" s="1014"/>
      <c r="J80" s="1014"/>
      <c r="K80" s="1014"/>
      <c r="L80" s="1014"/>
      <c r="M80" s="1014"/>
      <c r="N80" s="1014"/>
      <c r="O80" s="1014"/>
      <c r="P80" s="1014"/>
      <c r="Q80" s="1014"/>
      <c r="R80" s="1014"/>
      <c r="S80" s="1014"/>
      <c r="T80" s="1014" t="s">
        <v>275</v>
      </c>
      <c r="U80" s="1016"/>
      <c r="V80" s="1017"/>
      <c r="W80" s="1017"/>
      <c r="X80" s="1017"/>
      <c r="Y80" s="1018"/>
      <c r="Z80" s="1019">
        <v>10000</v>
      </c>
      <c r="AA80" s="210">
        <v>0</v>
      </c>
      <c r="AB80" s="210">
        <v>0</v>
      </c>
      <c r="AC80" s="562"/>
    </row>
    <row r="81" spans="1:29" s="271" customFormat="1" ht="169.15" customHeight="1" x14ac:dyDescent="0.3">
      <c r="A81" s="282" t="s">
        <v>1278</v>
      </c>
      <c r="B81" s="136" t="s">
        <v>15</v>
      </c>
      <c r="C81" s="136" t="s">
        <v>122</v>
      </c>
      <c r="D81" s="136" t="s">
        <v>130</v>
      </c>
      <c r="E81" s="230" t="s">
        <v>900</v>
      </c>
      <c r="F81" s="136"/>
      <c r="G81" s="136"/>
      <c r="H81" s="136"/>
      <c r="I81" s="136"/>
      <c r="J81" s="136"/>
      <c r="K81" s="136"/>
      <c r="L81" s="136"/>
      <c r="M81" s="136"/>
      <c r="N81" s="136"/>
      <c r="O81" s="136"/>
      <c r="P81" s="136"/>
      <c r="Q81" s="136"/>
      <c r="R81" s="136"/>
      <c r="S81" s="136"/>
      <c r="T81" s="136"/>
      <c r="U81" s="136"/>
      <c r="V81" s="137"/>
      <c r="W81" s="137"/>
      <c r="X81" s="137"/>
      <c r="Y81" s="154"/>
      <c r="Z81" s="210">
        <f>Z82+Z83</f>
        <v>654350.9</v>
      </c>
      <c r="AA81" s="210">
        <f>AA82+AA83</f>
        <v>679825.63</v>
      </c>
      <c r="AB81" s="210">
        <f>AB82+AB83</f>
        <v>704309.9</v>
      </c>
      <c r="AC81" s="572"/>
    </row>
    <row r="82" spans="1:29" s="271" customFormat="1" ht="106.5" customHeight="1" x14ac:dyDescent="0.3">
      <c r="A82" s="154" t="s">
        <v>723</v>
      </c>
      <c r="B82" s="140" t="s">
        <v>15</v>
      </c>
      <c r="C82" s="136" t="s">
        <v>122</v>
      </c>
      <c r="D82" s="136" t="s">
        <v>130</v>
      </c>
      <c r="E82" s="230" t="s">
        <v>900</v>
      </c>
      <c r="F82" s="140"/>
      <c r="G82" s="140"/>
      <c r="H82" s="140"/>
      <c r="I82" s="140"/>
      <c r="J82" s="140"/>
      <c r="K82" s="140"/>
      <c r="L82" s="140"/>
      <c r="M82" s="140"/>
      <c r="N82" s="140"/>
      <c r="O82" s="140"/>
      <c r="P82" s="140"/>
      <c r="Q82" s="140"/>
      <c r="R82" s="140"/>
      <c r="S82" s="140"/>
      <c r="T82" s="140" t="s">
        <v>38</v>
      </c>
      <c r="U82" s="140"/>
      <c r="V82" s="141"/>
      <c r="W82" s="141"/>
      <c r="X82" s="141"/>
      <c r="Y82" s="142" t="s">
        <v>377</v>
      </c>
      <c r="Z82" s="143">
        <f>539687+21267.24+6135.71-26.53-3196.96+53577.43-7951.99</f>
        <v>609491.9</v>
      </c>
      <c r="AA82" s="144">
        <f>560951.29+29535.71+27.66+55597.97</f>
        <v>646112.63</v>
      </c>
      <c r="AB82" s="210">
        <f>560951.29+70735.71-18600-29.38+57539.28</f>
        <v>670596.9</v>
      </c>
      <c r="AC82" s="562"/>
    </row>
    <row r="83" spans="1:29" s="271" customFormat="1" ht="49.5" customHeight="1" x14ac:dyDescent="0.3">
      <c r="A83" s="154" t="s">
        <v>565</v>
      </c>
      <c r="B83" s="140" t="s">
        <v>15</v>
      </c>
      <c r="C83" s="136" t="s">
        <v>122</v>
      </c>
      <c r="D83" s="136" t="s">
        <v>130</v>
      </c>
      <c r="E83" s="230" t="s">
        <v>900</v>
      </c>
      <c r="F83" s="140"/>
      <c r="G83" s="140"/>
      <c r="H83" s="140"/>
      <c r="I83" s="140"/>
      <c r="J83" s="140"/>
      <c r="K83" s="140"/>
      <c r="L83" s="140"/>
      <c r="M83" s="140"/>
      <c r="N83" s="140"/>
      <c r="O83" s="140"/>
      <c r="P83" s="140"/>
      <c r="Q83" s="140"/>
      <c r="R83" s="140"/>
      <c r="S83" s="140"/>
      <c r="T83" s="140" t="s">
        <v>275</v>
      </c>
      <c r="U83" s="140"/>
      <c r="V83" s="141"/>
      <c r="W83" s="141"/>
      <c r="X83" s="141"/>
      <c r="Y83" s="142" t="s">
        <v>378</v>
      </c>
      <c r="Z83" s="960">
        <f>33713-2.95+3196.96+7951.99</f>
        <v>44859</v>
      </c>
      <c r="AA83" s="840">
        <v>33713</v>
      </c>
      <c r="AB83" s="210">
        <v>33713</v>
      </c>
      <c r="AC83" s="562"/>
    </row>
    <row r="84" spans="1:29" s="271" customFormat="1" ht="207.75" customHeight="1" x14ac:dyDescent="0.3">
      <c r="A84" s="281" t="s">
        <v>1503</v>
      </c>
      <c r="B84" s="136" t="s">
        <v>15</v>
      </c>
      <c r="C84" s="136" t="s">
        <v>122</v>
      </c>
      <c r="D84" s="136" t="s">
        <v>130</v>
      </c>
      <c r="E84" s="230"/>
      <c r="F84" s="140"/>
      <c r="G84" s="140"/>
      <c r="H84" s="140"/>
      <c r="I84" s="140"/>
      <c r="J84" s="140"/>
      <c r="K84" s="140"/>
      <c r="L84" s="140"/>
      <c r="M84" s="140"/>
      <c r="N84" s="140"/>
      <c r="O84" s="140"/>
      <c r="P84" s="140"/>
      <c r="Q84" s="140"/>
      <c r="R84" s="140"/>
      <c r="S84" s="140"/>
      <c r="T84" s="140"/>
      <c r="U84" s="140"/>
      <c r="V84" s="141"/>
      <c r="W84" s="141"/>
      <c r="X84" s="141"/>
      <c r="Y84" s="875"/>
      <c r="Z84" s="876">
        <f>Z85+Z86</f>
        <v>532014.97</v>
      </c>
      <c r="AA84" s="876">
        <f>AA85+AA86</f>
        <v>732181.13</v>
      </c>
      <c r="AB84" s="876">
        <f>AB85+AB86</f>
        <v>758794.46</v>
      </c>
      <c r="AC84" s="562"/>
    </row>
    <row r="85" spans="1:29" s="271" customFormat="1" ht="106.5" customHeight="1" x14ac:dyDescent="0.3">
      <c r="A85" s="154" t="s">
        <v>723</v>
      </c>
      <c r="B85" s="140" t="s">
        <v>15</v>
      </c>
      <c r="C85" s="136" t="s">
        <v>122</v>
      </c>
      <c r="D85" s="136" t="s">
        <v>130</v>
      </c>
      <c r="E85" s="230" t="s">
        <v>1504</v>
      </c>
      <c r="F85" s="140"/>
      <c r="G85" s="140"/>
      <c r="H85" s="140"/>
      <c r="I85" s="140"/>
      <c r="J85" s="140"/>
      <c r="K85" s="140"/>
      <c r="L85" s="140"/>
      <c r="M85" s="140"/>
      <c r="N85" s="140"/>
      <c r="O85" s="140"/>
      <c r="P85" s="140"/>
      <c r="Q85" s="140"/>
      <c r="R85" s="140"/>
      <c r="S85" s="140"/>
      <c r="T85" s="140" t="s">
        <v>38</v>
      </c>
      <c r="U85" s="140"/>
      <c r="V85" s="141"/>
      <c r="W85" s="141"/>
      <c r="X85" s="141"/>
      <c r="Y85" s="875"/>
      <c r="Z85" s="876">
        <v>430014.97</v>
      </c>
      <c r="AA85" s="876">
        <v>690181.13</v>
      </c>
      <c r="AB85" s="506">
        <v>716794.46</v>
      </c>
      <c r="AC85" s="562"/>
    </row>
    <row r="86" spans="1:29" s="271" customFormat="1" ht="49.5" customHeight="1" x14ac:dyDescent="0.3">
      <c r="A86" s="154" t="s">
        <v>565</v>
      </c>
      <c r="B86" s="140" t="s">
        <v>15</v>
      </c>
      <c r="C86" s="136" t="s">
        <v>122</v>
      </c>
      <c r="D86" s="136" t="s">
        <v>130</v>
      </c>
      <c r="E86" s="230" t="s">
        <v>1504</v>
      </c>
      <c r="F86" s="140"/>
      <c r="G86" s="140"/>
      <c r="H86" s="140"/>
      <c r="I86" s="140"/>
      <c r="J86" s="140"/>
      <c r="K86" s="140"/>
      <c r="L86" s="140"/>
      <c r="M86" s="140"/>
      <c r="N86" s="140"/>
      <c r="O86" s="140"/>
      <c r="P86" s="140"/>
      <c r="Q86" s="140"/>
      <c r="R86" s="140"/>
      <c r="S86" s="140"/>
      <c r="T86" s="140" t="s">
        <v>275</v>
      </c>
      <c r="U86" s="140"/>
      <c r="V86" s="141"/>
      <c r="W86" s="141"/>
      <c r="X86" s="141"/>
      <c r="Y86" s="875"/>
      <c r="Z86" s="876">
        <v>102000</v>
      </c>
      <c r="AA86" s="876">
        <v>42000</v>
      </c>
      <c r="AB86" s="506">
        <v>42000</v>
      </c>
      <c r="AC86" s="562"/>
    </row>
    <row r="87" spans="1:29" s="271" customFormat="1" ht="281.25" customHeight="1" x14ac:dyDescent="0.3">
      <c r="A87" s="281" t="s">
        <v>1279</v>
      </c>
      <c r="B87" s="140" t="s">
        <v>15</v>
      </c>
      <c r="C87" s="136" t="s">
        <v>122</v>
      </c>
      <c r="D87" s="136" t="s">
        <v>130</v>
      </c>
      <c r="E87" s="230" t="s">
        <v>901</v>
      </c>
      <c r="F87" s="136"/>
      <c r="G87" s="136"/>
      <c r="H87" s="136"/>
      <c r="I87" s="136"/>
      <c r="J87" s="136"/>
      <c r="K87" s="136"/>
      <c r="L87" s="136"/>
      <c r="M87" s="136"/>
      <c r="N87" s="136"/>
      <c r="O87" s="136"/>
      <c r="P87" s="136"/>
      <c r="Q87" s="136"/>
      <c r="R87" s="136"/>
      <c r="S87" s="136"/>
      <c r="T87" s="136"/>
      <c r="U87" s="136"/>
      <c r="V87" s="137"/>
      <c r="W87" s="137"/>
      <c r="X87" s="137"/>
      <c r="Y87" s="154"/>
      <c r="Z87" s="813">
        <f>Z88+Z89</f>
        <v>654350.89999999991</v>
      </c>
      <c r="AA87" s="813">
        <f>AA88+AA89</f>
        <v>679825.62999999989</v>
      </c>
      <c r="AB87" s="210">
        <f>AB88+AB89</f>
        <v>704309.89999999991</v>
      </c>
      <c r="AC87" s="572"/>
    </row>
    <row r="88" spans="1:29" s="271" customFormat="1" ht="101.25" customHeight="1" x14ac:dyDescent="0.3">
      <c r="A88" s="1018" t="s">
        <v>724</v>
      </c>
      <c r="B88" s="1014" t="s">
        <v>15</v>
      </c>
      <c r="C88" s="1014" t="s">
        <v>122</v>
      </c>
      <c r="D88" s="1014" t="s">
        <v>130</v>
      </c>
      <c r="E88" s="1015" t="s">
        <v>901</v>
      </c>
      <c r="F88" s="1014"/>
      <c r="G88" s="1014"/>
      <c r="H88" s="1014"/>
      <c r="I88" s="1014"/>
      <c r="J88" s="1014"/>
      <c r="K88" s="1014"/>
      <c r="L88" s="1014"/>
      <c r="M88" s="1014"/>
      <c r="N88" s="1014"/>
      <c r="O88" s="1014"/>
      <c r="P88" s="1014"/>
      <c r="Q88" s="1014"/>
      <c r="R88" s="1014"/>
      <c r="S88" s="1014"/>
      <c r="T88" s="1014" t="s">
        <v>38</v>
      </c>
      <c r="U88" s="1016"/>
      <c r="V88" s="1017"/>
      <c r="W88" s="1017"/>
      <c r="X88" s="1017"/>
      <c r="Y88" s="1018" t="s">
        <v>388</v>
      </c>
      <c r="Z88" s="1019">
        <f>540519.58+21267.24+6135.71-26.53+53577.43-11981.53</f>
        <v>609491.89999999991</v>
      </c>
      <c r="AA88" s="210">
        <f>561786.82+29535.71+27.66+55597.97</f>
        <v>646948.15999999992</v>
      </c>
      <c r="AB88" s="210">
        <f>561786.82+70735.71-18600-29.38+57539.28</f>
        <v>671432.42999999993</v>
      </c>
      <c r="AC88" s="562"/>
    </row>
    <row r="89" spans="1:29" s="271" customFormat="1" ht="54" customHeight="1" x14ac:dyDescent="0.3">
      <c r="A89" s="1018" t="s">
        <v>565</v>
      </c>
      <c r="B89" s="1014" t="s">
        <v>15</v>
      </c>
      <c r="C89" s="1014" t="s">
        <v>122</v>
      </c>
      <c r="D89" s="1014" t="s">
        <v>130</v>
      </c>
      <c r="E89" s="1015" t="s">
        <v>901</v>
      </c>
      <c r="F89" s="1014"/>
      <c r="G89" s="1014"/>
      <c r="H89" s="1014"/>
      <c r="I89" s="1014"/>
      <c r="J89" s="1014"/>
      <c r="K89" s="1014"/>
      <c r="L89" s="1014"/>
      <c r="M89" s="1014"/>
      <c r="N89" s="1014"/>
      <c r="O89" s="1014"/>
      <c r="P89" s="1014"/>
      <c r="Q89" s="1014"/>
      <c r="R89" s="1014"/>
      <c r="S89" s="1014"/>
      <c r="T89" s="1014" t="s">
        <v>275</v>
      </c>
      <c r="U89" s="1016"/>
      <c r="V89" s="1017"/>
      <c r="W89" s="1017"/>
      <c r="X89" s="1017"/>
      <c r="Y89" s="1018" t="s">
        <v>389</v>
      </c>
      <c r="Z89" s="1019">
        <f>32880.42-2.95+11981.53</f>
        <v>44859</v>
      </c>
      <c r="AA89" s="210">
        <v>32877.47</v>
      </c>
      <c r="AB89" s="210">
        <v>32877.47</v>
      </c>
      <c r="AC89" s="562"/>
    </row>
    <row r="90" spans="1:29" ht="178.15" customHeight="1" x14ac:dyDescent="0.3">
      <c r="A90" s="281" t="s">
        <v>1280</v>
      </c>
      <c r="B90" s="230" t="s">
        <v>15</v>
      </c>
      <c r="C90" s="230" t="s">
        <v>122</v>
      </c>
      <c r="D90" s="230" t="s">
        <v>130</v>
      </c>
      <c r="E90" s="230" t="s">
        <v>898</v>
      </c>
      <c r="F90" s="230"/>
      <c r="G90" s="230"/>
      <c r="H90" s="230"/>
      <c r="I90" s="230"/>
      <c r="J90" s="230"/>
      <c r="K90" s="230"/>
      <c r="L90" s="230"/>
      <c r="M90" s="230"/>
      <c r="N90" s="230"/>
      <c r="O90" s="230"/>
      <c r="P90" s="230"/>
      <c r="Q90" s="230"/>
      <c r="R90" s="230"/>
      <c r="S90" s="230"/>
      <c r="T90" s="230"/>
      <c r="U90" s="161"/>
      <c r="V90" s="204"/>
      <c r="W90" s="204"/>
      <c r="X90" s="204"/>
      <c r="Y90" s="155" t="s">
        <v>231</v>
      </c>
      <c r="Z90" s="235">
        <f>Z91+Z92</f>
        <v>666161.9</v>
      </c>
      <c r="AA90" s="235">
        <f>AA91+AA92</f>
        <v>691636.63</v>
      </c>
      <c r="AB90" s="235">
        <f>AB91+AB92</f>
        <v>716120.9</v>
      </c>
      <c r="AC90" s="574" t="s">
        <v>231</v>
      </c>
    </row>
    <row r="91" spans="1:29" ht="109.15" customHeight="1" x14ac:dyDescent="0.3">
      <c r="A91" s="1018" t="s">
        <v>723</v>
      </c>
      <c r="B91" s="1014" t="s">
        <v>15</v>
      </c>
      <c r="C91" s="1014" t="s">
        <v>122</v>
      </c>
      <c r="D91" s="1014" t="s">
        <v>130</v>
      </c>
      <c r="E91" s="1015" t="s">
        <v>898</v>
      </c>
      <c r="F91" s="1014"/>
      <c r="G91" s="1014"/>
      <c r="H91" s="1014"/>
      <c r="I91" s="1014"/>
      <c r="J91" s="1014"/>
      <c r="K91" s="1014"/>
      <c r="L91" s="1014"/>
      <c r="M91" s="1014"/>
      <c r="N91" s="1014"/>
      <c r="O91" s="1014"/>
      <c r="P91" s="1014"/>
      <c r="Q91" s="1014"/>
      <c r="R91" s="1014"/>
      <c r="S91" s="1014"/>
      <c r="T91" s="1014" t="s">
        <v>38</v>
      </c>
      <c r="U91" s="1016"/>
      <c r="V91" s="1017"/>
      <c r="W91" s="1017"/>
      <c r="X91" s="1017"/>
      <c r="Y91" s="1018" t="s">
        <v>295</v>
      </c>
      <c r="Z91" s="1019">
        <f>538300+21267.24+6151.71-42.53+54404.43-10588.95</f>
        <v>609491.9</v>
      </c>
      <c r="AA91" s="210">
        <f>559567.24+29551.71+11.66+56424.97</f>
        <v>645555.57999999996</v>
      </c>
      <c r="AB91" s="210">
        <f>559567.24+70651.71-18500-45.38+58366.28</f>
        <v>670039.85</v>
      </c>
      <c r="AC91" s="559" t="s">
        <v>295</v>
      </c>
    </row>
    <row r="92" spans="1:29" ht="51" customHeight="1" x14ac:dyDescent="0.3">
      <c r="A92" s="1018" t="s">
        <v>565</v>
      </c>
      <c r="B92" s="1014" t="s">
        <v>15</v>
      </c>
      <c r="C92" s="1014" t="s">
        <v>122</v>
      </c>
      <c r="D92" s="1014" t="s">
        <v>130</v>
      </c>
      <c r="E92" s="1015" t="s">
        <v>898</v>
      </c>
      <c r="F92" s="1014"/>
      <c r="G92" s="1014"/>
      <c r="H92" s="1014"/>
      <c r="I92" s="1014"/>
      <c r="J92" s="1014"/>
      <c r="K92" s="1014"/>
      <c r="L92" s="1014"/>
      <c r="M92" s="1014"/>
      <c r="N92" s="1014"/>
      <c r="O92" s="1014"/>
      <c r="P92" s="1014"/>
      <c r="Q92" s="1014"/>
      <c r="R92" s="1014"/>
      <c r="S92" s="1014"/>
      <c r="T92" s="1014" t="s">
        <v>275</v>
      </c>
      <c r="U92" s="1016"/>
      <c r="V92" s="1017"/>
      <c r="W92" s="1017"/>
      <c r="X92" s="1017"/>
      <c r="Y92" s="1018" t="s">
        <v>296</v>
      </c>
      <c r="Z92" s="1019">
        <f>46100-18.95+10588.95</f>
        <v>56670</v>
      </c>
      <c r="AA92" s="210">
        <f>46100-18.95</f>
        <v>46081.05</v>
      </c>
      <c r="AB92" s="210">
        <f>46100-18.95</f>
        <v>46081.05</v>
      </c>
      <c r="AC92" s="559" t="s">
        <v>296</v>
      </c>
    </row>
    <row r="93" spans="1:29" ht="51" customHeight="1" x14ac:dyDescent="0.3">
      <c r="A93" s="416" t="s">
        <v>1663</v>
      </c>
      <c r="B93" s="1014" t="s">
        <v>15</v>
      </c>
      <c r="C93" s="1014" t="s">
        <v>122</v>
      </c>
      <c r="D93" s="1014" t="s">
        <v>130</v>
      </c>
      <c r="E93" s="1015" t="s">
        <v>1662</v>
      </c>
      <c r="F93" s="1014"/>
      <c r="G93" s="1014"/>
      <c r="H93" s="1014"/>
      <c r="I93" s="1014"/>
      <c r="J93" s="1014"/>
      <c r="K93" s="1014"/>
      <c r="L93" s="1014"/>
      <c r="M93" s="1014"/>
      <c r="N93" s="1014"/>
      <c r="O93" s="1014"/>
      <c r="P93" s="1014"/>
      <c r="Q93" s="1014"/>
      <c r="R93" s="1014"/>
      <c r="S93" s="1014"/>
      <c r="T93" s="1014"/>
      <c r="U93" s="1016"/>
      <c r="V93" s="1017"/>
      <c r="W93" s="1017"/>
      <c r="X93" s="1017"/>
      <c r="Y93" s="1018"/>
      <c r="Z93" s="1019">
        <f>Z94</f>
        <v>115400</v>
      </c>
      <c r="AA93" s="210">
        <v>0</v>
      </c>
      <c r="AB93" s="210">
        <v>0</v>
      </c>
      <c r="AC93" s="559"/>
    </row>
    <row r="94" spans="1:29" ht="51" customHeight="1" x14ac:dyDescent="0.3">
      <c r="A94" s="1018" t="s">
        <v>565</v>
      </c>
      <c r="B94" s="1014" t="s">
        <v>15</v>
      </c>
      <c r="C94" s="1014" t="s">
        <v>122</v>
      </c>
      <c r="D94" s="1014" t="s">
        <v>130</v>
      </c>
      <c r="E94" s="1015" t="s">
        <v>1662</v>
      </c>
      <c r="F94" s="1014"/>
      <c r="G94" s="1014"/>
      <c r="H94" s="1014"/>
      <c r="I94" s="1014"/>
      <c r="J94" s="1014"/>
      <c r="K94" s="1014"/>
      <c r="L94" s="1014"/>
      <c r="M94" s="1014"/>
      <c r="N94" s="1014"/>
      <c r="O94" s="1014"/>
      <c r="P94" s="1014"/>
      <c r="Q94" s="1014"/>
      <c r="R94" s="1014"/>
      <c r="S94" s="1014"/>
      <c r="T94" s="1014" t="s">
        <v>275</v>
      </c>
      <c r="U94" s="1016"/>
      <c r="V94" s="1017"/>
      <c r="W94" s="1017"/>
      <c r="X94" s="1017"/>
      <c r="Y94" s="1018"/>
      <c r="Z94" s="1019">
        <v>115400</v>
      </c>
      <c r="AA94" s="210">
        <v>0</v>
      </c>
      <c r="AB94" s="210">
        <v>0</v>
      </c>
      <c r="AC94" s="559"/>
    </row>
    <row r="95" spans="1:29" ht="58.5" customHeight="1" x14ac:dyDescent="0.3">
      <c r="A95" s="155" t="s">
        <v>1396</v>
      </c>
      <c r="B95" s="140" t="s">
        <v>15</v>
      </c>
      <c r="C95" s="140" t="s">
        <v>122</v>
      </c>
      <c r="D95" s="140" t="s">
        <v>130</v>
      </c>
      <c r="E95" s="230" t="s">
        <v>1397</v>
      </c>
      <c r="F95" s="140"/>
      <c r="G95" s="140"/>
      <c r="H95" s="140"/>
      <c r="I95" s="140"/>
      <c r="J95" s="140"/>
      <c r="K95" s="140"/>
      <c r="L95" s="140"/>
      <c r="M95" s="140"/>
      <c r="N95" s="140"/>
      <c r="O95" s="140"/>
      <c r="P95" s="140"/>
      <c r="Q95" s="140"/>
      <c r="R95" s="140"/>
      <c r="S95" s="140"/>
      <c r="T95" s="140"/>
      <c r="U95" s="136"/>
      <c r="V95" s="137"/>
      <c r="W95" s="137"/>
      <c r="X95" s="137"/>
      <c r="Y95" s="154"/>
      <c r="Z95" s="210">
        <f>Z96</f>
        <v>2530500.92</v>
      </c>
      <c r="AA95" s="210">
        <v>0</v>
      </c>
      <c r="AB95" s="210">
        <v>0</v>
      </c>
      <c r="AC95" s="559"/>
    </row>
    <row r="96" spans="1:29" ht="75.75" customHeight="1" x14ac:dyDescent="0.3">
      <c r="A96" s="154" t="s">
        <v>1404</v>
      </c>
      <c r="B96" s="140" t="s">
        <v>15</v>
      </c>
      <c r="C96" s="140" t="s">
        <v>122</v>
      </c>
      <c r="D96" s="140" t="s">
        <v>130</v>
      </c>
      <c r="E96" s="230" t="s">
        <v>1397</v>
      </c>
      <c r="F96" s="140"/>
      <c r="G96" s="140"/>
      <c r="H96" s="140"/>
      <c r="I96" s="140"/>
      <c r="J96" s="140"/>
      <c r="K96" s="140"/>
      <c r="L96" s="140"/>
      <c r="M96" s="140"/>
      <c r="N96" s="140"/>
      <c r="O96" s="140"/>
      <c r="P96" s="140"/>
      <c r="Q96" s="140"/>
      <c r="R96" s="140"/>
      <c r="S96" s="140"/>
      <c r="T96" s="140" t="s">
        <v>350</v>
      </c>
      <c r="U96" s="136"/>
      <c r="V96" s="137"/>
      <c r="W96" s="137"/>
      <c r="X96" s="137"/>
      <c r="Y96" s="154"/>
      <c r="Z96" s="210">
        <f>520000.47+1450000.45+560500</f>
        <v>2530500.92</v>
      </c>
      <c r="AA96" s="210">
        <v>0</v>
      </c>
      <c r="AB96" s="210">
        <v>0</v>
      </c>
      <c r="AC96" s="559"/>
    </row>
    <row r="97" spans="1:29" ht="0.75" hidden="1" customHeight="1" x14ac:dyDescent="0.3">
      <c r="A97" s="580"/>
      <c r="B97" s="140"/>
      <c r="C97" s="140"/>
      <c r="D97" s="140"/>
      <c r="E97" s="230"/>
      <c r="F97" s="140"/>
      <c r="G97" s="140"/>
      <c r="H97" s="140"/>
      <c r="I97" s="140"/>
      <c r="J97" s="140"/>
      <c r="K97" s="140"/>
      <c r="L97" s="140"/>
      <c r="M97" s="140"/>
      <c r="N97" s="140"/>
      <c r="O97" s="140"/>
      <c r="P97" s="140"/>
      <c r="Q97" s="140"/>
      <c r="R97" s="140"/>
      <c r="S97" s="140"/>
      <c r="T97" s="140"/>
      <c r="U97" s="136"/>
      <c r="V97" s="137"/>
      <c r="W97" s="137"/>
      <c r="X97" s="137"/>
      <c r="Y97" s="154"/>
      <c r="Z97" s="210"/>
      <c r="AA97" s="210"/>
      <c r="AB97" s="210"/>
      <c r="AC97" s="559"/>
    </row>
    <row r="98" spans="1:29" ht="48" hidden="1" customHeight="1" x14ac:dyDescent="0.3">
      <c r="A98" s="486" t="s">
        <v>1029</v>
      </c>
      <c r="B98" s="140" t="s">
        <v>15</v>
      </c>
      <c r="C98" s="140" t="s">
        <v>122</v>
      </c>
      <c r="D98" s="140" t="s">
        <v>130</v>
      </c>
      <c r="E98" s="230" t="s">
        <v>1030</v>
      </c>
      <c r="F98" s="140"/>
      <c r="G98" s="140"/>
      <c r="H98" s="140"/>
      <c r="I98" s="140"/>
      <c r="J98" s="140"/>
      <c r="K98" s="140"/>
      <c r="L98" s="140"/>
      <c r="M98" s="140"/>
      <c r="N98" s="140"/>
      <c r="O98" s="140"/>
      <c r="P98" s="140"/>
      <c r="Q98" s="140"/>
      <c r="R98" s="140"/>
      <c r="S98" s="140"/>
      <c r="T98" s="140"/>
      <c r="U98" s="136"/>
      <c r="V98" s="137"/>
      <c r="W98" s="137"/>
      <c r="X98" s="137"/>
      <c r="Y98" s="154"/>
      <c r="Z98" s="210">
        <f>Z99</f>
        <v>0</v>
      </c>
      <c r="AA98" s="210">
        <f>AA99</f>
        <v>0</v>
      </c>
      <c r="AB98" s="210">
        <f>AB99</f>
        <v>0</v>
      </c>
      <c r="AC98" s="559"/>
    </row>
    <row r="99" spans="1:29" ht="45" hidden="1" customHeight="1" x14ac:dyDescent="0.3">
      <c r="A99" s="154" t="s">
        <v>565</v>
      </c>
      <c r="B99" s="140" t="s">
        <v>15</v>
      </c>
      <c r="C99" s="140" t="s">
        <v>122</v>
      </c>
      <c r="D99" s="140" t="s">
        <v>130</v>
      </c>
      <c r="E99" s="230" t="s">
        <v>1030</v>
      </c>
      <c r="F99" s="140"/>
      <c r="G99" s="140"/>
      <c r="H99" s="140"/>
      <c r="I99" s="140"/>
      <c r="J99" s="140"/>
      <c r="K99" s="140"/>
      <c r="L99" s="140"/>
      <c r="M99" s="140"/>
      <c r="N99" s="140"/>
      <c r="O99" s="140"/>
      <c r="P99" s="140"/>
      <c r="Q99" s="140"/>
      <c r="R99" s="140"/>
      <c r="S99" s="140"/>
      <c r="T99" s="140" t="s">
        <v>275</v>
      </c>
      <c r="U99" s="136"/>
      <c r="V99" s="137"/>
      <c r="W99" s="137"/>
      <c r="X99" s="137"/>
      <c r="Y99" s="154"/>
      <c r="Z99" s="210">
        <v>0</v>
      </c>
      <c r="AA99" s="210">
        <v>0</v>
      </c>
      <c r="AB99" s="210">
        <v>0</v>
      </c>
      <c r="AC99" s="559"/>
    </row>
    <row r="100" spans="1:29" ht="55.9" customHeight="1" x14ac:dyDescent="0.3">
      <c r="A100" s="159" t="s">
        <v>297</v>
      </c>
      <c r="B100" s="160" t="s">
        <v>15</v>
      </c>
      <c r="C100" s="160" t="s">
        <v>123</v>
      </c>
      <c r="D100" s="160" t="s">
        <v>133</v>
      </c>
      <c r="E100" s="139"/>
      <c r="F100" s="160"/>
      <c r="G100" s="160"/>
      <c r="H100" s="160"/>
      <c r="I100" s="160"/>
      <c r="J100" s="160"/>
      <c r="K100" s="160"/>
      <c r="L100" s="160"/>
      <c r="M100" s="160"/>
      <c r="N100" s="160"/>
      <c r="O100" s="160"/>
      <c r="P100" s="160"/>
      <c r="Q100" s="160"/>
      <c r="R100" s="160"/>
      <c r="S100" s="160"/>
      <c r="T100" s="160"/>
      <c r="U100" s="160"/>
      <c r="V100" s="212"/>
      <c r="W100" s="212"/>
      <c r="X100" s="212"/>
      <c r="Y100" s="159" t="s">
        <v>297</v>
      </c>
      <c r="Z100" s="213">
        <f>Z101+Z112</f>
        <v>780068.75</v>
      </c>
      <c r="AA100" s="213">
        <f>AA101+AA112</f>
        <v>300000</v>
      </c>
      <c r="AB100" s="213">
        <f>AB101+AB112</f>
        <v>600000</v>
      </c>
      <c r="AC100" s="288" t="s">
        <v>297</v>
      </c>
    </row>
    <row r="101" spans="1:29" ht="74.45" customHeight="1" x14ac:dyDescent="0.3">
      <c r="A101" s="159" t="s">
        <v>251</v>
      </c>
      <c r="B101" s="160" t="s">
        <v>15</v>
      </c>
      <c r="C101" s="160" t="s">
        <v>123</v>
      </c>
      <c r="D101" s="160" t="s">
        <v>127</v>
      </c>
      <c r="E101" s="139"/>
      <c r="F101" s="160"/>
      <c r="G101" s="160"/>
      <c r="H101" s="160"/>
      <c r="I101" s="160"/>
      <c r="J101" s="160"/>
      <c r="K101" s="160"/>
      <c r="L101" s="160"/>
      <c r="M101" s="160"/>
      <c r="N101" s="160"/>
      <c r="O101" s="160"/>
      <c r="P101" s="160"/>
      <c r="Q101" s="160"/>
      <c r="R101" s="160"/>
      <c r="S101" s="160"/>
      <c r="T101" s="160"/>
      <c r="U101" s="160"/>
      <c r="V101" s="212"/>
      <c r="W101" s="212"/>
      <c r="X101" s="212"/>
      <c r="Y101" s="159" t="s">
        <v>251</v>
      </c>
      <c r="Z101" s="213">
        <f>Z104+Z108+Z110+Z106+Z102</f>
        <v>780068.75</v>
      </c>
      <c r="AA101" s="213">
        <f>AA104+AA108+AA110+AA106+AA102</f>
        <v>300000</v>
      </c>
      <c r="AB101" s="213">
        <f>AB104+AB108+AB110+AB106+AB102</f>
        <v>600000</v>
      </c>
      <c r="AC101" s="288" t="s">
        <v>251</v>
      </c>
    </row>
    <row r="102" spans="1:29" ht="106.9" customHeight="1" x14ac:dyDescent="0.3">
      <c r="A102" s="155" t="s">
        <v>1225</v>
      </c>
      <c r="B102" s="140" t="s">
        <v>15</v>
      </c>
      <c r="C102" s="140" t="s">
        <v>123</v>
      </c>
      <c r="D102" s="140" t="s">
        <v>127</v>
      </c>
      <c r="E102" s="230" t="s">
        <v>537</v>
      </c>
      <c r="F102" s="140"/>
      <c r="G102" s="140"/>
      <c r="H102" s="140"/>
      <c r="I102" s="140"/>
      <c r="J102" s="140"/>
      <c r="K102" s="140"/>
      <c r="L102" s="140"/>
      <c r="M102" s="140"/>
      <c r="N102" s="140"/>
      <c r="O102" s="140"/>
      <c r="P102" s="140"/>
      <c r="Q102" s="140"/>
      <c r="R102" s="140"/>
      <c r="S102" s="140"/>
      <c r="T102" s="140"/>
      <c r="U102" s="160"/>
      <c r="V102" s="212"/>
      <c r="W102" s="212"/>
      <c r="X102" s="212"/>
      <c r="Y102" s="159"/>
      <c r="Z102" s="235">
        <f>Z103</f>
        <v>100000</v>
      </c>
      <c r="AA102" s="235">
        <f>AA103</f>
        <v>100000</v>
      </c>
      <c r="AB102" s="235">
        <f>AB103</f>
        <v>100000</v>
      </c>
      <c r="AC102" s="288"/>
    </row>
    <row r="103" spans="1:29" ht="51" customHeight="1" x14ac:dyDescent="0.3">
      <c r="A103" s="154" t="s">
        <v>565</v>
      </c>
      <c r="B103" s="140" t="s">
        <v>15</v>
      </c>
      <c r="C103" s="140" t="s">
        <v>123</v>
      </c>
      <c r="D103" s="140" t="s">
        <v>127</v>
      </c>
      <c r="E103" s="230" t="s">
        <v>537</v>
      </c>
      <c r="F103" s="140"/>
      <c r="G103" s="140"/>
      <c r="H103" s="140"/>
      <c r="I103" s="140"/>
      <c r="J103" s="140"/>
      <c r="K103" s="140"/>
      <c r="L103" s="140"/>
      <c r="M103" s="140"/>
      <c r="N103" s="140"/>
      <c r="O103" s="140"/>
      <c r="P103" s="140"/>
      <c r="Q103" s="140"/>
      <c r="R103" s="140"/>
      <c r="S103" s="140"/>
      <c r="T103" s="140" t="s">
        <v>275</v>
      </c>
      <c r="U103" s="160"/>
      <c r="V103" s="212"/>
      <c r="W103" s="212"/>
      <c r="X103" s="212"/>
      <c r="Y103" s="159"/>
      <c r="Z103" s="235">
        <f>100000</f>
        <v>100000</v>
      </c>
      <c r="AA103" s="235">
        <v>100000</v>
      </c>
      <c r="AB103" s="235">
        <v>100000</v>
      </c>
      <c r="AC103" s="288"/>
    </row>
    <row r="104" spans="1:29" ht="237" customHeight="1" x14ac:dyDescent="0.3">
      <c r="A104" s="153" t="s">
        <v>1281</v>
      </c>
      <c r="B104" s="161" t="s">
        <v>15</v>
      </c>
      <c r="C104" s="161" t="s">
        <v>123</v>
      </c>
      <c r="D104" s="161" t="s">
        <v>127</v>
      </c>
      <c r="E104" s="230" t="s">
        <v>533</v>
      </c>
      <c r="F104" s="161"/>
      <c r="G104" s="161"/>
      <c r="H104" s="161"/>
      <c r="I104" s="161"/>
      <c r="J104" s="161"/>
      <c r="K104" s="161"/>
      <c r="L104" s="161"/>
      <c r="M104" s="161"/>
      <c r="N104" s="161"/>
      <c r="O104" s="161"/>
      <c r="P104" s="161"/>
      <c r="Q104" s="161"/>
      <c r="R104" s="161"/>
      <c r="S104" s="161"/>
      <c r="T104" s="161"/>
      <c r="U104" s="161"/>
      <c r="V104" s="204"/>
      <c r="W104" s="204"/>
      <c r="X104" s="204"/>
      <c r="Y104" s="153" t="s">
        <v>298</v>
      </c>
      <c r="Z104" s="235">
        <f>Z105</f>
        <v>100000</v>
      </c>
      <c r="AA104" s="235">
        <f>AA105</f>
        <v>100000</v>
      </c>
      <c r="AB104" s="235">
        <f>AB105</f>
        <v>100000</v>
      </c>
      <c r="AC104" s="558" t="s">
        <v>298</v>
      </c>
    </row>
    <row r="105" spans="1:29" ht="54.6" customHeight="1" x14ac:dyDescent="0.3">
      <c r="A105" s="135" t="s">
        <v>565</v>
      </c>
      <c r="B105" s="136" t="s">
        <v>15</v>
      </c>
      <c r="C105" s="136" t="s">
        <v>123</v>
      </c>
      <c r="D105" s="136" t="s">
        <v>127</v>
      </c>
      <c r="E105" s="230" t="s">
        <v>533</v>
      </c>
      <c r="F105" s="136"/>
      <c r="G105" s="136"/>
      <c r="H105" s="136"/>
      <c r="I105" s="136"/>
      <c r="J105" s="136"/>
      <c r="K105" s="136"/>
      <c r="L105" s="136"/>
      <c r="M105" s="136"/>
      <c r="N105" s="136"/>
      <c r="O105" s="136"/>
      <c r="P105" s="136"/>
      <c r="Q105" s="136"/>
      <c r="R105" s="136"/>
      <c r="S105" s="136"/>
      <c r="T105" s="136" t="s">
        <v>275</v>
      </c>
      <c r="U105" s="136"/>
      <c r="V105" s="137"/>
      <c r="W105" s="137"/>
      <c r="X105" s="137"/>
      <c r="Y105" s="135" t="s">
        <v>299</v>
      </c>
      <c r="Z105" s="210">
        <f>5100000-5000000</f>
        <v>100000</v>
      </c>
      <c r="AA105" s="210">
        <v>100000</v>
      </c>
      <c r="AB105" s="210">
        <v>100000</v>
      </c>
      <c r="AC105" s="211" t="s">
        <v>299</v>
      </c>
    </row>
    <row r="106" spans="1:29" ht="235.5" customHeight="1" x14ac:dyDescent="0.3">
      <c r="A106" s="153" t="s">
        <v>1282</v>
      </c>
      <c r="B106" s="136" t="s">
        <v>15</v>
      </c>
      <c r="C106" s="136" t="s">
        <v>123</v>
      </c>
      <c r="D106" s="136" t="s">
        <v>127</v>
      </c>
      <c r="E106" s="230" t="s">
        <v>781</v>
      </c>
      <c r="F106" s="136"/>
      <c r="G106" s="136"/>
      <c r="H106" s="136"/>
      <c r="I106" s="136"/>
      <c r="J106" s="136"/>
      <c r="K106" s="136"/>
      <c r="L106" s="136"/>
      <c r="M106" s="136"/>
      <c r="N106" s="136"/>
      <c r="O106" s="136"/>
      <c r="P106" s="136"/>
      <c r="Q106" s="136"/>
      <c r="R106" s="136"/>
      <c r="S106" s="136"/>
      <c r="T106" s="136"/>
      <c r="U106" s="136"/>
      <c r="V106" s="137"/>
      <c r="W106" s="137"/>
      <c r="X106" s="137"/>
      <c r="Y106" s="135"/>
      <c r="Z106" s="210">
        <f>Z107</f>
        <v>80068.75</v>
      </c>
      <c r="AA106" s="210">
        <f>AA107</f>
        <v>50000</v>
      </c>
      <c r="AB106" s="210">
        <f>AB107</f>
        <v>350000</v>
      </c>
      <c r="AC106" s="211"/>
    </row>
    <row r="107" spans="1:29" ht="51" customHeight="1" x14ac:dyDescent="0.3">
      <c r="A107" s="1013" t="s">
        <v>565</v>
      </c>
      <c r="B107" s="1016" t="s">
        <v>15</v>
      </c>
      <c r="C107" s="1016" t="s">
        <v>123</v>
      </c>
      <c r="D107" s="1016" t="s">
        <v>127</v>
      </c>
      <c r="E107" s="1015" t="s">
        <v>781</v>
      </c>
      <c r="F107" s="1016"/>
      <c r="G107" s="1016"/>
      <c r="H107" s="1016"/>
      <c r="I107" s="1016"/>
      <c r="J107" s="1016"/>
      <c r="K107" s="1016"/>
      <c r="L107" s="1016"/>
      <c r="M107" s="1016"/>
      <c r="N107" s="1016"/>
      <c r="O107" s="1016"/>
      <c r="P107" s="1016"/>
      <c r="Q107" s="1016"/>
      <c r="R107" s="1016"/>
      <c r="S107" s="1016"/>
      <c r="T107" s="1016" t="s">
        <v>275</v>
      </c>
      <c r="U107" s="1016"/>
      <c r="V107" s="1017"/>
      <c r="W107" s="1017"/>
      <c r="X107" s="1017"/>
      <c r="Y107" s="1013"/>
      <c r="Z107" s="1019">
        <f>350000-60000-70000-100000-40000-75000+75068.75</f>
        <v>80068.75</v>
      </c>
      <c r="AA107" s="210">
        <f>350000-300000</f>
        <v>50000</v>
      </c>
      <c r="AB107" s="210">
        <v>350000</v>
      </c>
      <c r="AC107" s="211"/>
    </row>
    <row r="108" spans="1:29" ht="177.75" customHeight="1" x14ac:dyDescent="0.3">
      <c r="A108" s="153" t="s">
        <v>1328</v>
      </c>
      <c r="B108" s="161" t="s">
        <v>15</v>
      </c>
      <c r="C108" s="161" t="s">
        <v>123</v>
      </c>
      <c r="D108" s="161" t="s">
        <v>127</v>
      </c>
      <c r="E108" s="230" t="s">
        <v>534</v>
      </c>
      <c r="F108" s="161"/>
      <c r="G108" s="161"/>
      <c r="H108" s="161"/>
      <c r="I108" s="161"/>
      <c r="J108" s="161"/>
      <c r="K108" s="161"/>
      <c r="L108" s="161"/>
      <c r="M108" s="161"/>
      <c r="N108" s="161"/>
      <c r="O108" s="161"/>
      <c r="P108" s="161"/>
      <c r="Q108" s="161"/>
      <c r="R108" s="161"/>
      <c r="S108" s="161"/>
      <c r="T108" s="161"/>
      <c r="U108" s="161"/>
      <c r="V108" s="204"/>
      <c r="W108" s="204"/>
      <c r="X108" s="204"/>
      <c r="Y108" s="153" t="s">
        <v>300</v>
      </c>
      <c r="Z108" s="235">
        <f>Z109</f>
        <v>500000</v>
      </c>
      <c r="AA108" s="235">
        <f>AA109</f>
        <v>50000</v>
      </c>
      <c r="AB108" s="235">
        <f>AB109</f>
        <v>50000</v>
      </c>
      <c r="AC108" s="558" t="s">
        <v>300</v>
      </c>
    </row>
    <row r="109" spans="1:29" ht="46.9" customHeight="1" x14ac:dyDescent="0.3">
      <c r="A109" s="135" t="s">
        <v>565</v>
      </c>
      <c r="B109" s="136" t="s">
        <v>15</v>
      </c>
      <c r="C109" s="136" t="s">
        <v>123</v>
      </c>
      <c r="D109" s="136" t="s">
        <v>127</v>
      </c>
      <c r="E109" s="230" t="s">
        <v>534</v>
      </c>
      <c r="F109" s="136"/>
      <c r="G109" s="136"/>
      <c r="H109" s="136"/>
      <c r="I109" s="136"/>
      <c r="J109" s="136"/>
      <c r="K109" s="136"/>
      <c r="L109" s="136"/>
      <c r="M109" s="136"/>
      <c r="N109" s="136"/>
      <c r="O109" s="136"/>
      <c r="P109" s="136"/>
      <c r="Q109" s="136"/>
      <c r="R109" s="136"/>
      <c r="S109" s="136"/>
      <c r="T109" s="136" t="s">
        <v>275</v>
      </c>
      <c r="U109" s="136"/>
      <c r="V109" s="137"/>
      <c r="W109" s="137"/>
      <c r="X109" s="137"/>
      <c r="Y109" s="135" t="s">
        <v>301</v>
      </c>
      <c r="Z109" s="264">
        <f>900000-400000</f>
        <v>500000</v>
      </c>
      <c r="AA109" s="210">
        <v>50000</v>
      </c>
      <c r="AB109" s="210">
        <v>50000</v>
      </c>
      <c r="AC109" s="211" t="s">
        <v>301</v>
      </c>
    </row>
    <row r="110" spans="1:29" ht="37.5" hidden="1" customHeight="1" x14ac:dyDescent="0.3">
      <c r="A110" s="155" t="s">
        <v>241</v>
      </c>
      <c r="B110" s="161" t="s">
        <v>15</v>
      </c>
      <c r="C110" s="161" t="s">
        <v>123</v>
      </c>
      <c r="D110" s="161" t="s">
        <v>127</v>
      </c>
      <c r="E110" s="230" t="s">
        <v>535</v>
      </c>
      <c r="F110" s="161"/>
      <c r="G110" s="161"/>
      <c r="H110" s="161"/>
      <c r="I110" s="161"/>
      <c r="J110" s="161"/>
      <c r="K110" s="161"/>
      <c r="L110" s="161"/>
      <c r="M110" s="161"/>
      <c r="N110" s="161"/>
      <c r="O110" s="161"/>
      <c r="P110" s="161"/>
      <c r="Q110" s="161"/>
      <c r="R110" s="161"/>
      <c r="S110" s="161"/>
      <c r="T110" s="161"/>
      <c r="U110" s="161"/>
      <c r="V110" s="204"/>
      <c r="W110" s="204"/>
      <c r="X110" s="204"/>
      <c r="Y110" s="155" t="s">
        <v>241</v>
      </c>
      <c r="Z110" s="235">
        <f>Z111</f>
        <v>0</v>
      </c>
      <c r="AA110" s="235">
        <f>AA111</f>
        <v>0</v>
      </c>
      <c r="AB110" s="235">
        <f>AB111</f>
        <v>0</v>
      </c>
      <c r="AC110" s="563" t="s">
        <v>241</v>
      </c>
    </row>
    <row r="111" spans="1:29" ht="48.75" hidden="1" customHeight="1" x14ac:dyDescent="0.3">
      <c r="A111" s="154" t="s">
        <v>302</v>
      </c>
      <c r="B111" s="136" t="s">
        <v>15</v>
      </c>
      <c r="C111" s="136" t="s">
        <v>123</v>
      </c>
      <c r="D111" s="136" t="s">
        <v>127</v>
      </c>
      <c r="E111" s="230" t="s">
        <v>535</v>
      </c>
      <c r="F111" s="136"/>
      <c r="G111" s="136"/>
      <c r="H111" s="136"/>
      <c r="I111" s="136"/>
      <c r="J111" s="136"/>
      <c r="K111" s="136"/>
      <c r="L111" s="136"/>
      <c r="M111" s="136"/>
      <c r="N111" s="136"/>
      <c r="O111" s="136"/>
      <c r="P111" s="136"/>
      <c r="Q111" s="136"/>
      <c r="R111" s="136"/>
      <c r="S111" s="136"/>
      <c r="T111" s="136" t="s">
        <v>275</v>
      </c>
      <c r="U111" s="136"/>
      <c r="V111" s="137"/>
      <c r="W111" s="137"/>
      <c r="X111" s="137"/>
      <c r="Y111" s="154" t="s">
        <v>302</v>
      </c>
      <c r="Z111" s="210">
        <f>12000+238000+100000-350000</f>
        <v>0</v>
      </c>
      <c r="AA111" s="210">
        <f>400000-400000</f>
        <v>0</v>
      </c>
      <c r="AB111" s="210">
        <f>400000-400000</f>
        <v>0</v>
      </c>
      <c r="AC111" s="559" t="s">
        <v>302</v>
      </c>
    </row>
    <row r="112" spans="1:29" ht="38.25" hidden="1" customHeight="1" x14ac:dyDescent="0.3">
      <c r="A112" s="207" t="s">
        <v>144</v>
      </c>
      <c r="B112" s="139" t="s">
        <v>15</v>
      </c>
      <c r="C112" s="139" t="s">
        <v>123</v>
      </c>
      <c r="D112" s="139" t="s">
        <v>143</v>
      </c>
      <c r="E112" s="140"/>
      <c r="F112" s="140"/>
      <c r="G112" s="140"/>
      <c r="H112" s="140"/>
      <c r="I112" s="140"/>
      <c r="J112" s="140"/>
      <c r="K112" s="140"/>
      <c r="L112" s="140"/>
      <c r="M112" s="140"/>
      <c r="N112" s="140"/>
      <c r="O112" s="140"/>
      <c r="P112" s="140"/>
      <c r="Q112" s="140"/>
      <c r="R112" s="140"/>
      <c r="S112" s="140"/>
      <c r="T112" s="140"/>
      <c r="U112" s="140"/>
      <c r="V112" s="141"/>
      <c r="W112" s="141"/>
      <c r="X112" s="141"/>
      <c r="Y112" s="142"/>
      <c r="Z112" s="168">
        <f t="shared" ref="Z112:AB113" si="7">Z113</f>
        <v>0</v>
      </c>
      <c r="AA112" s="169">
        <f t="shared" si="7"/>
        <v>0</v>
      </c>
      <c r="AB112" s="213">
        <f t="shared" si="7"/>
        <v>0</v>
      </c>
      <c r="AC112" s="559"/>
    </row>
    <row r="113" spans="1:29" ht="116.25" hidden="1" customHeight="1" x14ac:dyDescent="0.3">
      <c r="A113" s="155" t="s">
        <v>536</v>
      </c>
      <c r="B113" s="140" t="s">
        <v>15</v>
      </c>
      <c r="C113" s="140" t="s">
        <v>123</v>
      </c>
      <c r="D113" s="140" t="s">
        <v>143</v>
      </c>
      <c r="E113" s="230" t="s">
        <v>537</v>
      </c>
      <c r="F113" s="140"/>
      <c r="G113" s="140"/>
      <c r="H113" s="140"/>
      <c r="I113" s="140"/>
      <c r="J113" s="140"/>
      <c r="K113" s="140"/>
      <c r="L113" s="140"/>
      <c r="M113" s="140"/>
      <c r="N113" s="140"/>
      <c r="O113" s="140"/>
      <c r="P113" s="140"/>
      <c r="Q113" s="140"/>
      <c r="R113" s="140"/>
      <c r="S113" s="140"/>
      <c r="T113" s="140"/>
      <c r="U113" s="140"/>
      <c r="V113" s="141"/>
      <c r="W113" s="141"/>
      <c r="X113" s="141"/>
      <c r="Y113" s="142"/>
      <c r="Z113" s="143">
        <f t="shared" si="7"/>
        <v>0</v>
      </c>
      <c r="AA113" s="144">
        <f t="shared" si="7"/>
        <v>0</v>
      </c>
      <c r="AB113" s="210">
        <f t="shared" si="7"/>
        <v>0</v>
      </c>
      <c r="AC113" s="559"/>
    </row>
    <row r="114" spans="1:29" ht="0.75" hidden="1" customHeight="1" x14ac:dyDescent="0.3">
      <c r="A114" s="154" t="s">
        <v>732</v>
      </c>
      <c r="B114" s="140" t="s">
        <v>15</v>
      </c>
      <c r="C114" s="140" t="s">
        <v>123</v>
      </c>
      <c r="D114" s="140" t="s">
        <v>143</v>
      </c>
      <c r="E114" s="230" t="s">
        <v>537</v>
      </c>
      <c r="F114" s="140"/>
      <c r="G114" s="140"/>
      <c r="H114" s="140"/>
      <c r="I114" s="140"/>
      <c r="J114" s="140"/>
      <c r="K114" s="140"/>
      <c r="L114" s="140"/>
      <c r="M114" s="140"/>
      <c r="N114" s="140"/>
      <c r="O114" s="140"/>
      <c r="P114" s="140"/>
      <c r="Q114" s="140"/>
      <c r="R114" s="140"/>
      <c r="S114" s="140"/>
      <c r="T114" s="140" t="s">
        <v>275</v>
      </c>
      <c r="U114" s="140"/>
      <c r="V114" s="141"/>
      <c r="W114" s="141"/>
      <c r="X114" s="141"/>
      <c r="Y114" s="142"/>
      <c r="Z114" s="143">
        <f>100000-100000</f>
        <v>0</v>
      </c>
      <c r="AA114" s="144">
        <f>100000-100000</f>
        <v>0</v>
      </c>
      <c r="AB114" s="210">
        <f>100000-100000</f>
        <v>0</v>
      </c>
      <c r="AC114" s="559"/>
    </row>
    <row r="115" spans="1:29" ht="18.600000000000001" customHeight="1" x14ac:dyDescent="0.3">
      <c r="A115" s="159" t="s">
        <v>303</v>
      </c>
      <c r="B115" s="160" t="s">
        <v>15</v>
      </c>
      <c r="C115" s="160" t="s">
        <v>136</v>
      </c>
      <c r="D115" s="160" t="s">
        <v>133</v>
      </c>
      <c r="E115" s="139"/>
      <c r="F115" s="160"/>
      <c r="G115" s="160"/>
      <c r="H115" s="160"/>
      <c r="I115" s="160"/>
      <c r="J115" s="160"/>
      <c r="K115" s="160"/>
      <c r="L115" s="160"/>
      <c r="M115" s="160"/>
      <c r="N115" s="160"/>
      <c r="O115" s="160"/>
      <c r="P115" s="160"/>
      <c r="Q115" s="160"/>
      <c r="R115" s="160"/>
      <c r="S115" s="160"/>
      <c r="T115" s="160"/>
      <c r="U115" s="160"/>
      <c r="V115" s="212"/>
      <c r="W115" s="212"/>
      <c r="X115" s="212"/>
      <c r="Y115" s="159" t="s">
        <v>303</v>
      </c>
      <c r="Z115" s="213">
        <f>Z116+Z147+Z154+Z181+Z194</f>
        <v>48233176.260000005</v>
      </c>
      <c r="AA115" s="213">
        <f>AA116+AA147+AA154+AA181+AA194</f>
        <v>26209102.100000001</v>
      </c>
      <c r="AB115" s="213">
        <f>AB116+AB147+AB154+AB181+AB194</f>
        <v>22391365.640000001</v>
      </c>
      <c r="AC115" s="288" t="s">
        <v>303</v>
      </c>
    </row>
    <row r="116" spans="1:29" ht="32.25" customHeight="1" x14ac:dyDescent="0.3">
      <c r="A116" s="159" t="s">
        <v>147</v>
      </c>
      <c r="B116" s="160" t="s">
        <v>15</v>
      </c>
      <c r="C116" s="160" t="s">
        <v>136</v>
      </c>
      <c r="D116" s="160" t="s">
        <v>124</v>
      </c>
      <c r="E116" s="139"/>
      <c r="F116" s="160"/>
      <c r="G116" s="160"/>
      <c r="H116" s="160"/>
      <c r="I116" s="160"/>
      <c r="J116" s="160"/>
      <c r="K116" s="160"/>
      <c r="L116" s="160"/>
      <c r="M116" s="160"/>
      <c r="N116" s="160"/>
      <c r="O116" s="160"/>
      <c r="P116" s="160"/>
      <c r="Q116" s="160"/>
      <c r="R116" s="160"/>
      <c r="S116" s="160"/>
      <c r="T116" s="160"/>
      <c r="U116" s="160"/>
      <c r="V116" s="212"/>
      <c r="W116" s="212"/>
      <c r="X116" s="212"/>
      <c r="Y116" s="159" t="s">
        <v>147</v>
      </c>
      <c r="Z116" s="213">
        <f>Z117+Z119+Z121+Z123+Z129+Z131+Z139+Z143+Z145+Z127+Z125+Z137+Z133+Z141+Z135</f>
        <v>465321.43</v>
      </c>
      <c r="AA116" s="213">
        <f>AA117+AA119+AA121+AA123+AA129+AA131+AA139+AA143+AA145+AA127+AA125</f>
        <v>247321.43</v>
      </c>
      <c r="AB116" s="213">
        <f>AB117+AB119+AB121+AB123+AB129+AB131+AB139+AB143+AB145+AB127+AB125</f>
        <v>247321.43</v>
      </c>
      <c r="AC116" s="288" t="s">
        <v>147</v>
      </c>
    </row>
    <row r="117" spans="1:29" s="271" customFormat="1" ht="54" hidden="1" customHeight="1" x14ac:dyDescent="0.3">
      <c r="A117" s="153" t="s">
        <v>594</v>
      </c>
      <c r="B117" s="161" t="s">
        <v>15</v>
      </c>
      <c r="C117" s="161" t="s">
        <v>136</v>
      </c>
      <c r="D117" s="161" t="s">
        <v>124</v>
      </c>
      <c r="E117" s="230" t="s">
        <v>538</v>
      </c>
      <c r="F117" s="161"/>
      <c r="G117" s="161"/>
      <c r="H117" s="161"/>
      <c r="I117" s="161"/>
      <c r="J117" s="161"/>
      <c r="K117" s="161"/>
      <c r="L117" s="161"/>
      <c r="M117" s="161"/>
      <c r="N117" s="161"/>
      <c r="O117" s="161"/>
      <c r="P117" s="161"/>
      <c r="Q117" s="161"/>
      <c r="R117" s="161"/>
      <c r="S117" s="161"/>
      <c r="T117" s="161"/>
      <c r="U117" s="161"/>
      <c r="V117" s="204"/>
      <c r="W117" s="204"/>
      <c r="X117" s="204"/>
      <c r="Y117" s="153" t="s">
        <v>304</v>
      </c>
      <c r="Z117" s="235">
        <f>Z118</f>
        <v>0</v>
      </c>
      <c r="AA117" s="235">
        <f>AA118</f>
        <v>0</v>
      </c>
      <c r="AB117" s="235">
        <f>AB118</f>
        <v>0</v>
      </c>
      <c r="AC117" s="564" t="s">
        <v>304</v>
      </c>
    </row>
    <row r="118" spans="1:29" s="271" customFormat="1" ht="108" hidden="1" customHeight="1" x14ac:dyDescent="0.3">
      <c r="A118" s="135" t="s">
        <v>305</v>
      </c>
      <c r="B118" s="136" t="s">
        <v>15</v>
      </c>
      <c r="C118" s="136" t="s">
        <v>136</v>
      </c>
      <c r="D118" s="136" t="s">
        <v>124</v>
      </c>
      <c r="E118" s="230" t="s">
        <v>538</v>
      </c>
      <c r="F118" s="136"/>
      <c r="G118" s="136"/>
      <c r="H118" s="136"/>
      <c r="I118" s="136"/>
      <c r="J118" s="136"/>
      <c r="K118" s="136"/>
      <c r="L118" s="136"/>
      <c r="M118" s="136"/>
      <c r="N118" s="136"/>
      <c r="O118" s="136"/>
      <c r="P118" s="136"/>
      <c r="Q118" s="136"/>
      <c r="R118" s="136"/>
      <c r="S118" s="136"/>
      <c r="T118" s="136" t="s">
        <v>275</v>
      </c>
      <c r="U118" s="136"/>
      <c r="V118" s="137"/>
      <c r="W118" s="137"/>
      <c r="X118" s="137"/>
      <c r="Y118" s="135" t="s">
        <v>305</v>
      </c>
      <c r="Z118" s="210">
        <v>0</v>
      </c>
      <c r="AA118" s="210">
        <v>0</v>
      </c>
      <c r="AB118" s="210">
        <v>0</v>
      </c>
      <c r="AC118" s="561" t="s">
        <v>305</v>
      </c>
    </row>
    <row r="119" spans="1:29" s="271" customFormat="1" ht="122.45" customHeight="1" x14ac:dyDescent="0.3">
      <c r="A119" s="153" t="s">
        <v>1229</v>
      </c>
      <c r="B119" s="161" t="s">
        <v>15</v>
      </c>
      <c r="C119" s="161" t="s">
        <v>136</v>
      </c>
      <c r="D119" s="161" t="s">
        <v>124</v>
      </c>
      <c r="E119" s="230" t="s">
        <v>539</v>
      </c>
      <c r="F119" s="161"/>
      <c r="G119" s="161"/>
      <c r="H119" s="161"/>
      <c r="I119" s="161"/>
      <c r="J119" s="161"/>
      <c r="K119" s="161"/>
      <c r="L119" s="161"/>
      <c r="M119" s="161"/>
      <c r="N119" s="161"/>
      <c r="O119" s="161"/>
      <c r="P119" s="161"/>
      <c r="Q119" s="161"/>
      <c r="R119" s="161"/>
      <c r="S119" s="161"/>
      <c r="T119" s="161"/>
      <c r="U119" s="161"/>
      <c r="V119" s="204"/>
      <c r="W119" s="204"/>
      <c r="X119" s="204"/>
      <c r="Y119" s="153" t="s">
        <v>306</v>
      </c>
      <c r="Z119" s="235">
        <f>Z120</f>
        <v>0</v>
      </c>
      <c r="AA119" s="235">
        <f>AA120</f>
        <v>100000</v>
      </c>
      <c r="AB119" s="235">
        <f>AB120</f>
        <v>100000</v>
      </c>
      <c r="AC119" s="564" t="s">
        <v>306</v>
      </c>
    </row>
    <row r="120" spans="1:29" s="271" customFormat="1" ht="28.15" customHeight="1" x14ac:dyDescent="0.3">
      <c r="A120" s="135" t="s">
        <v>760</v>
      </c>
      <c r="B120" s="136" t="s">
        <v>15</v>
      </c>
      <c r="C120" s="136" t="s">
        <v>136</v>
      </c>
      <c r="D120" s="136" t="s">
        <v>124</v>
      </c>
      <c r="E120" s="230" t="s">
        <v>539</v>
      </c>
      <c r="F120" s="136"/>
      <c r="G120" s="136"/>
      <c r="H120" s="136"/>
      <c r="I120" s="136"/>
      <c r="J120" s="136"/>
      <c r="K120" s="136"/>
      <c r="L120" s="136"/>
      <c r="M120" s="136"/>
      <c r="N120" s="136"/>
      <c r="O120" s="136"/>
      <c r="P120" s="136"/>
      <c r="Q120" s="136"/>
      <c r="R120" s="136"/>
      <c r="S120" s="136"/>
      <c r="T120" s="136" t="s">
        <v>243</v>
      </c>
      <c r="U120" s="136"/>
      <c r="V120" s="137"/>
      <c r="W120" s="137"/>
      <c r="X120" s="137"/>
      <c r="Y120" s="135" t="s">
        <v>307</v>
      </c>
      <c r="Z120" s="264">
        <f>100000-100000</f>
        <v>0</v>
      </c>
      <c r="AA120" s="210">
        <v>100000</v>
      </c>
      <c r="AB120" s="210">
        <v>100000</v>
      </c>
      <c r="AC120" s="561" t="s">
        <v>307</v>
      </c>
    </row>
    <row r="121" spans="1:29" s="271" customFormat="1" ht="155.25" hidden="1" customHeight="1" x14ac:dyDescent="0.3">
      <c r="A121" s="153" t="s">
        <v>595</v>
      </c>
      <c r="B121" s="161" t="s">
        <v>15</v>
      </c>
      <c r="C121" s="161" t="s">
        <v>136</v>
      </c>
      <c r="D121" s="161" t="s">
        <v>124</v>
      </c>
      <c r="E121" s="230" t="s">
        <v>540</v>
      </c>
      <c r="F121" s="161"/>
      <c r="G121" s="161"/>
      <c r="H121" s="161"/>
      <c r="I121" s="161"/>
      <c r="J121" s="161"/>
      <c r="K121" s="161"/>
      <c r="L121" s="161"/>
      <c r="M121" s="161"/>
      <c r="N121" s="161"/>
      <c r="O121" s="161"/>
      <c r="P121" s="161"/>
      <c r="Q121" s="161"/>
      <c r="R121" s="161"/>
      <c r="S121" s="161"/>
      <c r="T121" s="161"/>
      <c r="U121" s="161"/>
      <c r="V121" s="204"/>
      <c r="W121" s="204"/>
      <c r="X121" s="204"/>
      <c r="Y121" s="153" t="s">
        <v>308</v>
      </c>
      <c r="Z121" s="263">
        <f>Z122</f>
        <v>0</v>
      </c>
      <c r="AA121" s="235">
        <f>AA122</f>
        <v>0</v>
      </c>
      <c r="AB121" s="235">
        <f>AB122</f>
        <v>0</v>
      </c>
      <c r="AC121" s="564" t="s">
        <v>308</v>
      </c>
    </row>
    <row r="122" spans="1:29" s="271" customFormat="1" ht="129.75" hidden="1" customHeight="1" x14ac:dyDescent="0.3">
      <c r="A122" s="135" t="s">
        <v>309</v>
      </c>
      <c r="B122" s="136" t="s">
        <v>15</v>
      </c>
      <c r="C122" s="136" t="s">
        <v>136</v>
      </c>
      <c r="D122" s="136" t="s">
        <v>124</v>
      </c>
      <c r="E122" s="230" t="s">
        <v>540</v>
      </c>
      <c r="F122" s="136"/>
      <c r="G122" s="136"/>
      <c r="H122" s="136"/>
      <c r="I122" s="136"/>
      <c r="J122" s="136"/>
      <c r="K122" s="136"/>
      <c r="L122" s="136"/>
      <c r="M122" s="136"/>
      <c r="N122" s="136"/>
      <c r="O122" s="136"/>
      <c r="P122" s="136"/>
      <c r="Q122" s="136"/>
      <c r="R122" s="136"/>
      <c r="S122" s="136"/>
      <c r="T122" s="136" t="s">
        <v>275</v>
      </c>
      <c r="U122" s="136"/>
      <c r="V122" s="137"/>
      <c r="W122" s="137"/>
      <c r="X122" s="137"/>
      <c r="Y122" s="135" t="s">
        <v>309</v>
      </c>
      <c r="Z122" s="264">
        <v>0</v>
      </c>
      <c r="AA122" s="210">
        <v>0</v>
      </c>
      <c r="AB122" s="210">
        <v>0</v>
      </c>
      <c r="AC122" s="561" t="s">
        <v>309</v>
      </c>
    </row>
    <row r="123" spans="1:29" ht="120" customHeight="1" x14ac:dyDescent="0.3">
      <c r="A123" s="153" t="s">
        <v>1230</v>
      </c>
      <c r="B123" s="161" t="s">
        <v>15</v>
      </c>
      <c r="C123" s="161" t="s">
        <v>136</v>
      </c>
      <c r="D123" s="161" t="s">
        <v>124</v>
      </c>
      <c r="E123" s="230" t="s">
        <v>541</v>
      </c>
      <c r="F123" s="161"/>
      <c r="G123" s="161"/>
      <c r="H123" s="161"/>
      <c r="I123" s="161"/>
      <c r="J123" s="161"/>
      <c r="K123" s="161"/>
      <c r="L123" s="161"/>
      <c r="M123" s="161"/>
      <c r="N123" s="161"/>
      <c r="O123" s="161"/>
      <c r="P123" s="161"/>
      <c r="Q123" s="161"/>
      <c r="R123" s="161"/>
      <c r="S123" s="161"/>
      <c r="T123" s="161"/>
      <c r="U123" s="161"/>
      <c r="V123" s="204"/>
      <c r="W123" s="204"/>
      <c r="X123" s="204"/>
      <c r="Y123" s="153" t="s">
        <v>310</v>
      </c>
      <c r="Z123" s="235">
        <f>Z124</f>
        <v>10000</v>
      </c>
      <c r="AA123" s="235">
        <f>AA124</f>
        <v>25000</v>
      </c>
      <c r="AB123" s="235">
        <f>AB124</f>
        <v>25000</v>
      </c>
      <c r="AC123" s="558" t="s">
        <v>310</v>
      </c>
    </row>
    <row r="124" spans="1:29" ht="51" customHeight="1" x14ac:dyDescent="0.3">
      <c r="A124" s="135" t="s">
        <v>565</v>
      </c>
      <c r="B124" s="136" t="s">
        <v>15</v>
      </c>
      <c r="C124" s="136" t="s">
        <v>136</v>
      </c>
      <c r="D124" s="136" t="s">
        <v>124</v>
      </c>
      <c r="E124" s="230" t="s">
        <v>541</v>
      </c>
      <c r="F124" s="136"/>
      <c r="G124" s="136"/>
      <c r="H124" s="136"/>
      <c r="I124" s="136"/>
      <c r="J124" s="136"/>
      <c r="K124" s="136"/>
      <c r="L124" s="136"/>
      <c r="M124" s="136"/>
      <c r="N124" s="136"/>
      <c r="O124" s="136"/>
      <c r="P124" s="136"/>
      <c r="Q124" s="136"/>
      <c r="R124" s="136"/>
      <c r="S124" s="136"/>
      <c r="T124" s="136" t="s">
        <v>275</v>
      </c>
      <c r="U124" s="136"/>
      <c r="V124" s="137"/>
      <c r="W124" s="137"/>
      <c r="X124" s="137"/>
      <c r="Y124" s="135" t="s">
        <v>311</v>
      </c>
      <c r="Z124" s="210">
        <f>25000-15000</f>
        <v>10000</v>
      </c>
      <c r="AA124" s="210">
        <v>25000</v>
      </c>
      <c r="AB124" s="210">
        <v>25000</v>
      </c>
      <c r="AC124" s="211" t="s">
        <v>311</v>
      </c>
    </row>
    <row r="125" spans="1:29" s="271" customFormat="1" ht="121.15" customHeight="1" x14ac:dyDescent="0.3">
      <c r="A125" s="153" t="s">
        <v>1230</v>
      </c>
      <c r="B125" s="136" t="s">
        <v>15</v>
      </c>
      <c r="C125" s="136" t="s">
        <v>136</v>
      </c>
      <c r="D125" s="136" t="s">
        <v>124</v>
      </c>
      <c r="E125" s="230" t="s">
        <v>890</v>
      </c>
      <c r="F125" s="136"/>
      <c r="G125" s="136"/>
      <c r="H125" s="136"/>
      <c r="I125" s="136"/>
      <c r="J125" s="136"/>
      <c r="K125" s="136"/>
      <c r="L125" s="136"/>
      <c r="M125" s="136"/>
      <c r="N125" s="136"/>
      <c r="O125" s="136"/>
      <c r="P125" s="136"/>
      <c r="Q125" s="136"/>
      <c r="R125" s="136"/>
      <c r="S125" s="136"/>
      <c r="T125" s="136"/>
      <c r="U125" s="136"/>
      <c r="V125" s="137"/>
      <c r="W125" s="137"/>
      <c r="X125" s="137"/>
      <c r="Y125" s="135"/>
      <c r="Z125" s="210">
        <f>Z126</f>
        <v>0</v>
      </c>
      <c r="AA125" s="210">
        <f t="shared" ref="AA125:AC125" si="8">AA126</f>
        <v>100000</v>
      </c>
      <c r="AB125" s="210">
        <f t="shared" si="8"/>
        <v>100000</v>
      </c>
      <c r="AC125" s="565">
        <f t="shared" si="8"/>
        <v>0</v>
      </c>
    </row>
    <row r="126" spans="1:29" s="271" customFormat="1" ht="26.45" customHeight="1" x14ac:dyDescent="0.3">
      <c r="A126" s="135" t="s">
        <v>760</v>
      </c>
      <c r="B126" s="136" t="s">
        <v>15</v>
      </c>
      <c r="C126" s="136" t="s">
        <v>136</v>
      </c>
      <c r="D126" s="136" t="s">
        <v>124</v>
      </c>
      <c r="E126" s="230" t="s">
        <v>890</v>
      </c>
      <c r="F126" s="136"/>
      <c r="G126" s="136"/>
      <c r="H126" s="136"/>
      <c r="I126" s="136"/>
      <c r="J126" s="136"/>
      <c r="K126" s="136"/>
      <c r="L126" s="136"/>
      <c r="M126" s="136"/>
      <c r="N126" s="136"/>
      <c r="O126" s="136"/>
      <c r="P126" s="136"/>
      <c r="Q126" s="136"/>
      <c r="R126" s="136"/>
      <c r="S126" s="136"/>
      <c r="T126" s="136" t="s">
        <v>243</v>
      </c>
      <c r="U126" s="136"/>
      <c r="V126" s="137"/>
      <c r="W126" s="137"/>
      <c r="X126" s="137"/>
      <c r="Y126" s="135"/>
      <c r="Z126" s="210">
        <f>100000-100000</f>
        <v>0</v>
      </c>
      <c r="AA126" s="210">
        <v>100000</v>
      </c>
      <c r="AB126" s="210">
        <v>100000</v>
      </c>
      <c r="AC126" s="561"/>
    </row>
    <row r="127" spans="1:29" s="271" customFormat="1" ht="45" hidden="1" customHeight="1" x14ac:dyDescent="0.3">
      <c r="A127" s="153" t="s">
        <v>596</v>
      </c>
      <c r="B127" s="136" t="s">
        <v>15</v>
      </c>
      <c r="C127" s="136" t="s">
        <v>136</v>
      </c>
      <c r="D127" s="136" t="s">
        <v>124</v>
      </c>
      <c r="E127" s="230" t="s">
        <v>889</v>
      </c>
      <c r="F127" s="136"/>
      <c r="G127" s="136"/>
      <c r="H127" s="136"/>
      <c r="I127" s="136"/>
      <c r="J127" s="136"/>
      <c r="K127" s="136"/>
      <c r="L127" s="136"/>
      <c r="M127" s="136"/>
      <c r="N127" s="136"/>
      <c r="O127" s="136"/>
      <c r="P127" s="136"/>
      <c r="Q127" s="136"/>
      <c r="R127" s="136"/>
      <c r="S127" s="136"/>
      <c r="T127" s="136"/>
      <c r="U127" s="136"/>
      <c r="V127" s="137"/>
      <c r="W127" s="137"/>
      <c r="X127" s="137"/>
      <c r="Y127" s="135"/>
      <c r="Z127" s="210">
        <f>Z128</f>
        <v>0</v>
      </c>
      <c r="AA127" s="210">
        <f t="shared" ref="AA127:AB127" si="9">AA128</f>
        <v>0</v>
      </c>
      <c r="AB127" s="210">
        <f t="shared" si="9"/>
        <v>0</v>
      </c>
      <c r="AC127" s="561"/>
    </row>
    <row r="128" spans="1:29" s="271" customFormat="1" ht="36.75" hidden="1" customHeight="1" x14ac:dyDescent="0.3">
      <c r="A128" s="135" t="s">
        <v>865</v>
      </c>
      <c r="B128" s="136" t="s">
        <v>15</v>
      </c>
      <c r="C128" s="136" t="s">
        <v>136</v>
      </c>
      <c r="D128" s="136" t="s">
        <v>124</v>
      </c>
      <c r="E128" s="230" t="s">
        <v>889</v>
      </c>
      <c r="F128" s="136"/>
      <c r="G128" s="136"/>
      <c r="H128" s="136"/>
      <c r="I128" s="136"/>
      <c r="J128" s="136"/>
      <c r="K128" s="136"/>
      <c r="L128" s="136"/>
      <c r="M128" s="136"/>
      <c r="N128" s="136"/>
      <c r="O128" s="136"/>
      <c r="P128" s="136"/>
      <c r="Q128" s="136"/>
      <c r="R128" s="136"/>
      <c r="S128" s="136"/>
      <c r="T128" s="136" t="s">
        <v>275</v>
      </c>
      <c r="U128" s="136"/>
      <c r="V128" s="137"/>
      <c r="W128" s="137"/>
      <c r="X128" s="137"/>
      <c r="Y128" s="135"/>
      <c r="Z128" s="210">
        <v>0</v>
      </c>
      <c r="AA128" s="210">
        <v>0</v>
      </c>
      <c r="AB128" s="210">
        <v>0</v>
      </c>
      <c r="AC128" s="561"/>
    </row>
    <row r="129" spans="1:29" ht="37.5" hidden="1" customHeight="1" x14ac:dyDescent="0.3">
      <c r="A129" s="153" t="s">
        <v>597</v>
      </c>
      <c r="B129" s="161" t="s">
        <v>15</v>
      </c>
      <c r="C129" s="161" t="s">
        <v>136</v>
      </c>
      <c r="D129" s="161" t="s">
        <v>124</v>
      </c>
      <c r="E129" s="230" t="s">
        <v>542</v>
      </c>
      <c r="F129" s="161"/>
      <c r="G129" s="161"/>
      <c r="H129" s="161"/>
      <c r="I129" s="161"/>
      <c r="J129" s="161"/>
      <c r="K129" s="161"/>
      <c r="L129" s="161"/>
      <c r="M129" s="161"/>
      <c r="N129" s="161"/>
      <c r="O129" s="161"/>
      <c r="P129" s="161"/>
      <c r="Q129" s="161"/>
      <c r="R129" s="161"/>
      <c r="S129" s="161"/>
      <c r="T129" s="161"/>
      <c r="U129" s="161"/>
      <c r="V129" s="204"/>
      <c r="W129" s="204"/>
      <c r="X129" s="204"/>
      <c r="Y129" s="153" t="s">
        <v>312</v>
      </c>
      <c r="Z129" s="235">
        <f>Z130</f>
        <v>0</v>
      </c>
      <c r="AA129" s="235">
        <f>AA130</f>
        <v>0</v>
      </c>
      <c r="AB129" s="235">
        <f>AB130</f>
        <v>0</v>
      </c>
      <c r="AC129" s="558" t="s">
        <v>312</v>
      </c>
    </row>
    <row r="130" spans="1:29" ht="37.5" hidden="1" customHeight="1" x14ac:dyDescent="0.3">
      <c r="A130" s="135" t="s">
        <v>313</v>
      </c>
      <c r="B130" s="136" t="s">
        <v>15</v>
      </c>
      <c r="C130" s="136" t="s">
        <v>136</v>
      </c>
      <c r="D130" s="136" t="s">
        <v>124</v>
      </c>
      <c r="E130" s="230" t="s">
        <v>542</v>
      </c>
      <c r="F130" s="136"/>
      <c r="G130" s="136"/>
      <c r="H130" s="136"/>
      <c r="I130" s="136"/>
      <c r="J130" s="136"/>
      <c r="K130" s="136"/>
      <c r="L130" s="136"/>
      <c r="M130" s="136"/>
      <c r="N130" s="136"/>
      <c r="O130" s="136"/>
      <c r="P130" s="136"/>
      <c r="Q130" s="136"/>
      <c r="R130" s="136"/>
      <c r="S130" s="136"/>
      <c r="T130" s="136" t="s">
        <v>275</v>
      </c>
      <c r="U130" s="136"/>
      <c r="V130" s="137"/>
      <c r="W130" s="137"/>
      <c r="X130" s="137"/>
      <c r="Y130" s="135" t="s">
        <v>313</v>
      </c>
      <c r="Z130" s="210">
        <f>30000-30000</f>
        <v>0</v>
      </c>
      <c r="AA130" s="210">
        <v>0</v>
      </c>
      <c r="AB130" s="210">
        <v>0</v>
      </c>
      <c r="AC130" s="211" t="s">
        <v>313</v>
      </c>
    </row>
    <row r="131" spans="1:29" ht="39.75" hidden="1" customHeight="1" x14ac:dyDescent="0.3">
      <c r="A131" s="153" t="s">
        <v>598</v>
      </c>
      <c r="B131" s="161" t="s">
        <v>15</v>
      </c>
      <c r="C131" s="161" t="s">
        <v>136</v>
      </c>
      <c r="D131" s="161" t="s">
        <v>124</v>
      </c>
      <c r="E131" s="230" t="s">
        <v>543</v>
      </c>
      <c r="F131" s="161"/>
      <c r="G131" s="161"/>
      <c r="H131" s="161"/>
      <c r="I131" s="161"/>
      <c r="J131" s="161"/>
      <c r="K131" s="161"/>
      <c r="L131" s="161"/>
      <c r="M131" s="161"/>
      <c r="N131" s="161"/>
      <c r="O131" s="161"/>
      <c r="P131" s="161"/>
      <c r="Q131" s="161"/>
      <c r="R131" s="161"/>
      <c r="S131" s="161"/>
      <c r="T131" s="161"/>
      <c r="U131" s="161"/>
      <c r="V131" s="204"/>
      <c r="W131" s="204"/>
      <c r="X131" s="204"/>
      <c r="Y131" s="153" t="s">
        <v>314</v>
      </c>
      <c r="Z131" s="235">
        <f>Z132</f>
        <v>0</v>
      </c>
      <c r="AA131" s="235">
        <f>AA132</f>
        <v>0</v>
      </c>
      <c r="AB131" s="235">
        <f>AB132</f>
        <v>0</v>
      </c>
      <c r="AC131" s="558" t="s">
        <v>314</v>
      </c>
    </row>
    <row r="132" spans="1:29" ht="73.5" hidden="1" customHeight="1" x14ac:dyDescent="0.3">
      <c r="A132" s="135" t="s">
        <v>315</v>
      </c>
      <c r="B132" s="136" t="s">
        <v>15</v>
      </c>
      <c r="C132" s="136" t="s">
        <v>136</v>
      </c>
      <c r="D132" s="136" t="s">
        <v>124</v>
      </c>
      <c r="E132" s="230" t="s">
        <v>543</v>
      </c>
      <c r="F132" s="136"/>
      <c r="G132" s="136"/>
      <c r="H132" s="136"/>
      <c r="I132" s="136"/>
      <c r="J132" s="136"/>
      <c r="K132" s="136"/>
      <c r="L132" s="136"/>
      <c r="M132" s="136"/>
      <c r="N132" s="136"/>
      <c r="O132" s="136"/>
      <c r="P132" s="136"/>
      <c r="Q132" s="136"/>
      <c r="R132" s="136"/>
      <c r="S132" s="136"/>
      <c r="T132" s="136" t="s">
        <v>275</v>
      </c>
      <c r="U132" s="136"/>
      <c r="V132" s="137"/>
      <c r="W132" s="137"/>
      <c r="X132" s="137"/>
      <c r="Y132" s="135" t="s">
        <v>315</v>
      </c>
      <c r="Z132" s="210">
        <f>30000-30000</f>
        <v>0</v>
      </c>
      <c r="AA132" s="210">
        <v>0</v>
      </c>
      <c r="AB132" s="210">
        <v>0</v>
      </c>
      <c r="AC132" s="211" t="s">
        <v>315</v>
      </c>
    </row>
    <row r="133" spans="1:29" ht="116.25" hidden="1" customHeight="1" x14ac:dyDescent="0.3">
      <c r="A133" s="291" t="s">
        <v>596</v>
      </c>
      <c r="B133" s="136" t="s">
        <v>15</v>
      </c>
      <c r="C133" s="136" t="s">
        <v>136</v>
      </c>
      <c r="D133" s="136" t="s">
        <v>124</v>
      </c>
      <c r="E133" s="230" t="s">
        <v>889</v>
      </c>
      <c r="F133" s="136"/>
      <c r="G133" s="136"/>
      <c r="H133" s="136"/>
      <c r="I133" s="136"/>
      <c r="J133" s="136"/>
      <c r="K133" s="136"/>
      <c r="L133" s="136"/>
      <c r="M133" s="136"/>
      <c r="N133" s="136"/>
      <c r="O133" s="136"/>
      <c r="P133" s="136"/>
      <c r="Q133" s="136"/>
      <c r="R133" s="136"/>
      <c r="S133" s="136"/>
      <c r="T133" s="136"/>
      <c r="U133" s="136"/>
      <c r="V133" s="137"/>
      <c r="W133" s="137"/>
      <c r="X133" s="137"/>
      <c r="Y133" s="135"/>
      <c r="Z133" s="210">
        <f>Z134</f>
        <v>0</v>
      </c>
      <c r="AA133" s="210">
        <v>0</v>
      </c>
      <c r="AB133" s="210">
        <v>0</v>
      </c>
      <c r="AC133" s="211"/>
    </row>
    <row r="134" spans="1:29" ht="120.75" hidden="1" customHeight="1" x14ac:dyDescent="0.3">
      <c r="A134" s="522" t="s">
        <v>865</v>
      </c>
      <c r="B134" s="136" t="s">
        <v>15</v>
      </c>
      <c r="C134" s="136" t="s">
        <v>136</v>
      </c>
      <c r="D134" s="136" t="s">
        <v>124</v>
      </c>
      <c r="E134" s="230" t="s">
        <v>889</v>
      </c>
      <c r="F134" s="136"/>
      <c r="G134" s="136"/>
      <c r="H134" s="136"/>
      <c r="I134" s="136"/>
      <c r="J134" s="136"/>
      <c r="K134" s="136"/>
      <c r="L134" s="136"/>
      <c r="M134" s="136"/>
      <c r="N134" s="136"/>
      <c r="O134" s="136"/>
      <c r="P134" s="136"/>
      <c r="Q134" s="136"/>
      <c r="R134" s="136"/>
      <c r="S134" s="136"/>
      <c r="T134" s="136" t="s">
        <v>275</v>
      </c>
      <c r="U134" s="136"/>
      <c r="V134" s="137"/>
      <c r="W134" s="137"/>
      <c r="X134" s="137"/>
      <c r="Y134" s="135"/>
      <c r="Z134" s="210">
        <v>0</v>
      </c>
      <c r="AA134" s="210">
        <v>0</v>
      </c>
      <c r="AB134" s="210">
        <v>0</v>
      </c>
      <c r="AC134" s="211"/>
    </row>
    <row r="135" spans="1:29" ht="130.15" customHeight="1" x14ac:dyDescent="0.3">
      <c r="A135" s="262" t="s">
        <v>1231</v>
      </c>
      <c r="B135" s="245" t="s">
        <v>15</v>
      </c>
      <c r="C135" s="136" t="s">
        <v>136</v>
      </c>
      <c r="D135" s="136" t="s">
        <v>124</v>
      </c>
      <c r="E135" s="230" t="s">
        <v>1027</v>
      </c>
      <c r="F135" s="136"/>
      <c r="G135" s="136"/>
      <c r="H135" s="136"/>
      <c r="I135" s="136"/>
      <c r="J135" s="136"/>
      <c r="K135" s="136"/>
      <c r="L135" s="136"/>
      <c r="M135" s="136"/>
      <c r="N135" s="136"/>
      <c r="O135" s="136"/>
      <c r="P135" s="136"/>
      <c r="Q135" s="136"/>
      <c r="R135" s="136"/>
      <c r="S135" s="136"/>
      <c r="T135" s="136"/>
      <c r="U135" s="136"/>
      <c r="V135" s="137"/>
      <c r="W135" s="137"/>
      <c r="X135" s="137"/>
      <c r="Y135" s="135"/>
      <c r="Z135" s="210">
        <f>Z136</f>
        <v>313000</v>
      </c>
      <c r="AA135" s="210">
        <v>0</v>
      </c>
      <c r="AB135" s="210">
        <v>0</v>
      </c>
      <c r="AC135" s="211"/>
    </row>
    <row r="136" spans="1:29" ht="36" customHeight="1" x14ac:dyDescent="0.3">
      <c r="A136" s="583" t="s">
        <v>760</v>
      </c>
      <c r="B136" s="245" t="s">
        <v>15</v>
      </c>
      <c r="C136" s="136" t="s">
        <v>136</v>
      </c>
      <c r="D136" s="136" t="s">
        <v>124</v>
      </c>
      <c r="E136" s="230" t="s">
        <v>1027</v>
      </c>
      <c r="F136" s="136"/>
      <c r="G136" s="136"/>
      <c r="H136" s="136"/>
      <c r="I136" s="136"/>
      <c r="J136" s="136"/>
      <c r="K136" s="136"/>
      <c r="L136" s="136"/>
      <c r="M136" s="136"/>
      <c r="N136" s="136"/>
      <c r="O136" s="136"/>
      <c r="P136" s="136"/>
      <c r="Q136" s="136"/>
      <c r="R136" s="136"/>
      <c r="S136" s="136"/>
      <c r="T136" s="136" t="s">
        <v>243</v>
      </c>
      <c r="U136" s="136"/>
      <c r="V136" s="137"/>
      <c r="W136" s="137"/>
      <c r="X136" s="137"/>
      <c r="Y136" s="135"/>
      <c r="Z136" s="264">
        <f>250000+63000</f>
        <v>313000</v>
      </c>
      <c r="AA136" s="210">
        <v>0</v>
      </c>
      <c r="AB136" s="210">
        <v>0</v>
      </c>
      <c r="AC136" s="211"/>
    </row>
    <row r="137" spans="1:29" ht="147.75" hidden="1" customHeight="1" x14ac:dyDescent="0.3">
      <c r="A137" s="486" t="s">
        <v>976</v>
      </c>
      <c r="B137" s="136" t="s">
        <v>15</v>
      </c>
      <c r="C137" s="136" t="s">
        <v>136</v>
      </c>
      <c r="D137" s="136" t="s">
        <v>124</v>
      </c>
      <c r="E137" s="230" t="s">
        <v>978</v>
      </c>
      <c r="F137" s="136"/>
      <c r="G137" s="136"/>
      <c r="H137" s="136"/>
      <c r="I137" s="136"/>
      <c r="J137" s="136"/>
      <c r="K137" s="136"/>
      <c r="L137" s="136"/>
      <c r="M137" s="136"/>
      <c r="N137" s="136"/>
      <c r="O137" s="136"/>
      <c r="P137" s="136"/>
      <c r="Q137" s="136"/>
      <c r="R137" s="136"/>
      <c r="S137" s="136"/>
      <c r="T137" s="136"/>
      <c r="U137" s="136"/>
      <c r="V137" s="137"/>
      <c r="W137" s="137"/>
      <c r="X137" s="137"/>
      <c r="Y137" s="135"/>
      <c r="Z137" s="210">
        <f>Z138</f>
        <v>0</v>
      </c>
      <c r="AA137" s="210">
        <v>0</v>
      </c>
      <c r="AB137" s="210">
        <v>0</v>
      </c>
      <c r="AC137" s="211"/>
    </row>
    <row r="138" spans="1:29" ht="102" hidden="1" customHeight="1" x14ac:dyDescent="0.3">
      <c r="A138" s="339" t="s">
        <v>977</v>
      </c>
      <c r="B138" s="136" t="s">
        <v>15</v>
      </c>
      <c r="C138" s="136" t="s">
        <v>136</v>
      </c>
      <c r="D138" s="136" t="s">
        <v>124</v>
      </c>
      <c r="E138" s="230" t="s">
        <v>978</v>
      </c>
      <c r="F138" s="136"/>
      <c r="G138" s="136"/>
      <c r="H138" s="136"/>
      <c r="I138" s="136"/>
      <c r="J138" s="136"/>
      <c r="K138" s="136"/>
      <c r="L138" s="136"/>
      <c r="M138" s="136"/>
      <c r="N138" s="136"/>
      <c r="O138" s="136"/>
      <c r="P138" s="136"/>
      <c r="Q138" s="136"/>
      <c r="R138" s="136"/>
      <c r="S138" s="136"/>
      <c r="T138" s="136" t="s">
        <v>275</v>
      </c>
      <c r="U138" s="136"/>
      <c r="V138" s="137"/>
      <c r="W138" s="137"/>
      <c r="X138" s="137"/>
      <c r="Y138" s="135"/>
      <c r="Z138" s="210">
        <v>0</v>
      </c>
      <c r="AA138" s="210">
        <v>0</v>
      </c>
      <c r="AB138" s="210">
        <v>0</v>
      </c>
      <c r="AC138" s="211"/>
    </row>
    <row r="139" spans="1:29" ht="182.25" customHeight="1" x14ac:dyDescent="0.3">
      <c r="A139" s="282" t="s">
        <v>1232</v>
      </c>
      <c r="B139" s="161" t="s">
        <v>15</v>
      </c>
      <c r="C139" s="161" t="s">
        <v>136</v>
      </c>
      <c r="D139" s="161" t="s">
        <v>124</v>
      </c>
      <c r="E139" s="230" t="s">
        <v>899</v>
      </c>
      <c r="F139" s="161"/>
      <c r="G139" s="161"/>
      <c r="H139" s="161"/>
      <c r="I139" s="161"/>
      <c r="J139" s="161"/>
      <c r="K139" s="161"/>
      <c r="L139" s="161"/>
      <c r="M139" s="161"/>
      <c r="N139" s="161"/>
      <c r="O139" s="161"/>
      <c r="P139" s="161"/>
      <c r="Q139" s="161"/>
      <c r="R139" s="161"/>
      <c r="S139" s="161"/>
      <c r="T139" s="161"/>
      <c r="U139" s="161"/>
      <c r="V139" s="204"/>
      <c r="W139" s="204"/>
      <c r="X139" s="204"/>
      <c r="Y139" s="153" t="s">
        <v>316</v>
      </c>
      <c r="Z139" s="235">
        <f>Z140</f>
        <v>22321.43</v>
      </c>
      <c r="AA139" s="235">
        <f>AA140</f>
        <v>22321.43</v>
      </c>
      <c r="AB139" s="235">
        <f>AB140</f>
        <v>22321.43</v>
      </c>
      <c r="AC139" s="575" t="s">
        <v>316</v>
      </c>
    </row>
    <row r="140" spans="1:29" ht="54" customHeight="1" x14ac:dyDescent="0.3">
      <c r="A140" s="135" t="s">
        <v>565</v>
      </c>
      <c r="B140" s="136" t="s">
        <v>15</v>
      </c>
      <c r="C140" s="136" t="s">
        <v>136</v>
      </c>
      <c r="D140" s="136" t="s">
        <v>124</v>
      </c>
      <c r="E140" s="230" t="s">
        <v>899</v>
      </c>
      <c r="F140" s="136"/>
      <c r="G140" s="136"/>
      <c r="H140" s="136"/>
      <c r="I140" s="136"/>
      <c r="J140" s="136"/>
      <c r="K140" s="136"/>
      <c r="L140" s="136"/>
      <c r="M140" s="136"/>
      <c r="N140" s="136"/>
      <c r="O140" s="136"/>
      <c r="P140" s="136"/>
      <c r="Q140" s="136"/>
      <c r="R140" s="136"/>
      <c r="S140" s="136"/>
      <c r="T140" s="136" t="s">
        <v>275</v>
      </c>
      <c r="U140" s="136"/>
      <c r="V140" s="137"/>
      <c r="W140" s="137"/>
      <c r="X140" s="137"/>
      <c r="Y140" s="135" t="s">
        <v>317</v>
      </c>
      <c r="Z140" s="210">
        <f>21900+29.82+370.18+21.43</f>
        <v>22321.43</v>
      </c>
      <c r="AA140" s="210">
        <f>21900+29.82+370.18+21.43</f>
        <v>22321.43</v>
      </c>
      <c r="AB140" s="210">
        <f>21900+29.82+370.18+21.43</f>
        <v>22321.43</v>
      </c>
      <c r="AC140" s="211" t="s">
        <v>317</v>
      </c>
    </row>
    <row r="141" spans="1:29" ht="132.75" customHeight="1" x14ac:dyDescent="0.3">
      <c r="A141" s="291" t="s">
        <v>1233</v>
      </c>
      <c r="B141" s="136" t="s">
        <v>15</v>
      </c>
      <c r="C141" s="136" t="s">
        <v>136</v>
      </c>
      <c r="D141" s="136" t="s">
        <v>124</v>
      </c>
      <c r="E141" s="230" t="s">
        <v>989</v>
      </c>
      <c r="F141" s="136"/>
      <c r="G141" s="136"/>
      <c r="H141" s="136"/>
      <c r="I141" s="136"/>
      <c r="J141" s="136"/>
      <c r="K141" s="136"/>
      <c r="L141" s="136"/>
      <c r="M141" s="136"/>
      <c r="N141" s="136"/>
      <c r="O141" s="136"/>
      <c r="P141" s="136"/>
      <c r="Q141" s="136"/>
      <c r="R141" s="136"/>
      <c r="S141" s="136"/>
      <c r="T141" s="136"/>
      <c r="U141" s="136"/>
      <c r="V141" s="137"/>
      <c r="W141" s="137"/>
      <c r="X141" s="137"/>
      <c r="Y141" s="135"/>
      <c r="Z141" s="210">
        <f>Z142</f>
        <v>120000</v>
      </c>
      <c r="AA141" s="210">
        <v>0</v>
      </c>
      <c r="AB141" s="210">
        <v>0</v>
      </c>
      <c r="AC141" s="211"/>
    </row>
    <row r="142" spans="1:29" ht="39.6" customHeight="1" x14ac:dyDescent="0.3">
      <c r="A142" s="339" t="s">
        <v>565</v>
      </c>
      <c r="B142" s="136" t="s">
        <v>15</v>
      </c>
      <c r="C142" s="136" t="s">
        <v>136</v>
      </c>
      <c r="D142" s="136" t="s">
        <v>124</v>
      </c>
      <c r="E142" s="230" t="s">
        <v>989</v>
      </c>
      <c r="F142" s="136"/>
      <c r="G142" s="136"/>
      <c r="H142" s="136"/>
      <c r="I142" s="136"/>
      <c r="J142" s="136"/>
      <c r="K142" s="136"/>
      <c r="L142" s="136"/>
      <c r="M142" s="136"/>
      <c r="N142" s="136"/>
      <c r="O142" s="136"/>
      <c r="P142" s="136"/>
      <c r="Q142" s="136"/>
      <c r="R142" s="136"/>
      <c r="S142" s="136"/>
      <c r="T142" s="136" t="s">
        <v>275</v>
      </c>
      <c r="U142" s="136"/>
      <c r="V142" s="137"/>
      <c r="W142" s="137"/>
      <c r="X142" s="137"/>
      <c r="Y142" s="135"/>
      <c r="Z142" s="264">
        <f>120000+150000-150000</f>
        <v>120000</v>
      </c>
      <c r="AA142" s="210">
        <v>0</v>
      </c>
      <c r="AB142" s="210">
        <v>0</v>
      </c>
      <c r="AC142" s="211"/>
    </row>
    <row r="143" spans="1:29" ht="41.25" hidden="1" customHeight="1" x14ac:dyDescent="0.3">
      <c r="A143" s="268" t="s">
        <v>544</v>
      </c>
      <c r="B143" s="145" t="s">
        <v>15</v>
      </c>
      <c r="C143" s="146" t="s">
        <v>136</v>
      </c>
      <c r="D143" s="146" t="s">
        <v>124</v>
      </c>
      <c r="E143" s="243" t="s">
        <v>545</v>
      </c>
      <c r="F143" s="146"/>
      <c r="G143" s="146"/>
      <c r="H143" s="146"/>
      <c r="I143" s="146"/>
      <c r="J143" s="146"/>
      <c r="K143" s="146"/>
      <c r="L143" s="146"/>
      <c r="M143" s="146"/>
      <c r="N143" s="146"/>
      <c r="O143" s="146"/>
      <c r="P143" s="146"/>
      <c r="Q143" s="146"/>
      <c r="R143" s="146"/>
      <c r="S143" s="146"/>
      <c r="T143" s="146"/>
      <c r="U143" s="136"/>
      <c r="V143" s="137"/>
      <c r="W143" s="137"/>
      <c r="X143" s="137"/>
      <c r="Y143" s="135"/>
      <c r="Z143" s="210">
        <f>Z144</f>
        <v>0</v>
      </c>
      <c r="AA143" s="210">
        <f>AA144</f>
        <v>0</v>
      </c>
      <c r="AB143" s="210">
        <f>AB144</f>
        <v>0</v>
      </c>
      <c r="AC143" s="211"/>
    </row>
    <row r="144" spans="1:29" ht="43.5" hidden="1" customHeight="1" x14ac:dyDescent="0.3">
      <c r="A144" s="269" t="s">
        <v>728</v>
      </c>
      <c r="B144" s="146" t="s">
        <v>15</v>
      </c>
      <c r="C144" s="146" t="s">
        <v>136</v>
      </c>
      <c r="D144" s="146" t="s">
        <v>124</v>
      </c>
      <c r="E144" s="243" t="s">
        <v>545</v>
      </c>
      <c r="F144" s="146"/>
      <c r="G144" s="146"/>
      <c r="H144" s="146"/>
      <c r="I144" s="146"/>
      <c r="J144" s="146"/>
      <c r="K144" s="146"/>
      <c r="L144" s="146"/>
      <c r="M144" s="146"/>
      <c r="N144" s="146"/>
      <c r="O144" s="146"/>
      <c r="P144" s="146"/>
      <c r="Q144" s="146"/>
      <c r="R144" s="146"/>
      <c r="S144" s="146"/>
      <c r="T144" s="146" t="s">
        <v>243</v>
      </c>
      <c r="U144" s="136"/>
      <c r="V144" s="137"/>
      <c r="W144" s="137"/>
      <c r="X144" s="137"/>
      <c r="Y144" s="135"/>
      <c r="Z144" s="210">
        <v>0</v>
      </c>
      <c r="AA144" s="210">
        <v>0</v>
      </c>
      <c r="AB144" s="210">
        <v>0</v>
      </c>
      <c r="AC144" s="211"/>
    </row>
    <row r="145" spans="1:30" ht="34.5" hidden="1" customHeight="1" x14ac:dyDescent="0.3">
      <c r="A145" s="156" t="s">
        <v>546</v>
      </c>
      <c r="B145" s="146" t="s">
        <v>15</v>
      </c>
      <c r="C145" s="146" t="s">
        <v>136</v>
      </c>
      <c r="D145" s="146" t="s">
        <v>124</v>
      </c>
      <c r="E145" s="243" t="s">
        <v>547</v>
      </c>
      <c r="F145" s="146"/>
      <c r="G145" s="146"/>
      <c r="H145" s="146"/>
      <c r="I145" s="146"/>
      <c r="J145" s="146"/>
      <c r="K145" s="146"/>
      <c r="L145" s="146"/>
      <c r="M145" s="146"/>
      <c r="N145" s="146"/>
      <c r="O145" s="146"/>
      <c r="P145" s="146"/>
      <c r="Q145" s="146"/>
      <c r="R145" s="146"/>
      <c r="S145" s="146"/>
      <c r="T145" s="146"/>
      <c r="U145" s="136"/>
      <c r="V145" s="137"/>
      <c r="W145" s="137"/>
      <c r="X145" s="137"/>
      <c r="Y145" s="135"/>
      <c r="Z145" s="210">
        <f>Z146</f>
        <v>0</v>
      </c>
      <c r="AA145" s="210">
        <f>AA146</f>
        <v>0</v>
      </c>
      <c r="AB145" s="210">
        <f>AB146</f>
        <v>0</v>
      </c>
      <c r="AC145" s="211"/>
    </row>
    <row r="146" spans="1:30" ht="48.75" hidden="1" customHeight="1" x14ac:dyDescent="0.3">
      <c r="A146" s="157" t="s">
        <v>599</v>
      </c>
      <c r="B146" s="146" t="s">
        <v>15</v>
      </c>
      <c r="C146" s="146" t="s">
        <v>136</v>
      </c>
      <c r="D146" s="146" t="s">
        <v>124</v>
      </c>
      <c r="E146" s="243" t="s">
        <v>547</v>
      </c>
      <c r="F146" s="146"/>
      <c r="G146" s="146"/>
      <c r="H146" s="146"/>
      <c r="I146" s="146"/>
      <c r="J146" s="146"/>
      <c r="K146" s="146"/>
      <c r="L146" s="146"/>
      <c r="M146" s="146"/>
      <c r="N146" s="146"/>
      <c r="O146" s="146"/>
      <c r="P146" s="146"/>
      <c r="Q146" s="146"/>
      <c r="R146" s="146"/>
      <c r="S146" s="146"/>
      <c r="T146" s="146" t="s">
        <v>243</v>
      </c>
      <c r="U146" s="136"/>
      <c r="V146" s="137"/>
      <c r="W146" s="137"/>
      <c r="X146" s="137"/>
      <c r="Y146" s="135"/>
      <c r="Z146" s="210">
        <v>0</v>
      </c>
      <c r="AA146" s="210">
        <v>0</v>
      </c>
      <c r="AB146" s="210">
        <v>0</v>
      </c>
      <c r="AC146" s="211"/>
    </row>
    <row r="147" spans="1:30" ht="30" hidden="1" customHeight="1" x14ac:dyDescent="0.3">
      <c r="A147" s="159" t="s">
        <v>252</v>
      </c>
      <c r="B147" s="160" t="s">
        <v>15</v>
      </c>
      <c r="C147" s="160" t="s">
        <v>136</v>
      </c>
      <c r="D147" s="160" t="s">
        <v>125</v>
      </c>
      <c r="E147" s="139"/>
      <c r="F147" s="160"/>
      <c r="G147" s="160"/>
      <c r="H147" s="160"/>
      <c r="I147" s="160"/>
      <c r="J147" s="160"/>
      <c r="K147" s="160"/>
      <c r="L147" s="160"/>
      <c r="M147" s="160"/>
      <c r="N147" s="160"/>
      <c r="O147" s="160"/>
      <c r="P147" s="160"/>
      <c r="Q147" s="160"/>
      <c r="R147" s="160"/>
      <c r="S147" s="160"/>
      <c r="T147" s="160"/>
      <c r="U147" s="160"/>
      <c r="V147" s="212"/>
      <c r="W147" s="212"/>
      <c r="X147" s="212"/>
      <c r="Y147" s="159" t="s">
        <v>252</v>
      </c>
      <c r="Z147" s="213">
        <f>Z148+Z152+Z150</f>
        <v>0</v>
      </c>
      <c r="AA147" s="213">
        <f>AA148+AA152</f>
        <v>0</v>
      </c>
      <c r="AB147" s="213">
        <f>AB148+AB152</f>
        <v>0</v>
      </c>
      <c r="AC147" s="288" t="s">
        <v>252</v>
      </c>
    </row>
    <row r="148" spans="1:30" s="271" customFormat="1" ht="33.75" hidden="1" customHeight="1" x14ac:dyDescent="0.3">
      <c r="A148" s="153" t="s">
        <v>867</v>
      </c>
      <c r="B148" s="161" t="s">
        <v>15</v>
      </c>
      <c r="C148" s="161" t="s">
        <v>136</v>
      </c>
      <c r="D148" s="161" t="s">
        <v>125</v>
      </c>
      <c r="E148" s="230" t="s">
        <v>866</v>
      </c>
      <c r="F148" s="161"/>
      <c r="G148" s="161"/>
      <c r="H148" s="161"/>
      <c r="I148" s="161"/>
      <c r="J148" s="161"/>
      <c r="K148" s="161"/>
      <c r="L148" s="161"/>
      <c r="M148" s="161"/>
      <c r="N148" s="161"/>
      <c r="O148" s="161"/>
      <c r="P148" s="161"/>
      <c r="Q148" s="161"/>
      <c r="R148" s="161"/>
      <c r="S148" s="161"/>
      <c r="T148" s="161"/>
      <c r="U148" s="161"/>
      <c r="V148" s="204"/>
      <c r="W148" s="204"/>
      <c r="X148" s="204"/>
      <c r="Y148" s="153" t="s">
        <v>318</v>
      </c>
      <c r="Z148" s="235">
        <f>Z149</f>
        <v>0</v>
      </c>
      <c r="AA148" s="235">
        <f>AA149</f>
        <v>0</v>
      </c>
      <c r="AB148" s="235">
        <f>AB149</f>
        <v>0</v>
      </c>
      <c r="AC148" s="564" t="s">
        <v>318</v>
      </c>
    </row>
    <row r="149" spans="1:30" s="271" customFormat="1" ht="26.25" hidden="1" customHeight="1" x14ac:dyDescent="0.3">
      <c r="A149" s="135" t="s">
        <v>894</v>
      </c>
      <c r="B149" s="136" t="s">
        <v>15</v>
      </c>
      <c r="C149" s="136" t="s">
        <v>136</v>
      </c>
      <c r="D149" s="136" t="s">
        <v>125</v>
      </c>
      <c r="E149" s="230" t="s">
        <v>866</v>
      </c>
      <c r="F149" s="136"/>
      <c r="G149" s="136"/>
      <c r="H149" s="136"/>
      <c r="I149" s="136"/>
      <c r="J149" s="136"/>
      <c r="K149" s="136"/>
      <c r="L149" s="136"/>
      <c r="M149" s="136"/>
      <c r="N149" s="136"/>
      <c r="O149" s="136"/>
      <c r="P149" s="136"/>
      <c r="Q149" s="136"/>
      <c r="R149" s="136"/>
      <c r="S149" s="136"/>
      <c r="T149" s="136" t="s">
        <v>275</v>
      </c>
      <c r="U149" s="136"/>
      <c r="V149" s="137"/>
      <c r="W149" s="137"/>
      <c r="X149" s="137"/>
      <c r="Y149" s="135" t="s">
        <v>319</v>
      </c>
      <c r="Z149" s="210">
        <v>0</v>
      </c>
      <c r="AA149" s="210">
        <v>0</v>
      </c>
      <c r="AB149" s="210">
        <v>0</v>
      </c>
      <c r="AC149" s="561" t="s">
        <v>319</v>
      </c>
    </row>
    <row r="150" spans="1:30" s="271" customFormat="1" ht="144" hidden="1" customHeight="1" x14ac:dyDescent="0.3">
      <c r="A150" s="291" t="s">
        <v>979</v>
      </c>
      <c r="B150" s="161" t="s">
        <v>15</v>
      </c>
      <c r="C150" s="161" t="s">
        <v>136</v>
      </c>
      <c r="D150" s="161" t="s">
        <v>125</v>
      </c>
      <c r="E150" s="230" t="s">
        <v>980</v>
      </c>
      <c r="F150" s="161"/>
      <c r="G150" s="161"/>
      <c r="H150" s="161"/>
      <c r="I150" s="161"/>
      <c r="J150" s="161"/>
      <c r="K150" s="161"/>
      <c r="L150" s="161"/>
      <c r="M150" s="161"/>
      <c r="N150" s="161"/>
      <c r="O150" s="161"/>
      <c r="P150" s="161"/>
      <c r="Q150" s="161"/>
      <c r="R150" s="161"/>
      <c r="S150" s="161"/>
      <c r="T150" s="161"/>
      <c r="U150" s="136"/>
      <c r="V150" s="137"/>
      <c r="W150" s="137"/>
      <c r="X150" s="137"/>
      <c r="Y150" s="135"/>
      <c r="Z150" s="210">
        <f>Z151</f>
        <v>0</v>
      </c>
      <c r="AA150" s="210">
        <v>0</v>
      </c>
      <c r="AB150" s="210">
        <v>0</v>
      </c>
      <c r="AC150" s="561"/>
    </row>
    <row r="151" spans="1:30" s="271" customFormat="1" ht="49.5" hidden="1" customHeight="1" x14ac:dyDescent="0.3">
      <c r="A151" s="339" t="s">
        <v>565</v>
      </c>
      <c r="B151" s="136" t="s">
        <v>15</v>
      </c>
      <c r="C151" s="136" t="s">
        <v>136</v>
      </c>
      <c r="D151" s="136" t="s">
        <v>125</v>
      </c>
      <c r="E151" s="230" t="s">
        <v>980</v>
      </c>
      <c r="F151" s="136"/>
      <c r="G151" s="136"/>
      <c r="H151" s="136"/>
      <c r="I151" s="136"/>
      <c r="J151" s="136"/>
      <c r="K151" s="136"/>
      <c r="L151" s="136"/>
      <c r="M151" s="136"/>
      <c r="N151" s="136"/>
      <c r="O151" s="136"/>
      <c r="P151" s="136"/>
      <c r="Q151" s="136"/>
      <c r="R151" s="136"/>
      <c r="S151" s="136"/>
      <c r="T151" s="136" t="s">
        <v>275</v>
      </c>
      <c r="U151" s="136"/>
      <c r="V151" s="137"/>
      <c r="W151" s="137"/>
      <c r="X151" s="137"/>
      <c r="Y151" s="135"/>
      <c r="Z151" s="210">
        <v>0</v>
      </c>
      <c r="AA151" s="210">
        <v>0</v>
      </c>
      <c r="AB151" s="210">
        <v>0</v>
      </c>
      <c r="AC151" s="561"/>
    </row>
    <row r="152" spans="1:30" ht="36.75" hidden="1" customHeight="1" x14ac:dyDescent="0.3">
      <c r="A152" s="153" t="s">
        <v>600</v>
      </c>
      <c r="B152" s="161" t="s">
        <v>15</v>
      </c>
      <c r="C152" s="161" t="s">
        <v>136</v>
      </c>
      <c r="D152" s="161" t="s">
        <v>125</v>
      </c>
      <c r="E152" s="230" t="s">
        <v>548</v>
      </c>
      <c r="F152" s="161"/>
      <c r="G152" s="161"/>
      <c r="H152" s="161"/>
      <c r="I152" s="161"/>
      <c r="J152" s="161"/>
      <c r="K152" s="161"/>
      <c r="L152" s="161"/>
      <c r="M152" s="161"/>
      <c r="N152" s="161"/>
      <c r="O152" s="161"/>
      <c r="P152" s="161"/>
      <c r="Q152" s="161"/>
      <c r="R152" s="161"/>
      <c r="S152" s="161"/>
      <c r="T152" s="161"/>
      <c r="U152" s="161"/>
      <c r="V152" s="204"/>
      <c r="W152" s="204"/>
      <c r="X152" s="204"/>
      <c r="Y152" s="153" t="s">
        <v>320</v>
      </c>
      <c r="Z152" s="235">
        <f>Z153</f>
        <v>0</v>
      </c>
      <c r="AA152" s="235">
        <f>AA153</f>
        <v>0</v>
      </c>
      <c r="AB152" s="235">
        <f>AB153</f>
        <v>0</v>
      </c>
      <c r="AC152" s="558" t="s">
        <v>320</v>
      </c>
    </row>
    <row r="153" spans="1:30" ht="36.75" hidden="1" customHeight="1" x14ac:dyDescent="0.3">
      <c r="A153" s="135" t="s">
        <v>321</v>
      </c>
      <c r="B153" s="136" t="s">
        <v>15</v>
      </c>
      <c r="C153" s="136" t="s">
        <v>136</v>
      </c>
      <c r="D153" s="136" t="s">
        <v>125</v>
      </c>
      <c r="E153" s="230" t="s">
        <v>548</v>
      </c>
      <c r="F153" s="136"/>
      <c r="G153" s="136"/>
      <c r="H153" s="136"/>
      <c r="I153" s="136"/>
      <c r="J153" s="136"/>
      <c r="K153" s="136"/>
      <c r="L153" s="136"/>
      <c r="M153" s="136"/>
      <c r="N153" s="136"/>
      <c r="O153" s="136"/>
      <c r="P153" s="136"/>
      <c r="Q153" s="136"/>
      <c r="R153" s="136"/>
      <c r="S153" s="136"/>
      <c r="T153" s="136" t="s">
        <v>275</v>
      </c>
      <c r="U153" s="136"/>
      <c r="V153" s="137"/>
      <c r="W153" s="137"/>
      <c r="X153" s="137"/>
      <c r="Y153" s="135" t="s">
        <v>321</v>
      </c>
      <c r="Z153" s="210">
        <f>200000-200000</f>
        <v>0</v>
      </c>
      <c r="AA153" s="210">
        <v>0</v>
      </c>
      <c r="AB153" s="210">
        <v>0</v>
      </c>
      <c r="AC153" s="211" t="s">
        <v>321</v>
      </c>
    </row>
    <row r="154" spans="1:30" ht="37.5" customHeight="1" x14ac:dyDescent="0.3">
      <c r="A154" s="159" t="s">
        <v>148</v>
      </c>
      <c r="B154" s="160" t="s">
        <v>15</v>
      </c>
      <c r="C154" s="160" t="s">
        <v>136</v>
      </c>
      <c r="D154" s="160" t="s">
        <v>126</v>
      </c>
      <c r="E154" s="139"/>
      <c r="F154" s="160"/>
      <c r="G154" s="160"/>
      <c r="H154" s="160"/>
      <c r="I154" s="160"/>
      <c r="J154" s="160"/>
      <c r="K154" s="160"/>
      <c r="L154" s="160"/>
      <c r="M154" s="160"/>
      <c r="N154" s="160"/>
      <c r="O154" s="160"/>
      <c r="P154" s="160"/>
      <c r="Q154" s="160"/>
      <c r="R154" s="160"/>
      <c r="S154" s="160"/>
      <c r="T154" s="160"/>
      <c r="U154" s="160"/>
      <c r="V154" s="212"/>
      <c r="W154" s="212"/>
      <c r="X154" s="212"/>
      <c r="Y154" s="159" t="s">
        <v>148</v>
      </c>
      <c r="Z154" s="213">
        <f>Z155+Z157+Z161+Z163+Z165+Z167+Z173+Z177+Z179+Z159+Z169+Z175+Z171</f>
        <v>739000</v>
      </c>
      <c r="AA154" s="213">
        <f>AA155+AA157+AA161+AA163+AA165+AA167+AA173+AA177</f>
        <v>0</v>
      </c>
      <c r="AB154" s="213">
        <f>AB155+AB157+AB161+AB163+AB165+AB167+AB173+AB177</f>
        <v>0</v>
      </c>
      <c r="AC154" s="288" t="s">
        <v>148</v>
      </c>
    </row>
    <row r="155" spans="1:30" ht="104.25" hidden="1" customHeight="1" x14ac:dyDescent="0.3">
      <c r="A155" s="262" t="s">
        <v>549</v>
      </c>
      <c r="B155" s="270" t="s">
        <v>15</v>
      </c>
      <c r="C155" s="230" t="s">
        <v>136</v>
      </c>
      <c r="D155" s="230" t="s">
        <v>126</v>
      </c>
      <c r="E155" s="230" t="s">
        <v>550</v>
      </c>
      <c r="F155" s="139"/>
      <c r="G155" s="139"/>
      <c r="H155" s="139"/>
      <c r="I155" s="139"/>
      <c r="J155" s="139"/>
      <c r="K155" s="139"/>
      <c r="L155" s="139"/>
      <c r="M155" s="139"/>
      <c r="N155" s="139"/>
      <c r="O155" s="139"/>
      <c r="P155" s="139"/>
      <c r="Q155" s="139"/>
      <c r="R155" s="139"/>
      <c r="S155" s="139"/>
      <c r="T155" s="139"/>
      <c r="U155" s="160"/>
      <c r="V155" s="212"/>
      <c r="W155" s="212"/>
      <c r="X155" s="212"/>
      <c r="Y155" s="159"/>
      <c r="Z155" s="235">
        <f>Z156</f>
        <v>0</v>
      </c>
      <c r="AA155" s="235">
        <f>AA156</f>
        <v>0</v>
      </c>
      <c r="AB155" s="235">
        <f>AB156</f>
        <v>0</v>
      </c>
      <c r="AC155" s="288"/>
    </row>
    <row r="156" spans="1:30" ht="84.75" hidden="1" customHeight="1" x14ac:dyDescent="0.3">
      <c r="A156" s="248" t="s">
        <v>601</v>
      </c>
      <c r="B156" s="270" t="s">
        <v>15</v>
      </c>
      <c r="C156" s="230" t="s">
        <v>136</v>
      </c>
      <c r="D156" s="230" t="s">
        <v>126</v>
      </c>
      <c r="E156" s="230" t="s">
        <v>550</v>
      </c>
      <c r="F156" s="139"/>
      <c r="G156" s="139"/>
      <c r="H156" s="139"/>
      <c r="I156" s="139"/>
      <c r="J156" s="139"/>
      <c r="K156" s="139"/>
      <c r="L156" s="139"/>
      <c r="M156" s="139"/>
      <c r="N156" s="139"/>
      <c r="O156" s="139"/>
      <c r="P156" s="139"/>
      <c r="Q156" s="139"/>
      <c r="R156" s="139"/>
      <c r="S156" s="139"/>
      <c r="T156" s="230" t="s">
        <v>275</v>
      </c>
      <c r="U156" s="160"/>
      <c r="V156" s="212"/>
      <c r="W156" s="212"/>
      <c r="X156" s="212"/>
      <c r="Y156" s="159"/>
      <c r="Z156" s="235">
        <v>0</v>
      </c>
      <c r="AA156" s="235">
        <v>0</v>
      </c>
      <c r="AB156" s="235">
        <v>0</v>
      </c>
      <c r="AC156" s="288"/>
      <c r="AD156" s="289"/>
    </row>
    <row r="157" spans="1:30" s="271" customFormat="1" ht="27.75" hidden="1" customHeight="1" x14ac:dyDescent="0.3">
      <c r="A157" s="158" t="s">
        <v>602</v>
      </c>
      <c r="B157" s="161" t="s">
        <v>15</v>
      </c>
      <c r="C157" s="161" t="s">
        <v>136</v>
      </c>
      <c r="D157" s="161" t="s">
        <v>126</v>
      </c>
      <c r="E157" s="230" t="s">
        <v>551</v>
      </c>
      <c r="F157" s="161"/>
      <c r="G157" s="161"/>
      <c r="H157" s="161"/>
      <c r="I157" s="161"/>
      <c r="J157" s="161"/>
      <c r="K157" s="161"/>
      <c r="L157" s="161"/>
      <c r="M157" s="161"/>
      <c r="N157" s="161"/>
      <c r="O157" s="161"/>
      <c r="P157" s="161"/>
      <c r="Q157" s="161"/>
      <c r="R157" s="161"/>
      <c r="S157" s="161"/>
      <c r="T157" s="161"/>
      <c r="U157" s="161"/>
      <c r="V157" s="204"/>
      <c r="W157" s="204"/>
      <c r="X157" s="204"/>
      <c r="Y157" s="153" t="s">
        <v>322</v>
      </c>
      <c r="Z157" s="235">
        <f>Z158</f>
        <v>0</v>
      </c>
      <c r="AA157" s="235">
        <f>AA158</f>
        <v>0</v>
      </c>
      <c r="AB157" s="235">
        <f>AB158</f>
        <v>0</v>
      </c>
      <c r="AC157" s="564" t="s">
        <v>322</v>
      </c>
    </row>
    <row r="158" spans="1:30" s="271" customFormat="1" ht="32.25" hidden="1" customHeight="1" x14ac:dyDescent="0.3">
      <c r="A158" s="135" t="s">
        <v>323</v>
      </c>
      <c r="B158" s="136" t="s">
        <v>15</v>
      </c>
      <c r="C158" s="136" t="s">
        <v>136</v>
      </c>
      <c r="D158" s="136" t="s">
        <v>126</v>
      </c>
      <c r="E158" s="230" t="s">
        <v>551</v>
      </c>
      <c r="F158" s="136"/>
      <c r="G158" s="136"/>
      <c r="H158" s="136"/>
      <c r="I158" s="136"/>
      <c r="J158" s="136"/>
      <c r="K158" s="136"/>
      <c r="L158" s="136"/>
      <c r="M158" s="136"/>
      <c r="N158" s="136"/>
      <c r="O158" s="136"/>
      <c r="P158" s="136"/>
      <c r="Q158" s="136"/>
      <c r="R158" s="136"/>
      <c r="S158" s="136"/>
      <c r="T158" s="136" t="s">
        <v>275</v>
      </c>
      <c r="U158" s="136"/>
      <c r="V158" s="137"/>
      <c r="W158" s="137"/>
      <c r="X158" s="137"/>
      <c r="Y158" s="135" t="s">
        <v>323</v>
      </c>
      <c r="Z158" s="210">
        <v>0</v>
      </c>
      <c r="AA158" s="210">
        <v>0</v>
      </c>
      <c r="AB158" s="210">
        <v>0</v>
      </c>
      <c r="AC158" s="561" t="s">
        <v>323</v>
      </c>
    </row>
    <row r="159" spans="1:30" s="271" customFormat="1" ht="18.75" hidden="1" customHeight="1" x14ac:dyDescent="0.3">
      <c r="A159" s="153" t="s">
        <v>870</v>
      </c>
      <c r="B159" s="136" t="s">
        <v>15</v>
      </c>
      <c r="C159" s="136" t="s">
        <v>136</v>
      </c>
      <c r="D159" s="136" t="s">
        <v>126</v>
      </c>
      <c r="E159" s="230" t="s">
        <v>869</v>
      </c>
      <c r="F159" s="136"/>
      <c r="G159" s="136"/>
      <c r="H159" s="136"/>
      <c r="I159" s="136"/>
      <c r="J159" s="136"/>
      <c r="K159" s="136"/>
      <c r="L159" s="136"/>
      <c r="M159" s="136"/>
      <c r="N159" s="136"/>
      <c r="O159" s="136"/>
      <c r="P159" s="136"/>
      <c r="Q159" s="136"/>
      <c r="R159" s="136"/>
      <c r="S159" s="136"/>
      <c r="T159" s="136"/>
      <c r="U159" s="136"/>
      <c r="V159" s="137"/>
      <c r="W159" s="137"/>
      <c r="X159" s="137"/>
      <c r="Y159" s="135"/>
      <c r="Z159" s="210">
        <f>Z160</f>
        <v>0</v>
      </c>
      <c r="AA159" s="210">
        <v>0</v>
      </c>
      <c r="AB159" s="210">
        <v>0</v>
      </c>
      <c r="AC159" s="561"/>
    </row>
    <row r="160" spans="1:30" s="271" customFormat="1" ht="24.75" hidden="1" customHeight="1" x14ac:dyDescent="0.3">
      <c r="A160" s="135" t="s">
        <v>871</v>
      </c>
      <c r="B160" s="136" t="s">
        <v>15</v>
      </c>
      <c r="C160" s="136" t="s">
        <v>136</v>
      </c>
      <c r="D160" s="136" t="s">
        <v>126</v>
      </c>
      <c r="E160" s="230" t="s">
        <v>869</v>
      </c>
      <c r="F160" s="136"/>
      <c r="G160" s="136"/>
      <c r="H160" s="136"/>
      <c r="I160" s="136"/>
      <c r="J160" s="136"/>
      <c r="K160" s="136"/>
      <c r="L160" s="136"/>
      <c r="M160" s="136"/>
      <c r="N160" s="136"/>
      <c r="O160" s="136"/>
      <c r="P160" s="136"/>
      <c r="Q160" s="136"/>
      <c r="R160" s="136"/>
      <c r="S160" s="136"/>
      <c r="T160" s="136" t="s">
        <v>275</v>
      </c>
      <c r="U160" s="136"/>
      <c r="V160" s="137"/>
      <c r="W160" s="137"/>
      <c r="X160" s="137"/>
      <c r="Y160" s="135"/>
      <c r="Z160" s="210">
        <v>0</v>
      </c>
      <c r="AA160" s="210">
        <v>0</v>
      </c>
      <c r="AB160" s="210">
        <v>0</v>
      </c>
      <c r="AC160" s="561"/>
    </row>
    <row r="161" spans="1:29" s="271" customFormat="1" ht="24.75" hidden="1" customHeight="1" x14ac:dyDescent="0.3">
      <c r="A161" s="153" t="s">
        <v>603</v>
      </c>
      <c r="B161" s="161" t="s">
        <v>15</v>
      </c>
      <c r="C161" s="161" t="s">
        <v>136</v>
      </c>
      <c r="D161" s="161" t="s">
        <v>126</v>
      </c>
      <c r="E161" s="230" t="s">
        <v>552</v>
      </c>
      <c r="F161" s="161"/>
      <c r="G161" s="161"/>
      <c r="H161" s="161"/>
      <c r="I161" s="161"/>
      <c r="J161" s="161"/>
      <c r="K161" s="161"/>
      <c r="L161" s="161"/>
      <c r="M161" s="161"/>
      <c r="N161" s="161"/>
      <c r="O161" s="161"/>
      <c r="P161" s="161"/>
      <c r="Q161" s="161"/>
      <c r="R161" s="161"/>
      <c r="S161" s="161"/>
      <c r="T161" s="161"/>
      <c r="U161" s="161"/>
      <c r="V161" s="204"/>
      <c r="W161" s="204"/>
      <c r="X161" s="204"/>
      <c r="Y161" s="153" t="s">
        <v>324</v>
      </c>
      <c r="Z161" s="235">
        <f>Z162</f>
        <v>0</v>
      </c>
      <c r="AA161" s="235">
        <f>AA162</f>
        <v>0</v>
      </c>
      <c r="AB161" s="235">
        <f>AB162</f>
        <v>0</v>
      </c>
      <c r="AC161" s="564" t="s">
        <v>324</v>
      </c>
    </row>
    <row r="162" spans="1:29" s="271" customFormat="1" ht="28.5" hidden="1" customHeight="1" x14ac:dyDescent="0.3">
      <c r="A162" s="135" t="s">
        <v>325</v>
      </c>
      <c r="B162" s="136" t="s">
        <v>15</v>
      </c>
      <c r="C162" s="136" t="s">
        <v>136</v>
      </c>
      <c r="D162" s="136" t="s">
        <v>126</v>
      </c>
      <c r="E162" s="230" t="s">
        <v>552</v>
      </c>
      <c r="F162" s="136"/>
      <c r="G162" s="136"/>
      <c r="H162" s="136"/>
      <c r="I162" s="136"/>
      <c r="J162" s="136"/>
      <c r="K162" s="136"/>
      <c r="L162" s="136"/>
      <c r="M162" s="136"/>
      <c r="N162" s="136"/>
      <c r="O162" s="136"/>
      <c r="P162" s="136"/>
      <c r="Q162" s="136"/>
      <c r="R162" s="136"/>
      <c r="S162" s="136"/>
      <c r="T162" s="136" t="s">
        <v>275</v>
      </c>
      <c r="U162" s="136"/>
      <c r="V162" s="137"/>
      <c r="W162" s="137"/>
      <c r="X162" s="137"/>
      <c r="Y162" s="135" t="s">
        <v>325</v>
      </c>
      <c r="Z162" s="210">
        <f>56000-56000</f>
        <v>0</v>
      </c>
      <c r="AA162" s="210">
        <v>0</v>
      </c>
      <c r="AB162" s="210">
        <v>0</v>
      </c>
      <c r="AC162" s="561" t="s">
        <v>325</v>
      </c>
    </row>
    <row r="163" spans="1:29" ht="28.5" hidden="1" customHeight="1" x14ac:dyDescent="0.3">
      <c r="A163" s="153" t="s">
        <v>604</v>
      </c>
      <c r="B163" s="161" t="s">
        <v>15</v>
      </c>
      <c r="C163" s="161" t="s">
        <v>136</v>
      </c>
      <c r="D163" s="161" t="s">
        <v>126</v>
      </c>
      <c r="E163" s="230" t="s">
        <v>553</v>
      </c>
      <c r="F163" s="161"/>
      <c r="G163" s="161"/>
      <c r="H163" s="161"/>
      <c r="I163" s="161"/>
      <c r="J163" s="161"/>
      <c r="K163" s="161"/>
      <c r="L163" s="161"/>
      <c r="M163" s="161"/>
      <c r="N163" s="161"/>
      <c r="O163" s="161"/>
      <c r="P163" s="161"/>
      <c r="Q163" s="161"/>
      <c r="R163" s="161"/>
      <c r="S163" s="161"/>
      <c r="T163" s="161"/>
      <c r="U163" s="161"/>
      <c r="V163" s="204"/>
      <c r="W163" s="204"/>
      <c r="X163" s="204"/>
      <c r="Y163" s="153" t="s">
        <v>326</v>
      </c>
      <c r="Z163" s="235">
        <f>Z164</f>
        <v>0</v>
      </c>
      <c r="AA163" s="235">
        <f>AA164</f>
        <v>0</v>
      </c>
      <c r="AB163" s="235">
        <f>AB164</f>
        <v>0</v>
      </c>
      <c r="AC163" s="558" t="s">
        <v>326</v>
      </c>
    </row>
    <row r="164" spans="1:29" ht="45.75" hidden="1" customHeight="1" x14ac:dyDescent="0.3">
      <c r="A164" s="135" t="s">
        <v>327</v>
      </c>
      <c r="B164" s="136" t="s">
        <v>15</v>
      </c>
      <c r="C164" s="136" t="s">
        <v>136</v>
      </c>
      <c r="D164" s="136" t="s">
        <v>126</v>
      </c>
      <c r="E164" s="230" t="s">
        <v>553</v>
      </c>
      <c r="F164" s="136"/>
      <c r="G164" s="136"/>
      <c r="H164" s="136"/>
      <c r="I164" s="136"/>
      <c r="J164" s="136"/>
      <c r="K164" s="136"/>
      <c r="L164" s="136"/>
      <c r="M164" s="136"/>
      <c r="N164" s="136"/>
      <c r="O164" s="136"/>
      <c r="P164" s="136"/>
      <c r="Q164" s="136"/>
      <c r="R164" s="136"/>
      <c r="S164" s="136"/>
      <c r="T164" s="136" t="s">
        <v>275</v>
      </c>
      <c r="U164" s="136"/>
      <c r="V164" s="137"/>
      <c r="W164" s="137"/>
      <c r="X164" s="137"/>
      <c r="Y164" s="135" t="s">
        <v>327</v>
      </c>
      <c r="Z164" s="210">
        <f>49950-49950</f>
        <v>0</v>
      </c>
      <c r="AA164" s="210">
        <v>0</v>
      </c>
      <c r="AB164" s="210">
        <v>0</v>
      </c>
      <c r="AC164" s="211" t="s">
        <v>327</v>
      </c>
    </row>
    <row r="165" spans="1:29" ht="102.75" customHeight="1" x14ac:dyDescent="0.3">
      <c r="A165" s="153" t="s">
        <v>1283</v>
      </c>
      <c r="B165" s="161" t="s">
        <v>15</v>
      </c>
      <c r="C165" s="161" t="s">
        <v>136</v>
      </c>
      <c r="D165" s="161" t="s">
        <v>126</v>
      </c>
      <c r="E165" s="230" t="s">
        <v>554</v>
      </c>
      <c r="F165" s="161"/>
      <c r="G165" s="161"/>
      <c r="H165" s="161"/>
      <c r="I165" s="161"/>
      <c r="J165" s="161"/>
      <c r="K165" s="161"/>
      <c r="L165" s="161"/>
      <c r="M165" s="161"/>
      <c r="N165" s="161"/>
      <c r="O165" s="161"/>
      <c r="P165" s="161"/>
      <c r="Q165" s="161"/>
      <c r="R165" s="161"/>
      <c r="S165" s="161"/>
      <c r="T165" s="161"/>
      <c r="U165" s="161"/>
      <c r="V165" s="204"/>
      <c r="W165" s="204"/>
      <c r="X165" s="204"/>
      <c r="Y165" s="153" t="s">
        <v>328</v>
      </c>
      <c r="Z165" s="235">
        <f>Z166</f>
        <v>250000</v>
      </c>
      <c r="AA165" s="235">
        <f>AA166</f>
        <v>0</v>
      </c>
      <c r="AB165" s="235">
        <f>AB166</f>
        <v>0</v>
      </c>
      <c r="AC165" s="558" t="s">
        <v>328</v>
      </c>
    </row>
    <row r="166" spans="1:29" ht="45.6" customHeight="1" x14ac:dyDescent="0.3">
      <c r="A166" s="135" t="s">
        <v>565</v>
      </c>
      <c r="B166" s="136" t="s">
        <v>15</v>
      </c>
      <c r="C166" s="136" t="s">
        <v>136</v>
      </c>
      <c r="D166" s="136" t="s">
        <v>126</v>
      </c>
      <c r="E166" s="230" t="s">
        <v>554</v>
      </c>
      <c r="F166" s="136"/>
      <c r="G166" s="136"/>
      <c r="H166" s="136"/>
      <c r="I166" s="136"/>
      <c r="J166" s="136"/>
      <c r="K166" s="136"/>
      <c r="L166" s="136"/>
      <c r="M166" s="136"/>
      <c r="N166" s="136"/>
      <c r="O166" s="136"/>
      <c r="P166" s="136"/>
      <c r="Q166" s="136"/>
      <c r="R166" s="136"/>
      <c r="S166" s="136"/>
      <c r="T166" s="136" t="s">
        <v>275</v>
      </c>
      <c r="U166" s="136"/>
      <c r="V166" s="137"/>
      <c r="W166" s="137"/>
      <c r="X166" s="137"/>
      <c r="Y166" s="135" t="s">
        <v>329</v>
      </c>
      <c r="Z166" s="264">
        <f>350000-100000</f>
        <v>250000</v>
      </c>
      <c r="AA166" s="210">
        <v>0</v>
      </c>
      <c r="AB166" s="210">
        <v>0</v>
      </c>
      <c r="AC166" s="211" t="s">
        <v>329</v>
      </c>
    </row>
    <row r="167" spans="1:29" ht="0.75" hidden="1" customHeight="1" x14ac:dyDescent="0.3">
      <c r="A167" s="153" t="s">
        <v>738</v>
      </c>
      <c r="B167" s="161" t="s">
        <v>15</v>
      </c>
      <c r="C167" s="161" t="s">
        <v>136</v>
      </c>
      <c r="D167" s="161" t="s">
        <v>126</v>
      </c>
      <c r="E167" s="230" t="s">
        <v>740</v>
      </c>
      <c r="F167" s="161"/>
      <c r="G167" s="161"/>
      <c r="H167" s="161"/>
      <c r="I167" s="161"/>
      <c r="J167" s="161"/>
      <c r="K167" s="161"/>
      <c r="L167" s="161"/>
      <c r="M167" s="161"/>
      <c r="N167" s="161"/>
      <c r="O167" s="161"/>
      <c r="P167" s="161"/>
      <c r="Q167" s="161"/>
      <c r="R167" s="161"/>
      <c r="S167" s="161"/>
      <c r="T167" s="161"/>
      <c r="U167" s="161"/>
      <c r="V167" s="204"/>
      <c r="W167" s="204"/>
      <c r="X167" s="204"/>
      <c r="Y167" s="153" t="s">
        <v>330</v>
      </c>
      <c r="Z167" s="235">
        <f>Z168</f>
        <v>0</v>
      </c>
      <c r="AA167" s="235">
        <f>AA168</f>
        <v>0</v>
      </c>
      <c r="AB167" s="235">
        <f>AB168</f>
        <v>0</v>
      </c>
      <c r="AC167" s="558" t="s">
        <v>330</v>
      </c>
    </row>
    <row r="168" spans="1:29" ht="32.25" hidden="1" customHeight="1" x14ac:dyDescent="0.3">
      <c r="A168" s="135" t="s">
        <v>739</v>
      </c>
      <c r="B168" s="136" t="s">
        <v>15</v>
      </c>
      <c r="C168" s="136" t="s">
        <v>136</v>
      </c>
      <c r="D168" s="136" t="s">
        <v>126</v>
      </c>
      <c r="E168" s="230" t="s">
        <v>740</v>
      </c>
      <c r="F168" s="136"/>
      <c r="G168" s="136"/>
      <c r="H168" s="136"/>
      <c r="I168" s="136"/>
      <c r="J168" s="136"/>
      <c r="K168" s="136"/>
      <c r="L168" s="136"/>
      <c r="M168" s="136"/>
      <c r="N168" s="136"/>
      <c r="O168" s="136"/>
      <c r="P168" s="136"/>
      <c r="Q168" s="136"/>
      <c r="R168" s="136"/>
      <c r="S168" s="136"/>
      <c r="T168" s="136" t="s">
        <v>275</v>
      </c>
      <c r="U168" s="136"/>
      <c r="V168" s="137"/>
      <c r="W168" s="137"/>
      <c r="X168" s="137"/>
      <c r="Y168" s="135" t="s">
        <v>331</v>
      </c>
      <c r="Z168" s="210">
        <f>2340000-2340000</f>
        <v>0</v>
      </c>
      <c r="AA168" s="210">
        <v>0</v>
      </c>
      <c r="AB168" s="210">
        <v>0</v>
      </c>
      <c r="AC168" s="211" t="s">
        <v>331</v>
      </c>
    </row>
    <row r="169" spans="1:29" ht="29.25" hidden="1" customHeight="1" x14ac:dyDescent="0.3">
      <c r="A169" s="153" t="s">
        <v>876</v>
      </c>
      <c r="B169" s="136" t="s">
        <v>15</v>
      </c>
      <c r="C169" s="136" t="s">
        <v>136</v>
      </c>
      <c r="D169" s="136" t="s">
        <v>126</v>
      </c>
      <c r="E169" s="230" t="s">
        <v>878</v>
      </c>
      <c r="F169" s="136"/>
      <c r="G169" s="136"/>
      <c r="H169" s="136"/>
      <c r="I169" s="136"/>
      <c r="J169" s="136"/>
      <c r="K169" s="136"/>
      <c r="L169" s="136"/>
      <c r="M169" s="136"/>
      <c r="N169" s="136"/>
      <c r="O169" s="136"/>
      <c r="P169" s="136"/>
      <c r="Q169" s="136"/>
      <c r="R169" s="136"/>
      <c r="S169" s="136"/>
      <c r="T169" s="136"/>
      <c r="U169" s="136"/>
      <c r="V169" s="137"/>
      <c r="W169" s="137"/>
      <c r="X169" s="137"/>
      <c r="Y169" s="135"/>
      <c r="Z169" s="210">
        <f>Z170</f>
        <v>0</v>
      </c>
      <c r="AA169" s="210">
        <v>0</v>
      </c>
      <c r="AB169" s="210">
        <v>0</v>
      </c>
      <c r="AC169" s="211"/>
    </row>
    <row r="170" spans="1:29" ht="27" hidden="1" customHeight="1" x14ac:dyDescent="0.3">
      <c r="A170" s="135" t="s">
        <v>877</v>
      </c>
      <c r="B170" s="136" t="s">
        <v>15</v>
      </c>
      <c r="C170" s="136" t="s">
        <v>136</v>
      </c>
      <c r="D170" s="136" t="s">
        <v>126</v>
      </c>
      <c r="E170" s="230" t="s">
        <v>878</v>
      </c>
      <c r="F170" s="136"/>
      <c r="G170" s="136"/>
      <c r="H170" s="136"/>
      <c r="I170" s="136"/>
      <c r="J170" s="136"/>
      <c r="K170" s="136"/>
      <c r="L170" s="136"/>
      <c r="M170" s="136"/>
      <c r="N170" s="136"/>
      <c r="O170" s="136"/>
      <c r="P170" s="136"/>
      <c r="Q170" s="136"/>
      <c r="R170" s="136"/>
      <c r="S170" s="136"/>
      <c r="T170" s="136" t="s">
        <v>275</v>
      </c>
      <c r="U170" s="136"/>
      <c r="V170" s="137"/>
      <c r="W170" s="137"/>
      <c r="X170" s="137"/>
      <c r="Y170" s="135"/>
      <c r="Z170" s="210">
        <v>0</v>
      </c>
      <c r="AA170" s="210">
        <v>0</v>
      </c>
      <c r="AB170" s="210">
        <v>0</v>
      </c>
      <c r="AC170" s="211"/>
    </row>
    <row r="171" spans="1:29" ht="129" customHeight="1" x14ac:dyDescent="0.3">
      <c r="A171" s="486" t="s">
        <v>1529</v>
      </c>
      <c r="B171" s="136" t="s">
        <v>15</v>
      </c>
      <c r="C171" s="136" t="s">
        <v>136</v>
      </c>
      <c r="D171" s="136" t="s">
        <v>126</v>
      </c>
      <c r="E171" s="230"/>
      <c r="F171" s="136"/>
      <c r="G171" s="136"/>
      <c r="H171" s="136"/>
      <c r="I171" s="136"/>
      <c r="J171" s="136"/>
      <c r="K171" s="136"/>
      <c r="L171" s="136"/>
      <c r="M171" s="136"/>
      <c r="N171" s="136"/>
      <c r="O171" s="136"/>
      <c r="P171" s="136"/>
      <c r="Q171" s="136"/>
      <c r="R171" s="136"/>
      <c r="S171" s="136"/>
      <c r="T171" s="136"/>
      <c r="U171" s="136"/>
      <c r="V171" s="137"/>
      <c r="W171" s="137"/>
      <c r="X171" s="137"/>
      <c r="Y171" s="135"/>
      <c r="Z171" s="210">
        <f>Z172</f>
        <v>4.2</v>
      </c>
      <c r="AA171" s="210">
        <v>0</v>
      </c>
      <c r="AB171" s="210">
        <v>0</v>
      </c>
      <c r="AC171" s="211"/>
    </row>
    <row r="172" spans="1:29" ht="49.5" customHeight="1" x14ac:dyDescent="0.3">
      <c r="A172" s="135" t="s">
        <v>565</v>
      </c>
      <c r="B172" s="136" t="s">
        <v>15</v>
      </c>
      <c r="C172" s="136" t="s">
        <v>136</v>
      </c>
      <c r="D172" s="136" t="s">
        <v>126</v>
      </c>
      <c r="E172" s="230" t="s">
        <v>1528</v>
      </c>
      <c r="F172" s="136"/>
      <c r="G172" s="136"/>
      <c r="H172" s="136"/>
      <c r="I172" s="136"/>
      <c r="J172" s="136"/>
      <c r="K172" s="136"/>
      <c r="L172" s="136"/>
      <c r="M172" s="136"/>
      <c r="N172" s="136"/>
      <c r="O172" s="136"/>
      <c r="P172" s="136"/>
      <c r="Q172" s="136"/>
      <c r="R172" s="136"/>
      <c r="S172" s="136"/>
      <c r="T172" s="136" t="s">
        <v>275</v>
      </c>
      <c r="U172" s="136"/>
      <c r="V172" s="137"/>
      <c r="W172" s="137"/>
      <c r="X172" s="137"/>
      <c r="Y172" s="135"/>
      <c r="Z172" s="264">
        <v>4.2</v>
      </c>
      <c r="AA172" s="210">
        <v>0</v>
      </c>
      <c r="AB172" s="210">
        <v>0</v>
      </c>
      <c r="AC172" s="211"/>
    </row>
    <row r="173" spans="1:29" ht="113.25" customHeight="1" x14ac:dyDescent="0.3">
      <c r="A173" s="153" t="s">
        <v>1235</v>
      </c>
      <c r="B173" s="161" t="s">
        <v>15</v>
      </c>
      <c r="C173" s="161" t="s">
        <v>136</v>
      </c>
      <c r="D173" s="161" t="s">
        <v>126</v>
      </c>
      <c r="E173" s="230" t="s">
        <v>555</v>
      </c>
      <c r="F173" s="161"/>
      <c r="G173" s="161"/>
      <c r="H173" s="161"/>
      <c r="I173" s="161"/>
      <c r="J173" s="161"/>
      <c r="K173" s="161"/>
      <c r="L173" s="161"/>
      <c r="M173" s="161"/>
      <c r="N173" s="161"/>
      <c r="O173" s="161"/>
      <c r="P173" s="161"/>
      <c r="Q173" s="161"/>
      <c r="R173" s="161"/>
      <c r="S173" s="161"/>
      <c r="T173" s="161"/>
      <c r="U173" s="161"/>
      <c r="V173" s="204"/>
      <c r="W173" s="204"/>
      <c r="X173" s="204"/>
      <c r="Y173" s="153" t="s">
        <v>332</v>
      </c>
      <c r="Z173" s="235">
        <f>Z174</f>
        <v>0</v>
      </c>
      <c r="AA173" s="235">
        <f>AA174</f>
        <v>0</v>
      </c>
      <c r="AB173" s="235">
        <f>AB174</f>
        <v>0</v>
      </c>
      <c r="AC173" s="558" t="s">
        <v>332</v>
      </c>
    </row>
    <row r="174" spans="1:29" ht="46.9" customHeight="1" x14ac:dyDescent="0.3">
      <c r="A174" s="135" t="s">
        <v>565</v>
      </c>
      <c r="B174" s="136" t="s">
        <v>15</v>
      </c>
      <c r="C174" s="136" t="s">
        <v>136</v>
      </c>
      <c r="D174" s="136" t="s">
        <v>126</v>
      </c>
      <c r="E174" s="230" t="s">
        <v>555</v>
      </c>
      <c r="F174" s="136"/>
      <c r="G174" s="136"/>
      <c r="H174" s="136"/>
      <c r="I174" s="136"/>
      <c r="J174" s="136"/>
      <c r="K174" s="136"/>
      <c r="L174" s="136"/>
      <c r="M174" s="136"/>
      <c r="N174" s="136"/>
      <c r="O174" s="136"/>
      <c r="P174" s="136"/>
      <c r="Q174" s="136"/>
      <c r="R174" s="136"/>
      <c r="S174" s="136"/>
      <c r="T174" s="136" t="s">
        <v>275</v>
      </c>
      <c r="U174" s="136"/>
      <c r="V174" s="137"/>
      <c r="W174" s="137"/>
      <c r="X174" s="137"/>
      <c r="Y174" s="135" t="s">
        <v>333</v>
      </c>
      <c r="Z174" s="264">
        <f>250000+150000-150000-250000</f>
        <v>0</v>
      </c>
      <c r="AA174" s="210">
        <v>0</v>
      </c>
      <c r="AB174" s="210">
        <v>0</v>
      </c>
      <c r="AC174" s="211" t="s">
        <v>333</v>
      </c>
    </row>
    <row r="175" spans="1:29" ht="153" customHeight="1" x14ac:dyDescent="0.3">
      <c r="A175" s="153" t="s">
        <v>1368</v>
      </c>
      <c r="B175" s="136" t="s">
        <v>15</v>
      </c>
      <c r="C175" s="136" t="s">
        <v>136</v>
      </c>
      <c r="D175" s="136" t="s">
        <v>126</v>
      </c>
      <c r="E175" s="230" t="s">
        <v>1365</v>
      </c>
      <c r="F175" s="136"/>
      <c r="G175" s="136"/>
      <c r="H175" s="136"/>
      <c r="I175" s="136"/>
      <c r="J175" s="136"/>
      <c r="K175" s="136"/>
      <c r="L175" s="136"/>
      <c r="M175" s="136"/>
      <c r="N175" s="136"/>
      <c r="O175" s="136"/>
      <c r="P175" s="136"/>
      <c r="Q175" s="136"/>
      <c r="R175" s="136"/>
      <c r="S175" s="136"/>
      <c r="T175" s="136"/>
      <c r="U175" s="136"/>
      <c r="V175" s="137"/>
      <c r="W175" s="137"/>
      <c r="X175" s="137"/>
      <c r="Y175" s="135"/>
      <c r="Z175" s="264">
        <f>Z176</f>
        <v>314000</v>
      </c>
      <c r="AA175" s="210">
        <v>0</v>
      </c>
      <c r="AB175" s="210">
        <v>0</v>
      </c>
      <c r="AC175" s="211"/>
    </row>
    <row r="176" spans="1:29" ht="55.5" customHeight="1" x14ac:dyDescent="0.3">
      <c r="A176" s="135" t="s">
        <v>565</v>
      </c>
      <c r="B176" s="136" t="s">
        <v>15</v>
      </c>
      <c r="C176" s="136" t="s">
        <v>136</v>
      </c>
      <c r="D176" s="136" t="s">
        <v>126</v>
      </c>
      <c r="E176" s="230" t="s">
        <v>1365</v>
      </c>
      <c r="F176" s="136"/>
      <c r="G176" s="136"/>
      <c r="H176" s="136"/>
      <c r="I176" s="136"/>
      <c r="J176" s="136"/>
      <c r="K176" s="136"/>
      <c r="L176" s="136"/>
      <c r="M176" s="136"/>
      <c r="N176" s="136"/>
      <c r="O176" s="136"/>
      <c r="P176" s="136"/>
      <c r="Q176" s="136"/>
      <c r="R176" s="136"/>
      <c r="S176" s="136"/>
      <c r="T176" s="136" t="s">
        <v>275</v>
      </c>
      <c r="U176" s="136"/>
      <c r="V176" s="137"/>
      <c r="W176" s="137"/>
      <c r="X176" s="137"/>
      <c r="Y176" s="135"/>
      <c r="Z176" s="264">
        <f>64000+250000</f>
        <v>314000</v>
      </c>
      <c r="AA176" s="210">
        <v>0</v>
      </c>
      <c r="AB176" s="210">
        <v>0</v>
      </c>
      <c r="AC176" s="211"/>
    </row>
    <row r="177" spans="1:30" ht="195.75" customHeight="1" x14ac:dyDescent="0.3">
      <c r="A177" s="153" t="s">
        <v>1236</v>
      </c>
      <c r="B177" s="161" t="s">
        <v>15</v>
      </c>
      <c r="C177" s="161" t="s">
        <v>136</v>
      </c>
      <c r="D177" s="161" t="s">
        <v>126</v>
      </c>
      <c r="E177" s="230" t="s">
        <v>556</v>
      </c>
      <c r="F177" s="161"/>
      <c r="G177" s="161"/>
      <c r="H177" s="161"/>
      <c r="I177" s="161"/>
      <c r="J177" s="161"/>
      <c r="K177" s="161"/>
      <c r="L177" s="161"/>
      <c r="M177" s="161"/>
      <c r="N177" s="161"/>
      <c r="O177" s="161"/>
      <c r="P177" s="161"/>
      <c r="Q177" s="161"/>
      <c r="R177" s="161"/>
      <c r="S177" s="161"/>
      <c r="T177" s="161"/>
      <c r="U177" s="161"/>
      <c r="V177" s="204"/>
      <c r="W177" s="204"/>
      <c r="X177" s="204"/>
      <c r="Y177" s="153" t="s">
        <v>334</v>
      </c>
      <c r="Z177" s="235">
        <f>Z178</f>
        <v>99995.8</v>
      </c>
      <c r="AA177" s="235">
        <f>AA178</f>
        <v>0</v>
      </c>
      <c r="AB177" s="235">
        <f>AB178</f>
        <v>0</v>
      </c>
      <c r="AC177" s="558" t="s">
        <v>334</v>
      </c>
    </row>
    <row r="178" spans="1:30" ht="51" customHeight="1" x14ac:dyDescent="0.3">
      <c r="A178" s="154" t="s">
        <v>565</v>
      </c>
      <c r="B178" s="136" t="s">
        <v>15</v>
      </c>
      <c r="C178" s="136" t="s">
        <v>136</v>
      </c>
      <c r="D178" s="136" t="s">
        <v>126</v>
      </c>
      <c r="E178" s="230" t="s">
        <v>556</v>
      </c>
      <c r="F178" s="136"/>
      <c r="G178" s="136"/>
      <c r="H178" s="136"/>
      <c r="I178" s="136"/>
      <c r="J178" s="136"/>
      <c r="K178" s="136"/>
      <c r="L178" s="136"/>
      <c r="M178" s="136"/>
      <c r="N178" s="136"/>
      <c r="O178" s="136"/>
      <c r="P178" s="136"/>
      <c r="Q178" s="136"/>
      <c r="R178" s="136"/>
      <c r="S178" s="136"/>
      <c r="T178" s="136" t="s">
        <v>275</v>
      </c>
      <c r="U178" s="136"/>
      <c r="V178" s="137"/>
      <c r="W178" s="137"/>
      <c r="X178" s="137"/>
      <c r="Y178" s="154" t="s">
        <v>335</v>
      </c>
      <c r="Z178" s="264">
        <f>100000-4.2</f>
        <v>99995.8</v>
      </c>
      <c r="AA178" s="210">
        <v>0</v>
      </c>
      <c r="AB178" s="210">
        <v>0</v>
      </c>
      <c r="AC178" s="559" t="s">
        <v>335</v>
      </c>
    </row>
    <row r="179" spans="1:30" ht="132.75" customHeight="1" x14ac:dyDescent="0.3">
      <c r="A179" s="153" t="s">
        <v>1544</v>
      </c>
      <c r="B179" s="161" t="s">
        <v>15</v>
      </c>
      <c r="C179" s="161" t="s">
        <v>136</v>
      </c>
      <c r="D179" s="161" t="s">
        <v>126</v>
      </c>
      <c r="E179" s="230" t="s">
        <v>791</v>
      </c>
      <c r="F179" s="161"/>
      <c r="G179" s="161"/>
      <c r="H179" s="161"/>
      <c r="I179" s="161"/>
      <c r="J179" s="161"/>
      <c r="K179" s="161"/>
      <c r="L179" s="161"/>
      <c r="M179" s="161"/>
      <c r="N179" s="161"/>
      <c r="O179" s="161"/>
      <c r="P179" s="161"/>
      <c r="Q179" s="161"/>
      <c r="R179" s="161"/>
      <c r="S179" s="161"/>
      <c r="T179" s="161"/>
      <c r="U179" s="161"/>
      <c r="V179" s="204"/>
      <c r="W179" s="204"/>
      <c r="X179" s="204"/>
      <c r="Y179" s="153"/>
      <c r="Z179" s="235">
        <f>Z180</f>
        <v>75000</v>
      </c>
      <c r="AA179" s="235">
        <v>0</v>
      </c>
      <c r="AB179" s="235">
        <v>0</v>
      </c>
      <c r="AC179" s="558" t="s">
        <v>338</v>
      </c>
    </row>
    <row r="180" spans="1:30" ht="55.5" customHeight="1" x14ac:dyDescent="0.3">
      <c r="A180" s="135" t="s">
        <v>565</v>
      </c>
      <c r="B180" s="161" t="s">
        <v>15</v>
      </c>
      <c r="C180" s="161" t="s">
        <v>136</v>
      </c>
      <c r="D180" s="161" t="s">
        <v>126</v>
      </c>
      <c r="E180" s="230" t="s">
        <v>791</v>
      </c>
      <c r="F180" s="136"/>
      <c r="G180" s="136"/>
      <c r="H180" s="136"/>
      <c r="I180" s="136"/>
      <c r="J180" s="136"/>
      <c r="K180" s="136"/>
      <c r="L180" s="136"/>
      <c r="M180" s="136"/>
      <c r="N180" s="136"/>
      <c r="O180" s="136"/>
      <c r="P180" s="136"/>
      <c r="Q180" s="136"/>
      <c r="R180" s="136"/>
      <c r="S180" s="136"/>
      <c r="T180" s="136" t="s">
        <v>275</v>
      </c>
      <c r="U180" s="136"/>
      <c r="V180" s="137"/>
      <c r="W180" s="137"/>
      <c r="X180" s="137"/>
      <c r="Y180" s="135"/>
      <c r="Z180" s="210">
        <v>75000</v>
      </c>
      <c r="AA180" s="210">
        <v>0</v>
      </c>
      <c r="AB180" s="210">
        <v>0</v>
      </c>
      <c r="AC180" s="211" t="s">
        <v>339</v>
      </c>
    </row>
    <row r="181" spans="1:30" ht="36.75" customHeight="1" x14ac:dyDescent="0.35">
      <c r="A181" s="159" t="s">
        <v>605</v>
      </c>
      <c r="B181" s="160" t="s">
        <v>15</v>
      </c>
      <c r="C181" s="160" t="s">
        <v>136</v>
      </c>
      <c r="D181" s="160" t="s">
        <v>127</v>
      </c>
      <c r="E181" s="139"/>
      <c r="F181" s="160"/>
      <c r="G181" s="160"/>
      <c r="H181" s="160"/>
      <c r="I181" s="160"/>
      <c r="J181" s="160"/>
      <c r="K181" s="160"/>
      <c r="L181" s="160"/>
      <c r="M181" s="160"/>
      <c r="N181" s="160"/>
      <c r="O181" s="160"/>
      <c r="P181" s="160"/>
      <c r="Q181" s="160"/>
      <c r="R181" s="160"/>
      <c r="S181" s="160"/>
      <c r="T181" s="160"/>
      <c r="U181" s="136"/>
      <c r="V181" s="137"/>
      <c r="W181" s="137"/>
      <c r="X181" s="137"/>
      <c r="Y181" s="135"/>
      <c r="Z181" s="217">
        <f>Z182+Z184+Z186+Z188+Z190+Z192</f>
        <v>45698854.830000006</v>
      </c>
      <c r="AA181" s="217">
        <f>AA182+AA184+AA186</f>
        <v>25761780.670000002</v>
      </c>
      <c r="AB181" s="217">
        <f>AB182+AB184+AB186</f>
        <v>21944044.210000001</v>
      </c>
      <c r="AC181" s="211"/>
    </row>
    <row r="182" spans="1:30" ht="132" customHeight="1" x14ac:dyDescent="0.3">
      <c r="A182" s="153" t="s">
        <v>1237</v>
      </c>
      <c r="B182" s="161" t="s">
        <v>15</v>
      </c>
      <c r="C182" s="161" t="s">
        <v>136</v>
      </c>
      <c r="D182" s="161" t="s">
        <v>127</v>
      </c>
      <c r="E182" s="230" t="s">
        <v>557</v>
      </c>
      <c r="F182" s="161"/>
      <c r="G182" s="161"/>
      <c r="H182" s="161"/>
      <c r="I182" s="161"/>
      <c r="J182" s="161"/>
      <c r="K182" s="161"/>
      <c r="L182" s="161"/>
      <c r="M182" s="161"/>
      <c r="N182" s="161"/>
      <c r="O182" s="161"/>
      <c r="P182" s="161"/>
      <c r="Q182" s="161"/>
      <c r="R182" s="161"/>
      <c r="S182" s="161"/>
      <c r="T182" s="161"/>
      <c r="U182" s="136"/>
      <c r="V182" s="137"/>
      <c r="W182" s="137"/>
      <c r="X182" s="137"/>
      <c r="Y182" s="135"/>
      <c r="Z182" s="235">
        <f>Z183</f>
        <v>33425877</v>
      </c>
      <c r="AA182" s="235">
        <f>AA183</f>
        <v>20044044.210000001</v>
      </c>
      <c r="AB182" s="235">
        <f>AB183</f>
        <v>20044044.210000001</v>
      </c>
      <c r="AC182" s="211"/>
    </row>
    <row r="183" spans="1:30" ht="45" customHeight="1" x14ac:dyDescent="0.3">
      <c r="A183" s="135" t="s">
        <v>565</v>
      </c>
      <c r="B183" s="136" t="s">
        <v>15</v>
      </c>
      <c r="C183" s="136" t="s">
        <v>136</v>
      </c>
      <c r="D183" s="136" t="s">
        <v>127</v>
      </c>
      <c r="E183" s="230" t="s">
        <v>557</v>
      </c>
      <c r="F183" s="136"/>
      <c r="G183" s="136"/>
      <c r="H183" s="136"/>
      <c r="I183" s="136"/>
      <c r="J183" s="136"/>
      <c r="K183" s="136"/>
      <c r="L183" s="136"/>
      <c r="M183" s="136"/>
      <c r="N183" s="136"/>
      <c r="O183" s="136"/>
      <c r="P183" s="136"/>
      <c r="Q183" s="136"/>
      <c r="R183" s="136"/>
      <c r="S183" s="136"/>
      <c r="T183" s="136" t="s">
        <v>275</v>
      </c>
      <c r="U183" s="136"/>
      <c r="V183" s="137"/>
      <c r="W183" s="137"/>
      <c r="X183" s="137"/>
      <c r="Y183" s="135"/>
      <c r="Z183" s="210">
        <f>19227154.68+5430985.34+3453000-160000-20032.38+5596000-101230.64</f>
        <v>33425877</v>
      </c>
      <c r="AA183" s="210">
        <v>20044044.210000001</v>
      </c>
      <c r="AB183" s="210">
        <v>20044044.210000001</v>
      </c>
      <c r="AC183" s="211"/>
      <c r="AD183" s="208"/>
    </row>
    <row r="184" spans="1:30" ht="163.5" customHeight="1" x14ac:dyDescent="0.3">
      <c r="A184" s="153" t="s">
        <v>1238</v>
      </c>
      <c r="B184" s="161" t="s">
        <v>15</v>
      </c>
      <c r="C184" s="161" t="s">
        <v>136</v>
      </c>
      <c r="D184" s="161" t="s">
        <v>127</v>
      </c>
      <c r="E184" s="230" t="s">
        <v>558</v>
      </c>
      <c r="F184" s="161"/>
      <c r="G184" s="161"/>
      <c r="H184" s="161"/>
      <c r="I184" s="161"/>
      <c r="J184" s="161"/>
      <c r="K184" s="161"/>
      <c r="L184" s="161"/>
      <c r="M184" s="161"/>
      <c r="N184" s="161"/>
      <c r="O184" s="161"/>
      <c r="P184" s="161"/>
      <c r="Q184" s="161"/>
      <c r="R184" s="161"/>
      <c r="S184" s="161"/>
      <c r="T184" s="161"/>
      <c r="U184" s="136"/>
      <c r="V184" s="137"/>
      <c r="W184" s="137"/>
      <c r="X184" s="137"/>
      <c r="Y184" s="135"/>
      <c r="Z184" s="235">
        <f>Z185</f>
        <v>0.6</v>
      </c>
      <c r="AA184" s="235">
        <f>AA185</f>
        <v>5717736.46</v>
      </c>
      <c r="AB184" s="235">
        <f>AB185</f>
        <v>1900000</v>
      </c>
      <c r="AC184" s="211"/>
    </row>
    <row r="185" spans="1:30" ht="48.6" customHeight="1" x14ac:dyDescent="0.3">
      <c r="A185" s="162" t="s">
        <v>565</v>
      </c>
      <c r="B185" s="136" t="s">
        <v>15</v>
      </c>
      <c r="C185" s="136" t="s">
        <v>136</v>
      </c>
      <c r="D185" s="136" t="s">
        <v>127</v>
      </c>
      <c r="E185" s="230" t="s">
        <v>558</v>
      </c>
      <c r="F185" s="136"/>
      <c r="G185" s="136"/>
      <c r="H185" s="136"/>
      <c r="I185" s="136"/>
      <c r="J185" s="136"/>
      <c r="K185" s="136"/>
      <c r="L185" s="136"/>
      <c r="M185" s="136"/>
      <c r="N185" s="136"/>
      <c r="O185" s="136"/>
      <c r="P185" s="136"/>
      <c r="Q185" s="136"/>
      <c r="R185" s="136"/>
      <c r="S185" s="136"/>
      <c r="T185" s="136" t="s">
        <v>275</v>
      </c>
      <c r="U185" s="136"/>
      <c r="V185" s="137"/>
      <c r="W185" s="137"/>
      <c r="X185" s="137"/>
      <c r="Y185" s="135"/>
      <c r="Z185" s="264">
        <v>0.6</v>
      </c>
      <c r="AA185" s="210">
        <f>1900000+4255838.76-438102.3</f>
        <v>5717736.46</v>
      </c>
      <c r="AB185" s="210">
        <v>1900000</v>
      </c>
      <c r="AC185" s="211"/>
    </row>
    <row r="186" spans="1:30" ht="167.25" customHeight="1" x14ac:dyDescent="0.3">
      <c r="A186" s="262" t="s">
        <v>1403</v>
      </c>
      <c r="B186" s="245" t="s">
        <v>15</v>
      </c>
      <c r="C186" s="136" t="s">
        <v>136</v>
      </c>
      <c r="D186" s="136" t="s">
        <v>127</v>
      </c>
      <c r="E186" s="230" t="s">
        <v>777</v>
      </c>
      <c r="F186" s="136"/>
      <c r="G186" s="136"/>
      <c r="H186" s="136"/>
      <c r="I186" s="136"/>
      <c r="J186" s="136"/>
      <c r="K186" s="136"/>
      <c r="L186" s="136"/>
      <c r="M186" s="136"/>
      <c r="N186" s="136"/>
      <c r="O186" s="136"/>
      <c r="P186" s="136"/>
      <c r="Q186" s="136"/>
      <c r="R186" s="136"/>
      <c r="S186" s="136"/>
      <c r="T186" s="136"/>
      <c r="U186" s="136"/>
      <c r="V186" s="137"/>
      <c r="W186" s="137"/>
      <c r="X186" s="137"/>
      <c r="Y186" s="135"/>
      <c r="Z186" s="210">
        <f>Z187</f>
        <v>5514714.2100000009</v>
      </c>
      <c r="AA186" s="210">
        <v>0</v>
      </c>
      <c r="AB186" s="210">
        <v>0</v>
      </c>
      <c r="AC186" s="211"/>
    </row>
    <row r="187" spans="1:30" ht="54.75" customHeight="1" x14ac:dyDescent="0.3">
      <c r="A187" s="248" t="s">
        <v>565</v>
      </c>
      <c r="B187" s="245" t="s">
        <v>15</v>
      </c>
      <c r="C187" s="136" t="s">
        <v>136</v>
      </c>
      <c r="D187" s="136" t="s">
        <v>127</v>
      </c>
      <c r="E187" s="230" t="s">
        <v>777</v>
      </c>
      <c r="F187" s="136"/>
      <c r="G187" s="136"/>
      <c r="H187" s="136"/>
      <c r="I187" s="136"/>
      <c r="J187" s="136"/>
      <c r="K187" s="136"/>
      <c r="L187" s="136"/>
      <c r="M187" s="136"/>
      <c r="N187" s="136"/>
      <c r="O187" s="136"/>
      <c r="P187" s="136"/>
      <c r="Q187" s="136"/>
      <c r="R187" s="136"/>
      <c r="S187" s="136"/>
      <c r="T187" s="136" t="s">
        <v>275</v>
      </c>
      <c r="U187" s="136"/>
      <c r="V187" s="137"/>
      <c r="W187" s="137"/>
      <c r="X187" s="137"/>
      <c r="Y187" s="135"/>
      <c r="Z187" s="210">
        <f>3327238.47+2187475.74</f>
        <v>5514714.2100000009</v>
      </c>
      <c r="AA187" s="210">
        <v>0</v>
      </c>
      <c r="AB187" s="210">
        <v>0</v>
      </c>
      <c r="AC187" s="211"/>
    </row>
    <row r="188" spans="1:30" ht="120" customHeight="1" x14ac:dyDescent="0.3">
      <c r="A188" s="509" t="s">
        <v>1440</v>
      </c>
      <c r="B188" s="502" t="s">
        <v>15</v>
      </c>
      <c r="C188" s="163" t="s">
        <v>136</v>
      </c>
      <c r="D188" s="163" t="s">
        <v>127</v>
      </c>
      <c r="E188" s="244" t="s">
        <v>974</v>
      </c>
      <c r="F188" s="136"/>
      <c r="G188" s="136"/>
      <c r="H188" s="136"/>
      <c r="I188" s="136"/>
      <c r="J188" s="136"/>
      <c r="K188" s="136"/>
      <c r="L188" s="136"/>
      <c r="M188" s="136"/>
      <c r="N188" s="136"/>
      <c r="O188" s="136"/>
      <c r="P188" s="136"/>
      <c r="Q188" s="136"/>
      <c r="R188" s="136"/>
      <c r="S188" s="136"/>
      <c r="T188" s="136"/>
      <c r="U188" s="136"/>
      <c r="V188" s="137"/>
      <c r="W188" s="137"/>
      <c r="X188" s="137"/>
      <c r="Y188" s="135"/>
      <c r="Z188" s="210">
        <f>Z189</f>
        <v>3477000</v>
      </c>
      <c r="AA188" s="210">
        <v>0</v>
      </c>
      <c r="AB188" s="210">
        <v>0</v>
      </c>
      <c r="AC188" s="211"/>
    </row>
    <row r="189" spans="1:30" ht="50.25" customHeight="1" x14ac:dyDescent="0.3">
      <c r="A189" s="441" t="s">
        <v>565</v>
      </c>
      <c r="B189" s="492" t="s">
        <v>15</v>
      </c>
      <c r="C189" s="492" t="s">
        <v>136</v>
      </c>
      <c r="D189" s="492" t="s">
        <v>127</v>
      </c>
      <c r="E189" s="233" t="s">
        <v>974</v>
      </c>
      <c r="F189" s="245"/>
      <c r="G189" s="136"/>
      <c r="H189" s="136"/>
      <c r="I189" s="136"/>
      <c r="J189" s="136"/>
      <c r="K189" s="136"/>
      <c r="L189" s="136"/>
      <c r="M189" s="136"/>
      <c r="N189" s="136"/>
      <c r="O189" s="136"/>
      <c r="P189" s="136"/>
      <c r="Q189" s="136"/>
      <c r="R189" s="136"/>
      <c r="S189" s="136"/>
      <c r="T189" s="136" t="s">
        <v>275</v>
      </c>
      <c r="U189" s="136"/>
      <c r="V189" s="137"/>
      <c r="W189" s="137"/>
      <c r="X189" s="137"/>
      <c r="Y189" s="135"/>
      <c r="Z189" s="210">
        <v>3477000</v>
      </c>
      <c r="AA189" s="210">
        <v>0</v>
      </c>
      <c r="AB189" s="210">
        <v>0</v>
      </c>
      <c r="AC189" s="211"/>
    </row>
    <row r="190" spans="1:30" ht="42" hidden="1" customHeight="1" x14ac:dyDescent="0.3">
      <c r="A190" s="440" t="s">
        <v>995</v>
      </c>
      <c r="B190" s="492" t="s">
        <v>15</v>
      </c>
      <c r="C190" s="492" t="s">
        <v>136</v>
      </c>
      <c r="D190" s="492" t="s">
        <v>127</v>
      </c>
      <c r="E190" s="233" t="s">
        <v>991</v>
      </c>
      <c r="F190" s="245"/>
      <c r="G190" s="136"/>
      <c r="H190" s="136"/>
      <c r="I190" s="136"/>
      <c r="J190" s="136"/>
      <c r="K190" s="136"/>
      <c r="L190" s="136"/>
      <c r="M190" s="136"/>
      <c r="N190" s="136"/>
      <c r="O190" s="136"/>
      <c r="P190" s="136"/>
      <c r="Q190" s="136"/>
      <c r="R190" s="136"/>
      <c r="S190" s="136"/>
      <c r="T190" s="136"/>
      <c r="U190" s="136"/>
      <c r="V190" s="137"/>
      <c r="W190" s="137"/>
      <c r="X190" s="137"/>
      <c r="Y190" s="135"/>
      <c r="Z190" s="528">
        <f>Z191</f>
        <v>0</v>
      </c>
      <c r="AA190" s="210">
        <v>0</v>
      </c>
      <c r="AB190" s="210">
        <v>0</v>
      </c>
      <c r="AC190" s="211"/>
    </row>
    <row r="191" spans="1:30" ht="38.25" hidden="1" customHeight="1" x14ac:dyDescent="0.3">
      <c r="A191" s="501" t="s">
        <v>1007</v>
      </c>
      <c r="B191" s="510" t="s">
        <v>15</v>
      </c>
      <c r="C191" s="510" t="s">
        <v>136</v>
      </c>
      <c r="D191" s="510" t="s">
        <v>127</v>
      </c>
      <c r="E191" s="543" t="s">
        <v>991</v>
      </c>
      <c r="F191" s="502"/>
      <c r="G191" s="163"/>
      <c r="H191" s="163"/>
      <c r="I191" s="163"/>
      <c r="J191" s="163"/>
      <c r="K191" s="163"/>
      <c r="L191" s="163"/>
      <c r="M191" s="163"/>
      <c r="N191" s="163"/>
      <c r="O191" s="163"/>
      <c r="P191" s="163"/>
      <c r="Q191" s="163"/>
      <c r="R191" s="163"/>
      <c r="S191" s="163"/>
      <c r="T191" s="163" t="s">
        <v>275</v>
      </c>
      <c r="U191" s="163"/>
      <c r="V191" s="527"/>
      <c r="W191" s="527"/>
      <c r="X191" s="527"/>
      <c r="Y191" s="577"/>
      <c r="Z191" s="556">
        <f>13447941+400000+185337.39-6400000-7633278.39</f>
        <v>0</v>
      </c>
      <c r="AA191" s="506">
        <v>0</v>
      </c>
      <c r="AB191" s="210">
        <v>0</v>
      </c>
      <c r="AC191" s="211"/>
    </row>
    <row r="192" spans="1:30" ht="165" customHeight="1" x14ac:dyDescent="0.3">
      <c r="A192" s="509" t="s">
        <v>1522</v>
      </c>
      <c r="B192" s="510" t="s">
        <v>15</v>
      </c>
      <c r="C192" s="510" t="s">
        <v>136</v>
      </c>
      <c r="D192" s="510" t="s">
        <v>127</v>
      </c>
      <c r="E192" s="233" t="s">
        <v>1523</v>
      </c>
      <c r="F192" s="502"/>
      <c r="G192" s="163"/>
      <c r="H192" s="163"/>
      <c r="I192" s="163"/>
      <c r="J192" s="163"/>
      <c r="K192" s="163"/>
      <c r="L192" s="163"/>
      <c r="M192" s="163"/>
      <c r="N192" s="163"/>
      <c r="O192" s="163"/>
      <c r="P192" s="163"/>
      <c r="Q192" s="163"/>
      <c r="R192" s="163"/>
      <c r="S192" s="163"/>
      <c r="T192" s="163"/>
      <c r="U192" s="492"/>
      <c r="V192" s="529"/>
      <c r="W192" s="529"/>
      <c r="X192" s="529"/>
      <c r="Y192" s="578"/>
      <c r="Z192" s="556">
        <f>Z193</f>
        <v>3281263.02</v>
      </c>
      <c r="AA192" s="506">
        <v>0</v>
      </c>
      <c r="AB192" s="210">
        <v>0</v>
      </c>
      <c r="AC192" s="211"/>
    </row>
    <row r="193" spans="1:29" ht="53.25" customHeight="1" x14ac:dyDescent="0.3">
      <c r="A193" s="441" t="s">
        <v>565</v>
      </c>
      <c r="B193" s="492" t="s">
        <v>15</v>
      </c>
      <c r="C193" s="492" t="s">
        <v>136</v>
      </c>
      <c r="D193" s="492" t="s">
        <v>127</v>
      </c>
      <c r="E193" s="233" t="s">
        <v>1523</v>
      </c>
      <c r="F193" s="492"/>
      <c r="G193" s="492"/>
      <c r="H193" s="492"/>
      <c r="I193" s="492"/>
      <c r="J193" s="492"/>
      <c r="K193" s="492"/>
      <c r="L193" s="492"/>
      <c r="M193" s="492"/>
      <c r="N193" s="492"/>
      <c r="O193" s="492"/>
      <c r="P193" s="492"/>
      <c r="Q193" s="492"/>
      <c r="R193" s="492"/>
      <c r="S193" s="492"/>
      <c r="T193" s="492" t="s">
        <v>275</v>
      </c>
      <c r="U193" s="492"/>
      <c r="V193" s="529"/>
      <c r="W193" s="529"/>
      <c r="X193" s="529"/>
      <c r="Y193" s="578"/>
      <c r="Z193" s="556">
        <f>1000000+2000000+160000+20032.38+101230.64</f>
        <v>3281263.02</v>
      </c>
      <c r="AA193" s="506">
        <v>0</v>
      </c>
      <c r="AB193" s="210">
        <v>0</v>
      </c>
      <c r="AC193" s="211"/>
    </row>
    <row r="194" spans="1:29" ht="36.75" customHeight="1" x14ac:dyDescent="0.3">
      <c r="A194" s="246" t="s">
        <v>149</v>
      </c>
      <c r="B194" s="491" t="s">
        <v>15</v>
      </c>
      <c r="C194" s="491" t="s">
        <v>136</v>
      </c>
      <c r="D194" s="491" t="s">
        <v>129</v>
      </c>
      <c r="E194" s="1120"/>
      <c r="F194" s="491"/>
      <c r="G194" s="491"/>
      <c r="H194" s="491"/>
      <c r="I194" s="491"/>
      <c r="J194" s="491"/>
      <c r="K194" s="491"/>
      <c r="L194" s="491"/>
      <c r="M194" s="491"/>
      <c r="N194" s="491"/>
      <c r="O194" s="491"/>
      <c r="P194" s="491"/>
      <c r="Q194" s="491"/>
      <c r="R194" s="491"/>
      <c r="S194" s="491"/>
      <c r="T194" s="491"/>
      <c r="U194" s="491"/>
      <c r="V194" s="507"/>
      <c r="W194" s="507"/>
      <c r="X194" s="507"/>
      <c r="Y194" s="246" t="s">
        <v>149</v>
      </c>
      <c r="Z194" s="508">
        <f>Z195+Z197+Z201+Z203+Z205+Z207+Z209+Z211+Z213+Z215+Z199</f>
        <v>1330000</v>
      </c>
      <c r="AA194" s="213">
        <f>AA195+AA197+AA201+AA203</f>
        <v>200000</v>
      </c>
      <c r="AB194" s="213">
        <f>AB195+AB197+AB201+AB203</f>
        <v>200000</v>
      </c>
      <c r="AC194" s="288" t="s">
        <v>149</v>
      </c>
    </row>
    <row r="195" spans="1:29" ht="145.5" hidden="1" customHeight="1" x14ac:dyDescent="0.3">
      <c r="A195" s="153" t="s">
        <v>591</v>
      </c>
      <c r="B195" s="161" t="s">
        <v>15</v>
      </c>
      <c r="C195" s="161" t="s">
        <v>136</v>
      </c>
      <c r="D195" s="161" t="s">
        <v>129</v>
      </c>
      <c r="E195" s="230" t="s">
        <v>559</v>
      </c>
      <c r="F195" s="161"/>
      <c r="G195" s="161"/>
      <c r="H195" s="161"/>
      <c r="I195" s="161"/>
      <c r="J195" s="161"/>
      <c r="K195" s="161"/>
      <c r="L195" s="161"/>
      <c r="M195" s="161"/>
      <c r="N195" s="161"/>
      <c r="O195" s="161"/>
      <c r="P195" s="161"/>
      <c r="Q195" s="161"/>
      <c r="R195" s="161"/>
      <c r="S195" s="161"/>
      <c r="T195" s="161"/>
      <c r="U195" s="161"/>
      <c r="V195" s="204"/>
      <c r="W195" s="204"/>
      <c r="X195" s="204"/>
      <c r="Y195" s="153" t="s">
        <v>340</v>
      </c>
      <c r="Z195" s="235">
        <f>Z196</f>
        <v>0</v>
      </c>
      <c r="AA195" s="235">
        <f>AA196</f>
        <v>0</v>
      </c>
      <c r="AB195" s="235">
        <f>AB196</f>
        <v>0</v>
      </c>
      <c r="AC195" s="558" t="s">
        <v>340</v>
      </c>
    </row>
    <row r="196" spans="1:29" ht="99" hidden="1" customHeight="1" x14ac:dyDescent="0.3">
      <c r="A196" s="135" t="s">
        <v>729</v>
      </c>
      <c r="B196" s="136" t="s">
        <v>15</v>
      </c>
      <c r="C196" s="136" t="s">
        <v>136</v>
      </c>
      <c r="D196" s="136" t="s">
        <v>129</v>
      </c>
      <c r="E196" s="230" t="s">
        <v>559</v>
      </c>
      <c r="F196" s="136"/>
      <c r="G196" s="136"/>
      <c r="H196" s="136"/>
      <c r="I196" s="136"/>
      <c r="J196" s="136"/>
      <c r="K196" s="136"/>
      <c r="L196" s="136"/>
      <c r="M196" s="136"/>
      <c r="N196" s="136"/>
      <c r="O196" s="136"/>
      <c r="P196" s="136"/>
      <c r="Q196" s="136"/>
      <c r="R196" s="136"/>
      <c r="S196" s="136"/>
      <c r="T196" s="136" t="s">
        <v>243</v>
      </c>
      <c r="U196" s="136"/>
      <c r="V196" s="137"/>
      <c r="W196" s="137"/>
      <c r="X196" s="137"/>
      <c r="Y196" s="135" t="s">
        <v>341</v>
      </c>
      <c r="Z196" s="579">
        <v>0</v>
      </c>
      <c r="AA196" s="210">
        <v>0</v>
      </c>
      <c r="AB196" s="210">
        <v>0</v>
      </c>
      <c r="AC196" s="211" t="s">
        <v>341</v>
      </c>
    </row>
    <row r="197" spans="1:29" ht="186.75" customHeight="1" x14ac:dyDescent="0.3">
      <c r="A197" s="153" t="s">
        <v>1239</v>
      </c>
      <c r="B197" s="161" t="s">
        <v>15</v>
      </c>
      <c r="C197" s="161" t="s">
        <v>136</v>
      </c>
      <c r="D197" s="161" t="s">
        <v>129</v>
      </c>
      <c r="E197" s="230" t="s">
        <v>560</v>
      </c>
      <c r="F197" s="161"/>
      <c r="G197" s="161"/>
      <c r="H197" s="161"/>
      <c r="I197" s="161"/>
      <c r="J197" s="161"/>
      <c r="K197" s="161"/>
      <c r="L197" s="161"/>
      <c r="M197" s="161"/>
      <c r="N197" s="161"/>
      <c r="O197" s="161"/>
      <c r="P197" s="161"/>
      <c r="Q197" s="161"/>
      <c r="R197" s="161"/>
      <c r="S197" s="161"/>
      <c r="T197" s="161"/>
      <c r="U197" s="161"/>
      <c r="V197" s="204"/>
      <c r="W197" s="204"/>
      <c r="X197" s="204"/>
      <c r="Y197" s="153" t="s">
        <v>342</v>
      </c>
      <c r="Z197" s="235">
        <f>Z198</f>
        <v>404210.53</v>
      </c>
      <c r="AA197" s="235">
        <f>AA198</f>
        <v>150000</v>
      </c>
      <c r="AB197" s="235">
        <f>AB198</f>
        <v>150000</v>
      </c>
      <c r="AC197" s="558" t="s">
        <v>342</v>
      </c>
    </row>
    <row r="198" spans="1:29" ht="37.5" customHeight="1" x14ac:dyDescent="0.3">
      <c r="A198" s="154" t="s">
        <v>760</v>
      </c>
      <c r="B198" s="136" t="s">
        <v>15</v>
      </c>
      <c r="C198" s="136" t="s">
        <v>136</v>
      </c>
      <c r="D198" s="136" t="s">
        <v>129</v>
      </c>
      <c r="E198" s="230" t="s">
        <v>560</v>
      </c>
      <c r="F198" s="136"/>
      <c r="G198" s="136"/>
      <c r="H198" s="136"/>
      <c r="I198" s="136"/>
      <c r="J198" s="136"/>
      <c r="K198" s="136"/>
      <c r="L198" s="136"/>
      <c r="M198" s="136"/>
      <c r="N198" s="136"/>
      <c r="O198" s="136"/>
      <c r="P198" s="136"/>
      <c r="Q198" s="136"/>
      <c r="R198" s="136"/>
      <c r="S198" s="136"/>
      <c r="T198" s="136" t="s">
        <v>243</v>
      </c>
      <c r="U198" s="136"/>
      <c r="V198" s="137"/>
      <c r="W198" s="137"/>
      <c r="X198" s="137"/>
      <c r="Y198" s="154" t="s">
        <v>343</v>
      </c>
      <c r="Z198" s="264">
        <f>500000+500000-300000-250000-50000+4210.53</f>
        <v>404210.53</v>
      </c>
      <c r="AA198" s="210">
        <v>150000</v>
      </c>
      <c r="AB198" s="210">
        <v>150000</v>
      </c>
      <c r="AC198" s="559" t="s">
        <v>343</v>
      </c>
    </row>
    <row r="199" spans="1:29" ht="189" customHeight="1" x14ac:dyDescent="0.3">
      <c r="A199" s="153" t="s">
        <v>1239</v>
      </c>
      <c r="B199" s="136" t="s">
        <v>15</v>
      </c>
      <c r="C199" s="136" t="s">
        <v>136</v>
      </c>
      <c r="D199" s="136" t="s">
        <v>129</v>
      </c>
      <c r="E199" s="230" t="s">
        <v>1509</v>
      </c>
      <c r="F199" s="136"/>
      <c r="G199" s="136"/>
      <c r="H199" s="136"/>
      <c r="I199" s="136"/>
      <c r="J199" s="136"/>
      <c r="K199" s="136"/>
      <c r="L199" s="136"/>
      <c r="M199" s="136"/>
      <c r="N199" s="136"/>
      <c r="O199" s="136"/>
      <c r="P199" s="136"/>
      <c r="Q199" s="136"/>
      <c r="R199" s="136"/>
      <c r="S199" s="136"/>
      <c r="T199" s="136"/>
      <c r="U199" s="136"/>
      <c r="V199" s="137"/>
      <c r="W199" s="137"/>
      <c r="X199" s="137"/>
      <c r="Y199" s="154"/>
      <c r="Z199" s="264">
        <f>Z200</f>
        <v>915789.47</v>
      </c>
      <c r="AA199" s="210">
        <v>0</v>
      </c>
      <c r="AB199" s="210">
        <v>0</v>
      </c>
      <c r="AC199" s="559"/>
    </row>
    <row r="200" spans="1:29" ht="37.5" customHeight="1" x14ac:dyDescent="0.3">
      <c r="A200" s="154" t="s">
        <v>760</v>
      </c>
      <c r="B200" s="136" t="s">
        <v>15</v>
      </c>
      <c r="C200" s="136" t="s">
        <v>136</v>
      </c>
      <c r="D200" s="136" t="s">
        <v>129</v>
      </c>
      <c r="E200" s="230" t="s">
        <v>1509</v>
      </c>
      <c r="F200" s="136"/>
      <c r="G200" s="136"/>
      <c r="H200" s="136"/>
      <c r="I200" s="136"/>
      <c r="J200" s="136"/>
      <c r="K200" s="136"/>
      <c r="L200" s="136"/>
      <c r="M200" s="136"/>
      <c r="N200" s="136"/>
      <c r="O200" s="136"/>
      <c r="P200" s="136"/>
      <c r="Q200" s="136"/>
      <c r="R200" s="136"/>
      <c r="S200" s="136"/>
      <c r="T200" s="136" t="s">
        <v>243</v>
      </c>
      <c r="U200" s="136"/>
      <c r="V200" s="137"/>
      <c r="W200" s="137"/>
      <c r="X200" s="137"/>
      <c r="Y200" s="154"/>
      <c r="Z200" s="264">
        <f>870000+50000-4210.53</f>
        <v>915789.47</v>
      </c>
      <c r="AA200" s="210">
        <v>0</v>
      </c>
      <c r="AB200" s="210">
        <v>0</v>
      </c>
      <c r="AC200" s="559"/>
    </row>
    <row r="201" spans="1:29" ht="149.25" customHeight="1" x14ac:dyDescent="0.3">
      <c r="A201" s="153" t="s">
        <v>1241</v>
      </c>
      <c r="B201" s="161" t="s">
        <v>15</v>
      </c>
      <c r="C201" s="161" t="s">
        <v>136</v>
      </c>
      <c r="D201" s="161" t="s">
        <v>129</v>
      </c>
      <c r="E201" s="230" t="s">
        <v>561</v>
      </c>
      <c r="F201" s="161"/>
      <c r="G201" s="161"/>
      <c r="H201" s="161"/>
      <c r="I201" s="161"/>
      <c r="J201" s="161"/>
      <c r="K201" s="161"/>
      <c r="L201" s="161"/>
      <c r="M201" s="161"/>
      <c r="N201" s="161"/>
      <c r="O201" s="161"/>
      <c r="P201" s="161"/>
      <c r="Q201" s="161"/>
      <c r="R201" s="161"/>
      <c r="S201" s="161"/>
      <c r="T201" s="161"/>
      <c r="U201" s="161"/>
      <c r="V201" s="204"/>
      <c r="W201" s="204"/>
      <c r="X201" s="204"/>
      <c r="Y201" s="153" t="s">
        <v>344</v>
      </c>
      <c r="Z201" s="263">
        <f>Z202</f>
        <v>10000</v>
      </c>
      <c r="AA201" s="235">
        <f>AA202</f>
        <v>50000</v>
      </c>
      <c r="AB201" s="235">
        <f>AB202</f>
        <v>50000</v>
      </c>
      <c r="AC201" s="558" t="s">
        <v>344</v>
      </c>
    </row>
    <row r="202" spans="1:29" ht="45.6" customHeight="1" x14ac:dyDescent="0.3">
      <c r="A202" s="135" t="s">
        <v>565</v>
      </c>
      <c r="B202" s="136" t="s">
        <v>15</v>
      </c>
      <c r="C202" s="136" t="s">
        <v>136</v>
      </c>
      <c r="D202" s="136" t="s">
        <v>129</v>
      </c>
      <c r="E202" s="230" t="s">
        <v>561</v>
      </c>
      <c r="F202" s="136"/>
      <c r="G202" s="136"/>
      <c r="H202" s="136"/>
      <c r="I202" s="136"/>
      <c r="J202" s="136"/>
      <c r="K202" s="136"/>
      <c r="L202" s="136"/>
      <c r="M202" s="136"/>
      <c r="N202" s="136"/>
      <c r="O202" s="136"/>
      <c r="P202" s="136"/>
      <c r="Q202" s="136"/>
      <c r="R202" s="136"/>
      <c r="S202" s="136"/>
      <c r="T202" s="136" t="s">
        <v>275</v>
      </c>
      <c r="U202" s="136"/>
      <c r="V202" s="137"/>
      <c r="W202" s="137"/>
      <c r="X202" s="137"/>
      <c r="Y202" s="135" t="s">
        <v>345</v>
      </c>
      <c r="Z202" s="264">
        <f>20000-10000</f>
        <v>10000</v>
      </c>
      <c r="AA202" s="210">
        <v>50000</v>
      </c>
      <c r="AB202" s="210">
        <v>50000</v>
      </c>
      <c r="AC202" s="211" t="s">
        <v>345</v>
      </c>
    </row>
    <row r="203" spans="1:29" s="271" customFormat="1" ht="125.25" hidden="1" customHeight="1" x14ac:dyDescent="0.3">
      <c r="A203" s="153" t="s">
        <v>874</v>
      </c>
      <c r="B203" s="136" t="s">
        <v>15</v>
      </c>
      <c r="C203" s="136" t="s">
        <v>136</v>
      </c>
      <c r="D203" s="136" t="s">
        <v>129</v>
      </c>
      <c r="E203" s="230" t="s">
        <v>873</v>
      </c>
      <c r="F203" s="136"/>
      <c r="G203" s="136"/>
      <c r="H203" s="136"/>
      <c r="I203" s="136"/>
      <c r="J203" s="136"/>
      <c r="K203" s="136"/>
      <c r="L203" s="136"/>
      <c r="M203" s="136"/>
      <c r="N203" s="136"/>
      <c r="O203" s="136"/>
      <c r="P203" s="136"/>
      <c r="Q203" s="136"/>
      <c r="R203" s="136"/>
      <c r="S203" s="136"/>
      <c r="T203" s="136"/>
      <c r="U203" s="136"/>
      <c r="V203" s="137"/>
      <c r="W203" s="137"/>
      <c r="X203" s="137"/>
      <c r="Y203" s="135"/>
      <c r="Z203" s="210">
        <f>Z204</f>
        <v>0</v>
      </c>
      <c r="AA203" s="210">
        <f t="shared" ref="AA203:AB203" si="10">AA204</f>
        <v>0</v>
      </c>
      <c r="AB203" s="210">
        <f t="shared" si="10"/>
        <v>0</v>
      </c>
      <c r="AC203" s="561"/>
    </row>
    <row r="204" spans="1:29" s="271" customFormat="1" ht="43.5" hidden="1" customHeight="1" x14ac:dyDescent="0.3">
      <c r="A204" s="135" t="s">
        <v>875</v>
      </c>
      <c r="B204" s="136" t="s">
        <v>15</v>
      </c>
      <c r="C204" s="136" t="s">
        <v>136</v>
      </c>
      <c r="D204" s="136" t="s">
        <v>129</v>
      </c>
      <c r="E204" s="230" t="s">
        <v>873</v>
      </c>
      <c r="F204" s="136"/>
      <c r="G204" s="136"/>
      <c r="H204" s="136"/>
      <c r="I204" s="136"/>
      <c r="J204" s="136"/>
      <c r="K204" s="136"/>
      <c r="L204" s="136"/>
      <c r="M204" s="136"/>
      <c r="N204" s="136"/>
      <c r="O204" s="136"/>
      <c r="P204" s="136"/>
      <c r="Q204" s="136"/>
      <c r="R204" s="136"/>
      <c r="S204" s="136"/>
      <c r="T204" s="136" t="s">
        <v>275</v>
      </c>
      <c r="U204" s="136"/>
      <c r="V204" s="137"/>
      <c r="W204" s="137"/>
      <c r="X204" s="137"/>
      <c r="Y204" s="135"/>
      <c r="Z204" s="210">
        <v>0</v>
      </c>
      <c r="AA204" s="210">
        <v>0</v>
      </c>
      <c r="AB204" s="210">
        <v>0</v>
      </c>
      <c r="AC204" s="561"/>
    </row>
    <row r="205" spans="1:29" s="271" customFormat="1" ht="147.75" customHeight="1" x14ac:dyDescent="0.3">
      <c r="A205" s="763" t="s">
        <v>1478</v>
      </c>
      <c r="B205" s="136" t="s">
        <v>15</v>
      </c>
      <c r="C205" s="136" t="s">
        <v>136</v>
      </c>
      <c r="D205" s="136" t="s">
        <v>129</v>
      </c>
      <c r="E205" s="230" t="s">
        <v>1450</v>
      </c>
      <c r="F205" s="136"/>
      <c r="G205" s="136"/>
      <c r="H205" s="136"/>
      <c r="I205" s="136"/>
      <c r="J205" s="136"/>
      <c r="K205" s="136"/>
      <c r="L205" s="136"/>
      <c r="M205" s="136"/>
      <c r="N205" s="136"/>
      <c r="O205" s="136"/>
      <c r="P205" s="136"/>
      <c r="Q205" s="136"/>
      <c r="R205" s="136"/>
      <c r="S205" s="136"/>
      <c r="T205" s="136"/>
      <c r="U205" s="136"/>
      <c r="V205" s="137"/>
      <c r="W205" s="137"/>
      <c r="X205" s="137"/>
      <c r="Y205" s="135"/>
      <c r="Z205" s="210">
        <f>Z206</f>
        <v>0</v>
      </c>
      <c r="AA205" s="210">
        <v>0</v>
      </c>
      <c r="AB205" s="210">
        <v>0</v>
      </c>
      <c r="AC205" s="561"/>
    </row>
    <row r="206" spans="1:29" s="271" customFormat="1" ht="43.5" customHeight="1" x14ac:dyDescent="0.3">
      <c r="A206" s="154" t="s">
        <v>760</v>
      </c>
      <c r="B206" s="136" t="s">
        <v>15</v>
      </c>
      <c r="C206" s="136" t="s">
        <v>136</v>
      </c>
      <c r="D206" s="136" t="s">
        <v>129</v>
      </c>
      <c r="E206" s="230" t="s">
        <v>1450</v>
      </c>
      <c r="F206" s="136"/>
      <c r="G206" s="136"/>
      <c r="H206" s="136"/>
      <c r="I206" s="136"/>
      <c r="J206" s="136"/>
      <c r="K206" s="136"/>
      <c r="L206" s="136"/>
      <c r="M206" s="136"/>
      <c r="N206" s="136"/>
      <c r="O206" s="136"/>
      <c r="P206" s="136"/>
      <c r="Q206" s="136"/>
      <c r="R206" s="136"/>
      <c r="S206" s="136"/>
      <c r="T206" s="136" t="s">
        <v>243</v>
      </c>
      <c r="U206" s="136"/>
      <c r="V206" s="137"/>
      <c r="W206" s="137"/>
      <c r="X206" s="137"/>
      <c r="Y206" s="135"/>
      <c r="Z206" s="210">
        <f>50000-50000</f>
        <v>0</v>
      </c>
      <c r="AA206" s="210">
        <v>0</v>
      </c>
      <c r="AB206" s="210">
        <v>0</v>
      </c>
      <c r="AC206" s="561"/>
    </row>
    <row r="207" spans="1:29" s="271" customFormat="1" ht="161.25" customHeight="1" x14ac:dyDescent="0.3">
      <c r="A207" s="486" t="s">
        <v>1480</v>
      </c>
      <c r="B207" s="136" t="s">
        <v>15</v>
      </c>
      <c r="C207" s="136" t="s">
        <v>136</v>
      </c>
      <c r="D207" s="136" t="s">
        <v>129</v>
      </c>
      <c r="E207" s="230" t="s">
        <v>1452</v>
      </c>
      <c r="F207" s="136"/>
      <c r="G207" s="136"/>
      <c r="H207" s="136"/>
      <c r="I207" s="136"/>
      <c r="J207" s="136"/>
      <c r="K207" s="136"/>
      <c r="L207" s="136"/>
      <c r="M207" s="136"/>
      <c r="N207" s="136"/>
      <c r="O207" s="136"/>
      <c r="P207" s="136"/>
      <c r="Q207" s="136"/>
      <c r="R207" s="136"/>
      <c r="S207" s="136"/>
      <c r="T207" s="136"/>
      <c r="U207" s="136"/>
      <c r="V207" s="137"/>
      <c r="W207" s="137"/>
      <c r="X207" s="137"/>
      <c r="Y207" s="135"/>
      <c r="Z207" s="210">
        <f>Z208</f>
        <v>0</v>
      </c>
      <c r="AA207" s="210">
        <v>0</v>
      </c>
      <c r="AB207" s="210">
        <v>0</v>
      </c>
      <c r="AC207" s="561"/>
    </row>
    <row r="208" spans="1:29" s="271" customFormat="1" ht="43.5" customHeight="1" x14ac:dyDescent="0.3">
      <c r="A208" s="154" t="s">
        <v>760</v>
      </c>
      <c r="B208" s="136" t="s">
        <v>15</v>
      </c>
      <c r="C208" s="136" t="s">
        <v>136</v>
      </c>
      <c r="D208" s="136" t="s">
        <v>129</v>
      </c>
      <c r="E208" s="230" t="s">
        <v>1452</v>
      </c>
      <c r="F208" s="136"/>
      <c r="G208" s="136"/>
      <c r="H208" s="136"/>
      <c r="I208" s="136"/>
      <c r="J208" s="136"/>
      <c r="K208" s="136"/>
      <c r="L208" s="136"/>
      <c r="M208" s="136"/>
      <c r="N208" s="136"/>
      <c r="O208" s="136"/>
      <c r="P208" s="136"/>
      <c r="Q208" s="136"/>
      <c r="R208" s="136"/>
      <c r="S208" s="136"/>
      <c r="T208" s="136" t="s">
        <v>243</v>
      </c>
      <c r="U208" s="136"/>
      <c r="V208" s="137"/>
      <c r="W208" s="137"/>
      <c r="X208" s="137"/>
      <c r="Y208" s="135"/>
      <c r="Z208" s="210">
        <f>50000-50000</f>
        <v>0</v>
      </c>
      <c r="AA208" s="210">
        <v>0</v>
      </c>
      <c r="AB208" s="210">
        <v>0</v>
      </c>
      <c r="AC208" s="561"/>
    </row>
    <row r="209" spans="1:29" s="271" customFormat="1" ht="117" customHeight="1" x14ac:dyDescent="0.3">
      <c r="A209" s="486" t="s">
        <v>1482</v>
      </c>
      <c r="B209" s="136" t="s">
        <v>15</v>
      </c>
      <c r="C209" s="136" t="s">
        <v>136</v>
      </c>
      <c r="D209" s="136" t="s">
        <v>129</v>
      </c>
      <c r="E209" s="230" t="s">
        <v>1454</v>
      </c>
      <c r="F209" s="136"/>
      <c r="G209" s="136"/>
      <c r="H209" s="136"/>
      <c r="I209" s="136"/>
      <c r="J209" s="136"/>
      <c r="K209" s="136"/>
      <c r="L209" s="136"/>
      <c r="M209" s="136"/>
      <c r="N209" s="136"/>
      <c r="O209" s="136"/>
      <c r="P209" s="136"/>
      <c r="Q209" s="136"/>
      <c r="R209" s="136"/>
      <c r="S209" s="136"/>
      <c r="T209" s="136"/>
      <c r="U209" s="136"/>
      <c r="V209" s="137"/>
      <c r="W209" s="137"/>
      <c r="X209" s="137"/>
      <c r="Y209" s="135"/>
      <c r="Z209" s="210">
        <f>Z210</f>
        <v>0</v>
      </c>
      <c r="AA209" s="210">
        <v>0</v>
      </c>
      <c r="AB209" s="210">
        <v>0</v>
      </c>
      <c r="AC209" s="561"/>
    </row>
    <row r="210" spans="1:29" s="271" customFormat="1" ht="43.5" customHeight="1" x14ac:dyDescent="0.3">
      <c r="A210" s="154" t="s">
        <v>760</v>
      </c>
      <c r="B210" s="136" t="s">
        <v>15</v>
      </c>
      <c r="C210" s="136" t="s">
        <v>136</v>
      </c>
      <c r="D210" s="136" t="s">
        <v>129</v>
      </c>
      <c r="E210" s="230" t="s">
        <v>1454</v>
      </c>
      <c r="F210" s="136"/>
      <c r="G210" s="136"/>
      <c r="H210" s="136"/>
      <c r="I210" s="136"/>
      <c r="J210" s="136"/>
      <c r="K210" s="136"/>
      <c r="L210" s="136"/>
      <c r="M210" s="136"/>
      <c r="N210" s="136"/>
      <c r="O210" s="136"/>
      <c r="P210" s="136"/>
      <c r="Q210" s="136"/>
      <c r="R210" s="136"/>
      <c r="S210" s="136"/>
      <c r="T210" s="136" t="s">
        <v>243</v>
      </c>
      <c r="U210" s="136"/>
      <c r="V210" s="137"/>
      <c r="W210" s="137"/>
      <c r="X210" s="137"/>
      <c r="Y210" s="135"/>
      <c r="Z210" s="210">
        <f>50000-50000</f>
        <v>0</v>
      </c>
      <c r="AA210" s="210">
        <v>0</v>
      </c>
      <c r="AB210" s="210">
        <v>0</v>
      </c>
      <c r="AC210" s="561"/>
    </row>
    <row r="211" spans="1:29" s="271" customFormat="1" ht="127.5" customHeight="1" x14ac:dyDescent="0.3">
      <c r="A211" s="486" t="s">
        <v>1479</v>
      </c>
      <c r="B211" s="136" t="s">
        <v>15</v>
      </c>
      <c r="C211" s="136" t="s">
        <v>136</v>
      </c>
      <c r="D211" s="136" t="s">
        <v>129</v>
      </c>
      <c r="E211" s="230" t="s">
        <v>1456</v>
      </c>
      <c r="F211" s="136"/>
      <c r="G211" s="136"/>
      <c r="H211" s="136"/>
      <c r="I211" s="136"/>
      <c r="J211" s="136"/>
      <c r="K211" s="136"/>
      <c r="L211" s="136"/>
      <c r="M211" s="136"/>
      <c r="N211" s="136"/>
      <c r="O211" s="136"/>
      <c r="P211" s="136"/>
      <c r="Q211" s="136"/>
      <c r="R211" s="136"/>
      <c r="S211" s="136"/>
      <c r="T211" s="136"/>
      <c r="U211" s="136"/>
      <c r="V211" s="137"/>
      <c r="W211" s="137"/>
      <c r="X211" s="137"/>
      <c r="Y211" s="135"/>
      <c r="Z211" s="210">
        <f>Z212</f>
        <v>0</v>
      </c>
      <c r="AA211" s="210">
        <v>0</v>
      </c>
      <c r="AB211" s="210">
        <v>0</v>
      </c>
      <c r="AC211" s="561"/>
    </row>
    <row r="212" spans="1:29" s="271" customFormat="1" ht="43.5" customHeight="1" x14ac:dyDescent="0.3">
      <c r="A212" s="154" t="s">
        <v>760</v>
      </c>
      <c r="B212" s="136" t="s">
        <v>15</v>
      </c>
      <c r="C212" s="136" t="s">
        <v>136</v>
      </c>
      <c r="D212" s="136" t="s">
        <v>129</v>
      </c>
      <c r="E212" s="230" t="s">
        <v>1456</v>
      </c>
      <c r="F212" s="136"/>
      <c r="G212" s="136"/>
      <c r="H212" s="136"/>
      <c r="I212" s="136"/>
      <c r="J212" s="136"/>
      <c r="K212" s="136"/>
      <c r="L212" s="136"/>
      <c r="M212" s="136"/>
      <c r="N212" s="136"/>
      <c r="O212" s="136"/>
      <c r="P212" s="136"/>
      <c r="Q212" s="136"/>
      <c r="R212" s="136"/>
      <c r="S212" s="136"/>
      <c r="T212" s="136" t="s">
        <v>243</v>
      </c>
      <c r="U212" s="136"/>
      <c r="V212" s="137"/>
      <c r="W212" s="137"/>
      <c r="X212" s="137"/>
      <c r="Y212" s="135"/>
      <c r="Z212" s="210">
        <f>50000-50000</f>
        <v>0</v>
      </c>
      <c r="AA212" s="210">
        <v>0</v>
      </c>
      <c r="AB212" s="210">
        <v>0</v>
      </c>
      <c r="AC212" s="561"/>
    </row>
    <row r="213" spans="1:29" s="271" customFormat="1" ht="144" customHeight="1" x14ac:dyDescent="0.3">
      <c r="A213" s="486" t="s">
        <v>1481</v>
      </c>
      <c r="B213" s="136" t="s">
        <v>15</v>
      </c>
      <c r="C213" s="136" t="s">
        <v>136</v>
      </c>
      <c r="D213" s="136" t="s">
        <v>129</v>
      </c>
      <c r="E213" s="230" t="s">
        <v>1458</v>
      </c>
      <c r="F213" s="136"/>
      <c r="G213" s="136"/>
      <c r="H213" s="136"/>
      <c r="I213" s="136"/>
      <c r="J213" s="136"/>
      <c r="K213" s="136"/>
      <c r="L213" s="136"/>
      <c r="M213" s="136"/>
      <c r="N213" s="136"/>
      <c r="O213" s="136"/>
      <c r="P213" s="136"/>
      <c r="Q213" s="136"/>
      <c r="R213" s="136"/>
      <c r="S213" s="136"/>
      <c r="T213" s="136"/>
      <c r="U213" s="136"/>
      <c r="V213" s="137"/>
      <c r="W213" s="137"/>
      <c r="X213" s="137"/>
      <c r="Y213" s="135"/>
      <c r="Z213" s="210">
        <f>Z214</f>
        <v>0</v>
      </c>
      <c r="AA213" s="210">
        <v>0</v>
      </c>
      <c r="AB213" s="210">
        <v>0</v>
      </c>
      <c r="AC213" s="561"/>
    </row>
    <row r="214" spans="1:29" s="271" customFormat="1" ht="43.5" customHeight="1" x14ac:dyDescent="0.3">
      <c r="A214" s="749" t="s">
        <v>760</v>
      </c>
      <c r="B214" s="136" t="s">
        <v>15</v>
      </c>
      <c r="C214" s="136" t="s">
        <v>136</v>
      </c>
      <c r="D214" s="136" t="s">
        <v>129</v>
      </c>
      <c r="E214" s="230" t="s">
        <v>1458</v>
      </c>
      <c r="F214" s="136"/>
      <c r="G214" s="136"/>
      <c r="H214" s="136"/>
      <c r="I214" s="136"/>
      <c r="J214" s="136"/>
      <c r="K214" s="136"/>
      <c r="L214" s="136"/>
      <c r="M214" s="136"/>
      <c r="N214" s="136"/>
      <c r="O214" s="136"/>
      <c r="P214" s="136"/>
      <c r="Q214" s="136"/>
      <c r="R214" s="136"/>
      <c r="S214" s="136"/>
      <c r="T214" s="136" t="s">
        <v>243</v>
      </c>
      <c r="U214" s="136"/>
      <c r="V214" s="137"/>
      <c r="W214" s="137"/>
      <c r="X214" s="137"/>
      <c r="Y214" s="135"/>
      <c r="Z214" s="210">
        <f>50000-50000</f>
        <v>0</v>
      </c>
      <c r="AA214" s="210">
        <v>0</v>
      </c>
      <c r="AB214" s="210">
        <v>0</v>
      </c>
      <c r="AC214" s="561"/>
    </row>
    <row r="215" spans="1:29" s="271" customFormat="1" ht="202.5" customHeight="1" x14ac:dyDescent="0.3">
      <c r="A215" s="867" t="s">
        <v>1483</v>
      </c>
      <c r="B215" s="245" t="s">
        <v>15</v>
      </c>
      <c r="C215" s="136" t="s">
        <v>136</v>
      </c>
      <c r="D215" s="136" t="s">
        <v>129</v>
      </c>
      <c r="E215" s="230" t="s">
        <v>1460</v>
      </c>
      <c r="F215" s="136"/>
      <c r="G215" s="136"/>
      <c r="H215" s="136"/>
      <c r="I215" s="136"/>
      <c r="J215" s="136"/>
      <c r="K215" s="136"/>
      <c r="L215" s="136"/>
      <c r="M215" s="136"/>
      <c r="N215" s="136"/>
      <c r="O215" s="136"/>
      <c r="P215" s="136"/>
      <c r="Q215" s="136"/>
      <c r="R215" s="136"/>
      <c r="S215" s="136"/>
      <c r="T215" s="136"/>
      <c r="U215" s="136"/>
      <c r="V215" s="137"/>
      <c r="W215" s="137"/>
      <c r="X215" s="137"/>
      <c r="Y215" s="135"/>
      <c r="Z215" s="210">
        <f>Z216</f>
        <v>0</v>
      </c>
      <c r="AA215" s="210">
        <v>0</v>
      </c>
      <c r="AB215" s="210">
        <v>0</v>
      </c>
      <c r="AC215" s="561"/>
    </row>
    <row r="216" spans="1:29" s="271" customFormat="1" ht="43.5" customHeight="1" x14ac:dyDescent="0.3">
      <c r="A216" s="890" t="s">
        <v>760</v>
      </c>
      <c r="B216" s="136" t="s">
        <v>15</v>
      </c>
      <c r="C216" s="136" t="s">
        <v>136</v>
      </c>
      <c r="D216" s="136" t="s">
        <v>129</v>
      </c>
      <c r="E216" s="230" t="s">
        <v>1460</v>
      </c>
      <c r="F216" s="136"/>
      <c r="G216" s="136"/>
      <c r="H216" s="136"/>
      <c r="I216" s="136"/>
      <c r="J216" s="136"/>
      <c r="K216" s="136"/>
      <c r="L216" s="136"/>
      <c r="M216" s="136"/>
      <c r="N216" s="136"/>
      <c r="O216" s="136"/>
      <c r="P216" s="136"/>
      <c r="Q216" s="136"/>
      <c r="R216" s="136"/>
      <c r="S216" s="136"/>
      <c r="T216" s="136" t="s">
        <v>243</v>
      </c>
      <c r="U216" s="136"/>
      <c r="V216" s="137"/>
      <c r="W216" s="137"/>
      <c r="X216" s="137"/>
      <c r="Y216" s="135"/>
      <c r="Z216" s="210">
        <f>50000-50000</f>
        <v>0</v>
      </c>
      <c r="AA216" s="210">
        <v>0</v>
      </c>
      <c r="AB216" s="210">
        <v>0</v>
      </c>
      <c r="AC216" s="561"/>
    </row>
    <row r="217" spans="1:29" ht="37.15" customHeight="1" x14ac:dyDescent="0.3">
      <c r="A217" s="159" t="s">
        <v>347</v>
      </c>
      <c r="B217" s="160" t="s">
        <v>15</v>
      </c>
      <c r="C217" s="160" t="s">
        <v>124</v>
      </c>
      <c r="D217" s="160" t="s">
        <v>133</v>
      </c>
      <c r="E217" s="139"/>
      <c r="F217" s="160"/>
      <c r="G217" s="160"/>
      <c r="H217" s="160"/>
      <c r="I217" s="160"/>
      <c r="J217" s="160"/>
      <c r="K217" s="160"/>
      <c r="L217" s="160"/>
      <c r="M217" s="160"/>
      <c r="N217" s="160"/>
      <c r="O217" s="160"/>
      <c r="P217" s="160"/>
      <c r="Q217" s="160"/>
      <c r="R217" s="160"/>
      <c r="S217" s="160"/>
      <c r="T217" s="160"/>
      <c r="U217" s="160"/>
      <c r="V217" s="212"/>
      <c r="W217" s="212"/>
      <c r="X217" s="212"/>
      <c r="Y217" s="159" t="s">
        <v>347</v>
      </c>
      <c r="Z217" s="213">
        <f>Z218+Z235+Z244</f>
        <v>161494806.41</v>
      </c>
      <c r="AA217" s="213">
        <f>AA218+AA235+AA244</f>
        <v>71599041.829999998</v>
      </c>
      <c r="AB217" s="213">
        <f>AB218+AB235+AB244</f>
        <v>71599041.829999998</v>
      </c>
      <c r="AC217" s="288" t="s">
        <v>347</v>
      </c>
    </row>
    <row r="218" spans="1:29" ht="18" customHeight="1" x14ac:dyDescent="0.3">
      <c r="A218" s="159" t="s">
        <v>150</v>
      </c>
      <c r="B218" s="160" t="s">
        <v>15</v>
      </c>
      <c r="C218" s="160" t="s">
        <v>124</v>
      </c>
      <c r="D218" s="160" t="s">
        <v>122</v>
      </c>
      <c r="E218" s="139"/>
      <c r="F218" s="160"/>
      <c r="G218" s="160"/>
      <c r="H218" s="160"/>
      <c r="I218" s="160"/>
      <c r="J218" s="160"/>
      <c r="K218" s="160"/>
      <c r="L218" s="160"/>
      <c r="M218" s="160"/>
      <c r="N218" s="160"/>
      <c r="O218" s="160"/>
      <c r="P218" s="160"/>
      <c r="Q218" s="160"/>
      <c r="R218" s="160"/>
      <c r="S218" s="160"/>
      <c r="T218" s="160"/>
      <c r="U218" s="160"/>
      <c r="V218" s="212"/>
      <c r="W218" s="212"/>
      <c r="X218" s="212"/>
      <c r="Y218" s="159" t="s">
        <v>150</v>
      </c>
      <c r="Z218" s="213">
        <f>Z221+Z223+Z233+Z219+Z225+Z231+Z227+Z229</f>
        <v>37627048.609999999</v>
      </c>
      <c r="AA218" s="213">
        <f>AA221+AA223+AA233+AA219+AA225+AA231</f>
        <v>10000000</v>
      </c>
      <c r="AB218" s="213">
        <f>AB221+AB223+AB233+AB219+AB225+AB231</f>
        <v>10000000</v>
      </c>
      <c r="AC218" s="288" t="s">
        <v>150</v>
      </c>
    </row>
    <row r="219" spans="1:29" ht="0.75" hidden="1" customHeight="1" x14ac:dyDescent="0.3">
      <c r="A219" s="486" t="s">
        <v>734</v>
      </c>
      <c r="B219" s="161" t="s">
        <v>15</v>
      </c>
      <c r="C219" s="161" t="s">
        <v>124</v>
      </c>
      <c r="D219" s="161" t="s">
        <v>122</v>
      </c>
      <c r="E219" s="230" t="s">
        <v>736</v>
      </c>
      <c r="F219" s="160"/>
      <c r="G219" s="160"/>
      <c r="H219" s="160"/>
      <c r="I219" s="160"/>
      <c r="J219" s="160"/>
      <c r="K219" s="160"/>
      <c r="L219" s="160"/>
      <c r="M219" s="160"/>
      <c r="N219" s="160"/>
      <c r="O219" s="160"/>
      <c r="P219" s="160"/>
      <c r="Q219" s="160"/>
      <c r="R219" s="160"/>
      <c r="S219" s="160"/>
      <c r="T219" s="160"/>
      <c r="U219" s="160"/>
      <c r="V219" s="212"/>
      <c r="W219" s="212"/>
      <c r="X219" s="212"/>
      <c r="Y219" s="159"/>
      <c r="Z219" s="235">
        <f>Z220</f>
        <v>0</v>
      </c>
      <c r="AA219" s="235">
        <f>AA220</f>
        <v>0</v>
      </c>
      <c r="AB219" s="235">
        <f>AB220</f>
        <v>0</v>
      </c>
      <c r="AC219" s="288"/>
    </row>
    <row r="220" spans="1:29" ht="64.5" hidden="1" customHeight="1" x14ac:dyDescent="0.3">
      <c r="A220" s="153" t="s">
        <v>735</v>
      </c>
      <c r="B220" s="136" t="s">
        <v>15</v>
      </c>
      <c r="C220" s="136" t="s">
        <v>124</v>
      </c>
      <c r="D220" s="136" t="s">
        <v>122</v>
      </c>
      <c r="E220" s="230" t="s">
        <v>736</v>
      </c>
      <c r="F220" s="160"/>
      <c r="G220" s="160"/>
      <c r="H220" s="160"/>
      <c r="I220" s="160"/>
      <c r="J220" s="160"/>
      <c r="K220" s="160"/>
      <c r="L220" s="160"/>
      <c r="M220" s="160"/>
      <c r="N220" s="160"/>
      <c r="O220" s="160"/>
      <c r="P220" s="160"/>
      <c r="Q220" s="160"/>
      <c r="R220" s="160"/>
      <c r="S220" s="160"/>
      <c r="T220" s="161" t="s">
        <v>275</v>
      </c>
      <c r="U220" s="160"/>
      <c r="V220" s="212"/>
      <c r="W220" s="212"/>
      <c r="X220" s="212"/>
      <c r="Y220" s="159"/>
      <c r="Z220" s="235">
        <v>0</v>
      </c>
      <c r="AA220" s="235">
        <v>0</v>
      </c>
      <c r="AB220" s="235">
        <v>0</v>
      </c>
      <c r="AC220" s="288"/>
    </row>
    <row r="221" spans="1:29" ht="161.44999999999999" customHeight="1" x14ac:dyDescent="0.3">
      <c r="A221" s="153" t="s">
        <v>1398</v>
      </c>
      <c r="B221" s="161" t="s">
        <v>15</v>
      </c>
      <c r="C221" s="161" t="s">
        <v>124</v>
      </c>
      <c r="D221" s="161" t="s">
        <v>122</v>
      </c>
      <c r="E221" s="230" t="s">
        <v>1041</v>
      </c>
      <c r="F221" s="161"/>
      <c r="G221" s="161"/>
      <c r="H221" s="161"/>
      <c r="I221" s="161"/>
      <c r="J221" s="161"/>
      <c r="K221" s="161"/>
      <c r="L221" s="161"/>
      <c r="M221" s="161"/>
      <c r="N221" s="161"/>
      <c r="O221" s="161"/>
      <c r="P221" s="161"/>
      <c r="Q221" s="161"/>
      <c r="R221" s="161"/>
      <c r="S221" s="161"/>
      <c r="T221" s="161"/>
      <c r="U221" s="161"/>
      <c r="V221" s="204"/>
      <c r="W221" s="204"/>
      <c r="X221" s="204"/>
      <c r="Y221" s="153" t="s">
        <v>348</v>
      </c>
      <c r="Z221" s="235">
        <f>Z222</f>
        <v>183013.83000000002</v>
      </c>
      <c r="AA221" s="235">
        <f>AA222</f>
        <v>0</v>
      </c>
      <c r="AB221" s="235">
        <f>AB222</f>
        <v>0</v>
      </c>
      <c r="AC221" s="558" t="s">
        <v>348</v>
      </c>
    </row>
    <row r="222" spans="1:29" ht="54.75" customHeight="1" x14ac:dyDescent="0.3">
      <c r="A222" s="1123" t="s">
        <v>565</v>
      </c>
      <c r="B222" s="1016" t="s">
        <v>15</v>
      </c>
      <c r="C222" s="1016" t="s">
        <v>124</v>
      </c>
      <c r="D222" s="1016" t="s">
        <v>122</v>
      </c>
      <c r="E222" s="1015" t="s">
        <v>1041</v>
      </c>
      <c r="F222" s="1016"/>
      <c r="G222" s="1016"/>
      <c r="H222" s="1016"/>
      <c r="I222" s="1016"/>
      <c r="J222" s="1016"/>
      <c r="K222" s="1016"/>
      <c r="L222" s="1016"/>
      <c r="M222" s="1016"/>
      <c r="N222" s="1016"/>
      <c r="O222" s="1016"/>
      <c r="P222" s="1016"/>
      <c r="Q222" s="1016"/>
      <c r="R222" s="1016"/>
      <c r="S222" s="1016"/>
      <c r="T222" s="1016" t="s">
        <v>275</v>
      </c>
      <c r="U222" s="1016"/>
      <c r="V222" s="1017"/>
      <c r="W222" s="1017"/>
      <c r="X222" s="1017"/>
      <c r="Y222" s="1013" t="s">
        <v>349</v>
      </c>
      <c r="Z222" s="1019">
        <f>2000000-2000000+95000+11713.83+67800+8500</f>
        <v>183013.83000000002</v>
      </c>
      <c r="AA222" s="210">
        <f>500000-500000</f>
        <v>0</v>
      </c>
      <c r="AB222" s="210">
        <f>500000-500000</f>
        <v>0</v>
      </c>
      <c r="AC222" s="211" t="s">
        <v>349</v>
      </c>
    </row>
    <row r="223" spans="1:29" ht="0.75" hidden="1" customHeight="1" x14ac:dyDescent="0.3">
      <c r="A223" s="467" t="s">
        <v>734</v>
      </c>
      <c r="B223" s="148" t="s">
        <v>15</v>
      </c>
      <c r="C223" s="148" t="s">
        <v>124</v>
      </c>
      <c r="D223" s="148" t="s">
        <v>122</v>
      </c>
      <c r="E223" s="233" t="s">
        <v>983</v>
      </c>
      <c r="F223" s="148"/>
      <c r="G223" s="148"/>
      <c r="H223" s="148"/>
      <c r="I223" s="148"/>
      <c r="J223" s="148"/>
      <c r="K223" s="148"/>
      <c r="L223" s="148"/>
      <c r="M223" s="148"/>
      <c r="N223" s="148"/>
      <c r="O223" s="148"/>
      <c r="P223" s="148"/>
      <c r="Q223" s="148"/>
      <c r="R223" s="148"/>
      <c r="S223" s="148"/>
      <c r="T223" s="148"/>
      <c r="U223" s="136"/>
      <c r="V223" s="137"/>
      <c r="W223" s="137"/>
      <c r="X223" s="137"/>
      <c r="Y223" s="135"/>
      <c r="Z223" s="210">
        <f>Z224</f>
        <v>0</v>
      </c>
      <c r="AA223" s="210">
        <f>AA224</f>
        <v>0</v>
      </c>
      <c r="AB223" s="210">
        <f>AB224</f>
        <v>0</v>
      </c>
      <c r="AC223" s="211"/>
    </row>
    <row r="224" spans="1:29" ht="48.75" hidden="1" customHeight="1" x14ac:dyDescent="0.3">
      <c r="A224" s="467" t="s">
        <v>735</v>
      </c>
      <c r="B224" s="148" t="s">
        <v>15</v>
      </c>
      <c r="C224" s="148" t="s">
        <v>124</v>
      </c>
      <c r="D224" s="148" t="s">
        <v>122</v>
      </c>
      <c r="E224" s="233" t="s">
        <v>983</v>
      </c>
      <c r="F224" s="148"/>
      <c r="G224" s="148"/>
      <c r="H224" s="148"/>
      <c r="I224" s="148"/>
      <c r="J224" s="148"/>
      <c r="K224" s="148"/>
      <c r="L224" s="148"/>
      <c r="M224" s="148"/>
      <c r="N224" s="148"/>
      <c r="O224" s="148"/>
      <c r="P224" s="148"/>
      <c r="Q224" s="148"/>
      <c r="R224" s="148"/>
      <c r="S224" s="148"/>
      <c r="T224" s="148" t="s">
        <v>275</v>
      </c>
      <c r="U224" s="136"/>
      <c r="V224" s="137"/>
      <c r="W224" s="137"/>
      <c r="X224" s="137"/>
      <c r="Y224" s="135"/>
      <c r="Z224" s="210">
        <v>0</v>
      </c>
      <c r="AA224" s="210">
        <v>0</v>
      </c>
      <c r="AB224" s="210">
        <v>0</v>
      </c>
      <c r="AC224" s="211"/>
    </row>
    <row r="225" spans="1:29" ht="209.25" customHeight="1" x14ac:dyDescent="0.3">
      <c r="A225" s="153" t="s">
        <v>1399</v>
      </c>
      <c r="B225" s="161" t="s">
        <v>15</v>
      </c>
      <c r="C225" s="161" t="s">
        <v>124</v>
      </c>
      <c r="D225" s="161" t="s">
        <v>122</v>
      </c>
      <c r="E225" s="230" t="s">
        <v>564</v>
      </c>
      <c r="F225" s="161"/>
      <c r="G225" s="161"/>
      <c r="H225" s="161"/>
      <c r="I225" s="161"/>
      <c r="J225" s="161"/>
      <c r="K225" s="161"/>
      <c r="L225" s="161"/>
      <c r="M225" s="161"/>
      <c r="N225" s="161"/>
      <c r="O225" s="161"/>
      <c r="P225" s="161"/>
      <c r="Q225" s="161"/>
      <c r="R225" s="161"/>
      <c r="S225" s="161"/>
      <c r="T225" s="161"/>
      <c r="U225" s="161"/>
      <c r="V225" s="204"/>
      <c r="W225" s="204"/>
      <c r="X225" s="204"/>
      <c r="Y225" s="153" t="s">
        <v>348</v>
      </c>
      <c r="Z225" s="235">
        <f>Z226</f>
        <v>12311198.02</v>
      </c>
      <c r="AA225" s="235">
        <f>AA226</f>
        <v>0</v>
      </c>
      <c r="AB225" s="235">
        <f>AB226</f>
        <v>0</v>
      </c>
      <c r="AC225" s="211"/>
    </row>
    <row r="226" spans="1:29" ht="53.45" customHeight="1" x14ac:dyDescent="0.3">
      <c r="A226" s="162" t="s">
        <v>757</v>
      </c>
      <c r="B226" s="163" t="s">
        <v>15</v>
      </c>
      <c r="C226" s="163" t="s">
        <v>124</v>
      </c>
      <c r="D226" s="163" t="s">
        <v>122</v>
      </c>
      <c r="E226" s="244" t="s">
        <v>564</v>
      </c>
      <c r="F226" s="163"/>
      <c r="G226" s="163"/>
      <c r="H226" s="163"/>
      <c r="I226" s="163"/>
      <c r="J226" s="163"/>
      <c r="K226" s="163"/>
      <c r="L226" s="163"/>
      <c r="M226" s="163"/>
      <c r="N226" s="163"/>
      <c r="O226" s="163"/>
      <c r="P226" s="163"/>
      <c r="Q226" s="163"/>
      <c r="R226" s="163"/>
      <c r="S226" s="163"/>
      <c r="T226" s="163" t="s">
        <v>350</v>
      </c>
      <c r="U226" s="163"/>
      <c r="V226" s="527"/>
      <c r="W226" s="527"/>
      <c r="X226" s="527"/>
      <c r="Y226" s="162" t="s">
        <v>349</v>
      </c>
      <c r="Z226" s="755">
        <f>5177262.72+7133935.3</f>
        <v>12311198.02</v>
      </c>
      <c r="AA226" s="210">
        <v>0</v>
      </c>
      <c r="AB226" s="210">
        <v>0</v>
      </c>
      <c r="AC226" s="211"/>
    </row>
    <row r="227" spans="1:29" ht="228.6" customHeight="1" x14ac:dyDescent="0.3">
      <c r="A227" s="896" t="s">
        <v>1434</v>
      </c>
      <c r="B227" s="503" t="s">
        <v>15</v>
      </c>
      <c r="C227" s="503" t="s">
        <v>124</v>
      </c>
      <c r="D227" s="503" t="s">
        <v>122</v>
      </c>
      <c r="E227" s="233" t="s">
        <v>1435</v>
      </c>
      <c r="F227" s="503"/>
      <c r="G227" s="503"/>
      <c r="H227" s="503"/>
      <c r="I227" s="503"/>
      <c r="J227" s="503"/>
      <c r="K227" s="503"/>
      <c r="L227" s="503"/>
      <c r="M227" s="503"/>
      <c r="N227" s="503"/>
      <c r="O227" s="503"/>
      <c r="P227" s="503"/>
      <c r="Q227" s="503"/>
      <c r="R227" s="503"/>
      <c r="S227" s="503"/>
      <c r="T227" s="503"/>
      <c r="U227" s="740"/>
      <c r="V227" s="741"/>
      <c r="W227" s="741"/>
      <c r="X227" s="741"/>
      <c r="Y227" s="742"/>
      <c r="Z227" s="743">
        <f>Z228</f>
        <v>0</v>
      </c>
      <c r="AA227" s="506">
        <v>0</v>
      </c>
      <c r="AB227" s="210">
        <v>0</v>
      </c>
      <c r="AC227" s="211"/>
    </row>
    <row r="228" spans="1:29" ht="68.25" customHeight="1" x14ac:dyDescent="0.3">
      <c r="A228" s="892" t="s">
        <v>757</v>
      </c>
      <c r="B228" s="510" t="s">
        <v>15</v>
      </c>
      <c r="C228" s="510" t="s">
        <v>124</v>
      </c>
      <c r="D228" s="510" t="s">
        <v>122</v>
      </c>
      <c r="E228" s="543" t="s">
        <v>1435</v>
      </c>
      <c r="F228" s="510"/>
      <c r="G228" s="510"/>
      <c r="H228" s="510"/>
      <c r="I228" s="510"/>
      <c r="J228" s="510"/>
      <c r="K228" s="510"/>
      <c r="L228" s="510"/>
      <c r="M228" s="510"/>
      <c r="N228" s="510"/>
      <c r="O228" s="510"/>
      <c r="P228" s="510"/>
      <c r="Q228" s="510"/>
      <c r="R228" s="510"/>
      <c r="S228" s="510"/>
      <c r="T228" s="510" t="s">
        <v>350</v>
      </c>
      <c r="U228" s="740"/>
      <c r="V228" s="741"/>
      <c r="W228" s="741"/>
      <c r="X228" s="741"/>
      <c r="Y228" s="742"/>
      <c r="Z228" s="877">
        <f>19441179.39-19441179.39</f>
        <v>0</v>
      </c>
      <c r="AA228" s="831">
        <v>0</v>
      </c>
      <c r="AB228" s="210">
        <v>0</v>
      </c>
      <c r="AC228" s="211"/>
    </row>
    <row r="229" spans="1:29" ht="226.15" customHeight="1" x14ac:dyDescent="0.3">
      <c r="A229" s="885" t="s">
        <v>1434</v>
      </c>
      <c r="B229" s="503" t="s">
        <v>15</v>
      </c>
      <c r="C229" s="503" t="s">
        <v>124</v>
      </c>
      <c r="D229" s="503" t="s">
        <v>122</v>
      </c>
      <c r="E229" s="233" t="s">
        <v>756</v>
      </c>
      <c r="F229" s="492"/>
      <c r="G229" s="492"/>
      <c r="H229" s="492"/>
      <c r="I229" s="492"/>
      <c r="J229" s="492"/>
      <c r="K229" s="492"/>
      <c r="L229" s="492"/>
      <c r="M229" s="492"/>
      <c r="N229" s="492"/>
      <c r="O229" s="492"/>
      <c r="P229" s="492"/>
      <c r="Q229" s="492"/>
      <c r="R229" s="492"/>
      <c r="S229" s="492"/>
      <c r="T229" s="492"/>
      <c r="U229" s="832"/>
      <c r="V229" s="833"/>
      <c r="W229" s="833"/>
      <c r="X229" s="833"/>
      <c r="Y229" s="834"/>
      <c r="Z229" s="835">
        <f>Z230</f>
        <v>25132836.760000002</v>
      </c>
      <c r="AA229" s="144"/>
      <c r="AB229" s="506"/>
      <c r="AC229" s="211"/>
    </row>
    <row r="230" spans="1:29" ht="68.25" customHeight="1" x14ac:dyDescent="0.3">
      <c r="A230" s="893" t="s">
        <v>757</v>
      </c>
      <c r="B230" s="492" t="s">
        <v>15</v>
      </c>
      <c r="C230" s="492" t="s">
        <v>124</v>
      </c>
      <c r="D230" s="492" t="s">
        <v>122</v>
      </c>
      <c r="E230" s="233" t="s">
        <v>756</v>
      </c>
      <c r="F230" s="492"/>
      <c r="G230" s="492"/>
      <c r="H230" s="492"/>
      <c r="I230" s="492"/>
      <c r="J230" s="492"/>
      <c r="K230" s="492"/>
      <c r="L230" s="492"/>
      <c r="M230" s="492"/>
      <c r="N230" s="492"/>
      <c r="O230" s="492"/>
      <c r="P230" s="492"/>
      <c r="Q230" s="492"/>
      <c r="R230" s="492"/>
      <c r="S230" s="492"/>
      <c r="T230" s="492" t="s">
        <v>350</v>
      </c>
      <c r="U230" s="832"/>
      <c r="V230" s="833"/>
      <c r="W230" s="833"/>
      <c r="X230" s="833"/>
      <c r="Y230" s="834"/>
      <c r="Z230" s="835">
        <f>19441179.39+5691657.37</f>
        <v>25132836.760000002</v>
      </c>
      <c r="AA230" s="144">
        <v>0</v>
      </c>
      <c r="AB230" s="506">
        <v>0</v>
      </c>
      <c r="AC230" s="211"/>
    </row>
    <row r="231" spans="1:29" ht="205.5" customHeight="1" x14ac:dyDescent="0.3">
      <c r="A231" s="748" t="s">
        <v>1329</v>
      </c>
      <c r="B231" s="492" t="s">
        <v>15</v>
      </c>
      <c r="C231" s="492" t="s">
        <v>124</v>
      </c>
      <c r="D231" s="492" t="s">
        <v>122</v>
      </c>
      <c r="E231" s="233" t="s">
        <v>1106</v>
      </c>
      <c r="F231" s="735"/>
      <c r="G231" s="735"/>
      <c r="H231" s="735"/>
      <c r="I231" s="735"/>
      <c r="J231" s="735"/>
      <c r="K231" s="735"/>
      <c r="L231" s="735"/>
      <c r="M231" s="735"/>
      <c r="N231" s="735"/>
      <c r="O231" s="735"/>
      <c r="P231" s="735"/>
      <c r="Q231" s="735"/>
      <c r="R231" s="735"/>
      <c r="S231" s="735"/>
      <c r="T231" s="735"/>
      <c r="U231" s="736"/>
      <c r="V231" s="737"/>
      <c r="W231" s="737"/>
      <c r="X231" s="737"/>
      <c r="Y231" s="738"/>
      <c r="Z231" s="739">
        <f>Z232</f>
        <v>0</v>
      </c>
      <c r="AA231" s="813">
        <f>AA232</f>
        <v>10000000</v>
      </c>
      <c r="AB231" s="210">
        <f>AB232</f>
        <v>10000000</v>
      </c>
      <c r="AC231" s="211"/>
    </row>
    <row r="232" spans="1:29" ht="68.25" customHeight="1" x14ac:dyDescent="0.3">
      <c r="A232" s="836" t="s">
        <v>757</v>
      </c>
      <c r="B232" s="735" t="s">
        <v>15</v>
      </c>
      <c r="C232" s="735" t="s">
        <v>124</v>
      </c>
      <c r="D232" s="735" t="s">
        <v>122</v>
      </c>
      <c r="E232" s="284" t="s">
        <v>1106</v>
      </c>
      <c r="F232" s="492"/>
      <c r="G232" s="492"/>
      <c r="H232" s="492"/>
      <c r="I232" s="492"/>
      <c r="J232" s="492"/>
      <c r="K232" s="492"/>
      <c r="L232" s="492"/>
      <c r="M232" s="492"/>
      <c r="N232" s="492"/>
      <c r="O232" s="492"/>
      <c r="P232" s="492"/>
      <c r="Q232" s="492"/>
      <c r="R232" s="492"/>
      <c r="S232" s="492"/>
      <c r="T232" s="492" t="s">
        <v>350</v>
      </c>
      <c r="U232" s="245"/>
      <c r="V232" s="137"/>
      <c r="W232" s="137"/>
      <c r="X232" s="137"/>
      <c r="Y232" s="135"/>
      <c r="Z232" s="264">
        <v>0</v>
      </c>
      <c r="AA232" s="210">
        <v>10000000</v>
      </c>
      <c r="AB232" s="210">
        <v>10000000</v>
      </c>
      <c r="AC232" s="211"/>
    </row>
    <row r="233" spans="1:29" ht="37.5" hidden="1" customHeight="1" x14ac:dyDescent="0.3">
      <c r="A233" s="253" t="s">
        <v>990</v>
      </c>
      <c r="B233" s="148" t="s">
        <v>15</v>
      </c>
      <c r="C233" s="148" t="s">
        <v>124</v>
      </c>
      <c r="D233" s="148" t="s">
        <v>122</v>
      </c>
      <c r="E233" s="233" t="s">
        <v>756</v>
      </c>
      <c r="F233" s="148"/>
      <c r="G233" s="148"/>
      <c r="H233" s="148"/>
      <c r="I233" s="148"/>
      <c r="J233" s="148"/>
      <c r="K233" s="148"/>
      <c r="L233" s="148"/>
      <c r="M233" s="148"/>
      <c r="N233" s="148"/>
      <c r="O233" s="148"/>
      <c r="P233" s="148"/>
      <c r="Q233" s="148"/>
      <c r="R233" s="148"/>
      <c r="S233" s="148"/>
      <c r="T233" s="148"/>
      <c r="U233" s="136"/>
      <c r="V233" s="137"/>
      <c r="W233" s="137"/>
      <c r="X233" s="137"/>
      <c r="Y233" s="135"/>
      <c r="Z233" s="210">
        <f>Z234</f>
        <v>0</v>
      </c>
      <c r="AA233" s="210">
        <f>AA234</f>
        <v>0</v>
      </c>
      <c r="AB233" s="210">
        <f>AB234</f>
        <v>0</v>
      </c>
      <c r="AC233" s="211"/>
    </row>
    <row r="234" spans="1:29" ht="36" hidden="1" customHeight="1" x14ac:dyDescent="0.3">
      <c r="A234" s="287" t="s">
        <v>757</v>
      </c>
      <c r="B234" s="148" t="s">
        <v>15</v>
      </c>
      <c r="C234" s="148" t="s">
        <v>124</v>
      </c>
      <c r="D234" s="148" t="s">
        <v>122</v>
      </c>
      <c r="E234" s="233" t="s">
        <v>756</v>
      </c>
      <c r="F234" s="148"/>
      <c r="G234" s="148"/>
      <c r="H234" s="148"/>
      <c r="I234" s="148"/>
      <c r="J234" s="148"/>
      <c r="K234" s="148"/>
      <c r="L234" s="148"/>
      <c r="M234" s="148"/>
      <c r="N234" s="148"/>
      <c r="O234" s="148"/>
      <c r="P234" s="148"/>
      <c r="Q234" s="148"/>
      <c r="R234" s="148"/>
      <c r="S234" s="148"/>
      <c r="T234" s="148" t="s">
        <v>350</v>
      </c>
      <c r="U234" s="136"/>
      <c r="V234" s="137"/>
      <c r="W234" s="137"/>
      <c r="X234" s="137"/>
      <c r="Y234" s="135"/>
      <c r="Z234" s="210">
        <v>0</v>
      </c>
      <c r="AA234" s="210">
        <v>0</v>
      </c>
      <c r="AB234" s="210">
        <v>0</v>
      </c>
      <c r="AC234" s="211"/>
    </row>
    <row r="235" spans="1:29" ht="34.5" customHeight="1" x14ac:dyDescent="0.3">
      <c r="A235" s="159" t="s">
        <v>151</v>
      </c>
      <c r="B235" s="160" t="s">
        <v>15</v>
      </c>
      <c r="C235" s="160" t="s">
        <v>124</v>
      </c>
      <c r="D235" s="160" t="s">
        <v>132</v>
      </c>
      <c r="E235" s="139"/>
      <c r="F235" s="160"/>
      <c r="G235" s="160"/>
      <c r="H235" s="160"/>
      <c r="I235" s="160"/>
      <c r="J235" s="160"/>
      <c r="K235" s="160"/>
      <c r="L235" s="160"/>
      <c r="M235" s="160"/>
      <c r="N235" s="160"/>
      <c r="O235" s="160"/>
      <c r="P235" s="160"/>
      <c r="Q235" s="160"/>
      <c r="R235" s="160"/>
      <c r="S235" s="160"/>
      <c r="T235" s="160"/>
      <c r="U235" s="160"/>
      <c r="V235" s="212"/>
      <c r="W235" s="212"/>
      <c r="X235" s="212"/>
      <c r="Y235" s="159" t="s">
        <v>151</v>
      </c>
      <c r="Z235" s="213">
        <f>Z236+Z238+Z240+Z242</f>
        <v>119677714.61999999</v>
      </c>
      <c r="AA235" s="213">
        <f>AA236+AA238+AA240</f>
        <v>61149041.829999998</v>
      </c>
      <c r="AB235" s="213">
        <f>AB236+AB238+AB240</f>
        <v>61149041.829999998</v>
      </c>
      <c r="AC235" s="288" t="s">
        <v>151</v>
      </c>
    </row>
    <row r="236" spans="1:29" ht="83.25" hidden="1" customHeight="1" x14ac:dyDescent="0.3">
      <c r="A236" s="153" t="s">
        <v>562</v>
      </c>
      <c r="B236" s="230" t="s">
        <v>15</v>
      </c>
      <c r="C236" s="230" t="s">
        <v>124</v>
      </c>
      <c r="D236" s="230" t="s">
        <v>132</v>
      </c>
      <c r="E236" s="230" t="s">
        <v>563</v>
      </c>
      <c r="F236" s="230"/>
      <c r="G236" s="230"/>
      <c r="H236" s="230"/>
      <c r="I236" s="230"/>
      <c r="J236" s="230"/>
      <c r="K236" s="230"/>
      <c r="L236" s="230"/>
      <c r="M236" s="230"/>
      <c r="N236" s="230"/>
      <c r="O236" s="230"/>
      <c r="P236" s="230"/>
      <c r="Q236" s="230"/>
      <c r="R236" s="230"/>
      <c r="S236" s="230"/>
      <c r="T236" s="230"/>
      <c r="U236" s="160"/>
      <c r="V236" s="212"/>
      <c r="W236" s="212"/>
      <c r="X236" s="212"/>
      <c r="Y236" s="159"/>
      <c r="Z236" s="235">
        <f>Z237</f>
        <v>0</v>
      </c>
      <c r="AA236" s="235">
        <f>AA237</f>
        <v>0</v>
      </c>
      <c r="AB236" s="235">
        <f>AB237</f>
        <v>0</v>
      </c>
      <c r="AC236" s="288"/>
    </row>
    <row r="237" spans="1:29" ht="108.75" hidden="1" customHeight="1" x14ac:dyDescent="0.3">
      <c r="A237" s="135" t="s">
        <v>730</v>
      </c>
      <c r="B237" s="230" t="s">
        <v>15</v>
      </c>
      <c r="C237" s="230" t="s">
        <v>124</v>
      </c>
      <c r="D237" s="230" t="s">
        <v>132</v>
      </c>
      <c r="E237" s="230" t="s">
        <v>563</v>
      </c>
      <c r="F237" s="230"/>
      <c r="G237" s="230"/>
      <c r="H237" s="230"/>
      <c r="I237" s="230"/>
      <c r="J237" s="230"/>
      <c r="K237" s="230"/>
      <c r="L237" s="230"/>
      <c r="M237" s="230"/>
      <c r="N237" s="230"/>
      <c r="O237" s="230"/>
      <c r="P237" s="230"/>
      <c r="Q237" s="230"/>
      <c r="R237" s="230"/>
      <c r="S237" s="230"/>
      <c r="T237" s="230" t="s">
        <v>275</v>
      </c>
      <c r="U237" s="160"/>
      <c r="V237" s="212"/>
      <c r="W237" s="212"/>
      <c r="X237" s="212"/>
      <c r="Y237" s="159"/>
      <c r="Z237" s="235">
        <f>500000-450000-50000</f>
        <v>0</v>
      </c>
      <c r="AA237" s="235">
        <v>0</v>
      </c>
      <c r="AB237" s="235">
        <v>0</v>
      </c>
      <c r="AC237" s="288"/>
    </row>
    <row r="238" spans="1:29" ht="198.75" customHeight="1" x14ac:dyDescent="0.3">
      <c r="A238" s="153" t="s">
        <v>1284</v>
      </c>
      <c r="B238" s="230" t="s">
        <v>15</v>
      </c>
      <c r="C238" s="230" t="s">
        <v>124</v>
      </c>
      <c r="D238" s="230" t="s">
        <v>132</v>
      </c>
      <c r="E238" s="230" t="s">
        <v>567</v>
      </c>
      <c r="F238" s="230"/>
      <c r="G238" s="230"/>
      <c r="H238" s="230"/>
      <c r="I238" s="230"/>
      <c r="J238" s="230"/>
      <c r="K238" s="230"/>
      <c r="L238" s="230"/>
      <c r="M238" s="230"/>
      <c r="N238" s="230"/>
      <c r="O238" s="230"/>
      <c r="P238" s="230"/>
      <c r="Q238" s="230"/>
      <c r="R238" s="230"/>
      <c r="S238" s="230"/>
      <c r="T238" s="230"/>
      <c r="U238" s="160"/>
      <c r="V238" s="212"/>
      <c r="W238" s="212"/>
      <c r="X238" s="212"/>
      <c r="Y238" s="159"/>
      <c r="Z238" s="235">
        <f>Z239</f>
        <v>9777615.4200000018</v>
      </c>
      <c r="AA238" s="235">
        <f>AA239</f>
        <v>1718956.1900000004</v>
      </c>
      <c r="AB238" s="235">
        <f>AB239</f>
        <v>1718956.1900000004</v>
      </c>
      <c r="AC238" s="288"/>
    </row>
    <row r="239" spans="1:29" ht="58.5" customHeight="1" x14ac:dyDescent="0.3">
      <c r="A239" s="1013" t="s">
        <v>565</v>
      </c>
      <c r="B239" s="1015" t="s">
        <v>15</v>
      </c>
      <c r="C239" s="1015" t="s">
        <v>124</v>
      </c>
      <c r="D239" s="1015" t="s">
        <v>132</v>
      </c>
      <c r="E239" s="1015" t="s">
        <v>567</v>
      </c>
      <c r="F239" s="1015"/>
      <c r="G239" s="1015"/>
      <c r="H239" s="1015"/>
      <c r="I239" s="1015"/>
      <c r="J239" s="1015"/>
      <c r="K239" s="1015"/>
      <c r="L239" s="1015"/>
      <c r="M239" s="1015"/>
      <c r="N239" s="1015"/>
      <c r="O239" s="1015"/>
      <c r="P239" s="1015"/>
      <c r="Q239" s="1015"/>
      <c r="R239" s="1015"/>
      <c r="S239" s="1015"/>
      <c r="T239" s="1015" t="s">
        <v>275</v>
      </c>
      <c r="U239" s="1093"/>
      <c r="V239" s="1094"/>
      <c r="W239" s="1094"/>
      <c r="X239" s="1094"/>
      <c r="Y239" s="1095"/>
      <c r="Z239" s="1069">
        <f>10000000-1013673.27-95000+63426-72000-1455000-1700000-1900000-1500000+2000000-1997.93+80000+250000-176000-178000-288000+1455000+540432.71-500000-190000-737000+21505-58000-58800+4000000+3560+269715+37000+500000+49588.31+250000+5000+150001+25858.6</f>
        <v>9777615.4200000018</v>
      </c>
      <c r="AA239" s="235">
        <f>10000000-8281043.81</f>
        <v>1718956.1900000004</v>
      </c>
      <c r="AB239" s="235">
        <f>10000000-8281043.81</f>
        <v>1718956.1900000004</v>
      </c>
      <c r="AC239" s="288"/>
    </row>
    <row r="240" spans="1:29" ht="280.5" customHeight="1" x14ac:dyDescent="0.3">
      <c r="A240" s="281" t="s">
        <v>1242</v>
      </c>
      <c r="B240" s="161" t="s">
        <v>15</v>
      </c>
      <c r="C240" s="161" t="s">
        <v>124</v>
      </c>
      <c r="D240" s="161" t="s">
        <v>132</v>
      </c>
      <c r="E240" s="230" t="s">
        <v>722</v>
      </c>
      <c r="F240" s="161"/>
      <c r="G240" s="161"/>
      <c r="H240" s="161"/>
      <c r="I240" s="161"/>
      <c r="J240" s="161"/>
      <c r="K240" s="161"/>
      <c r="L240" s="161"/>
      <c r="M240" s="161"/>
      <c r="N240" s="161"/>
      <c r="O240" s="161"/>
      <c r="P240" s="161"/>
      <c r="Q240" s="161"/>
      <c r="R240" s="161"/>
      <c r="S240" s="161"/>
      <c r="T240" s="161"/>
      <c r="U240" s="161"/>
      <c r="V240" s="204"/>
      <c r="W240" s="204"/>
      <c r="X240" s="204"/>
      <c r="Y240" s="155" t="s">
        <v>226</v>
      </c>
      <c r="Z240" s="235">
        <f>Z241</f>
        <v>107044858.99999999</v>
      </c>
      <c r="AA240" s="235">
        <f>AA241</f>
        <v>59430085.640000001</v>
      </c>
      <c r="AB240" s="235">
        <f>AB241</f>
        <v>59430085.640000001</v>
      </c>
      <c r="AC240" s="574" t="s">
        <v>226</v>
      </c>
    </row>
    <row r="241" spans="1:29" ht="33.6" customHeight="1" x14ac:dyDescent="0.3">
      <c r="A241" s="1018" t="s">
        <v>760</v>
      </c>
      <c r="B241" s="1016" t="s">
        <v>15</v>
      </c>
      <c r="C241" s="1016" t="s">
        <v>124</v>
      </c>
      <c r="D241" s="1016" t="s">
        <v>132</v>
      </c>
      <c r="E241" s="1015" t="s">
        <v>722</v>
      </c>
      <c r="F241" s="1016"/>
      <c r="G241" s="1016"/>
      <c r="H241" s="1016"/>
      <c r="I241" s="1016"/>
      <c r="J241" s="1016"/>
      <c r="K241" s="1016"/>
      <c r="L241" s="1016"/>
      <c r="M241" s="1016"/>
      <c r="N241" s="1016"/>
      <c r="O241" s="1016"/>
      <c r="P241" s="1016"/>
      <c r="Q241" s="1016"/>
      <c r="R241" s="1016"/>
      <c r="S241" s="1016"/>
      <c r="T241" s="1016" t="s">
        <v>243</v>
      </c>
      <c r="U241" s="1016"/>
      <c r="V241" s="1017"/>
      <c r="W241" s="1017"/>
      <c r="X241" s="1017"/>
      <c r="Y241" s="1018" t="s">
        <v>351</v>
      </c>
      <c r="Z241" s="1019">
        <f>87107175.22-27680275.22+42.64+8361841.85+10171669.98+3143+15039590.49+7948046.55+4081811.64+2011812.85</f>
        <v>107044858.99999999</v>
      </c>
      <c r="AA241" s="210">
        <f>87107200-24.78-27680275.22+42.64+3143</f>
        <v>59430085.640000001</v>
      </c>
      <c r="AB241" s="210">
        <f>87107200-24.78-27680275.22+42.64+3143</f>
        <v>59430085.640000001</v>
      </c>
      <c r="AC241" s="559" t="s">
        <v>351</v>
      </c>
    </row>
    <row r="242" spans="1:29" ht="76.5" customHeight="1" x14ac:dyDescent="0.3">
      <c r="A242" s="153" t="s">
        <v>1492</v>
      </c>
      <c r="B242" s="136" t="s">
        <v>15</v>
      </c>
      <c r="C242" s="136" t="s">
        <v>124</v>
      </c>
      <c r="D242" s="136" t="s">
        <v>132</v>
      </c>
      <c r="E242" s="230" t="s">
        <v>1485</v>
      </c>
      <c r="F242" s="140"/>
      <c r="G242" s="140"/>
      <c r="H242" s="140"/>
      <c r="I242" s="140"/>
      <c r="J242" s="140"/>
      <c r="K242" s="140"/>
      <c r="L242" s="140"/>
      <c r="M242" s="140"/>
      <c r="N242" s="140"/>
      <c r="O242" s="140"/>
      <c r="P242" s="140"/>
      <c r="Q242" s="140"/>
      <c r="R242" s="140"/>
      <c r="S242" s="140"/>
      <c r="T242" s="140"/>
      <c r="U242" s="136"/>
      <c r="V242" s="137"/>
      <c r="W242" s="137"/>
      <c r="X242" s="137"/>
      <c r="Y242" s="135"/>
      <c r="Z242" s="264">
        <f>Z243</f>
        <v>2855240.2</v>
      </c>
      <c r="AA242" s="210">
        <v>0</v>
      </c>
      <c r="AB242" s="210">
        <v>0</v>
      </c>
      <c r="AC242" s="559"/>
    </row>
    <row r="243" spans="1:29" ht="55.5" customHeight="1" x14ac:dyDescent="0.3">
      <c r="A243" s="1013" t="s">
        <v>565</v>
      </c>
      <c r="B243" s="1016" t="s">
        <v>15</v>
      </c>
      <c r="C243" s="1016" t="s">
        <v>124</v>
      </c>
      <c r="D243" s="1016" t="s">
        <v>132</v>
      </c>
      <c r="E243" s="1015" t="s">
        <v>1485</v>
      </c>
      <c r="F243" s="1014"/>
      <c r="G243" s="1014"/>
      <c r="H243" s="1014"/>
      <c r="I243" s="1014"/>
      <c r="J243" s="1014"/>
      <c r="K243" s="1014"/>
      <c r="L243" s="1014"/>
      <c r="M243" s="1014"/>
      <c r="N243" s="1014"/>
      <c r="O243" s="1014"/>
      <c r="P243" s="1014"/>
      <c r="Q243" s="1014"/>
      <c r="R243" s="1014"/>
      <c r="S243" s="1014"/>
      <c r="T243" s="1014" t="s">
        <v>275</v>
      </c>
      <c r="U243" s="1016"/>
      <c r="V243" s="1017"/>
      <c r="W243" s="1017"/>
      <c r="X243" s="1017"/>
      <c r="Y243" s="1013"/>
      <c r="Z243" s="1070">
        <f>2595672.91+259567.29</f>
        <v>2855240.2</v>
      </c>
      <c r="AA243" s="210">
        <v>0</v>
      </c>
      <c r="AB243" s="210">
        <v>0</v>
      </c>
      <c r="AC243" s="559"/>
    </row>
    <row r="244" spans="1:29" ht="22.5" customHeight="1" x14ac:dyDescent="0.3">
      <c r="A244" s="159" t="s">
        <v>152</v>
      </c>
      <c r="B244" s="160" t="s">
        <v>15</v>
      </c>
      <c r="C244" s="160" t="s">
        <v>124</v>
      </c>
      <c r="D244" s="160" t="s">
        <v>123</v>
      </c>
      <c r="E244" s="139"/>
      <c r="F244" s="160"/>
      <c r="G244" s="160"/>
      <c r="H244" s="160"/>
      <c r="I244" s="160"/>
      <c r="J244" s="160"/>
      <c r="K244" s="160"/>
      <c r="L244" s="160"/>
      <c r="M244" s="160"/>
      <c r="N244" s="160"/>
      <c r="O244" s="160"/>
      <c r="P244" s="160"/>
      <c r="Q244" s="160"/>
      <c r="R244" s="160"/>
      <c r="S244" s="160"/>
      <c r="T244" s="160"/>
      <c r="U244" s="160"/>
      <c r="V244" s="212"/>
      <c r="W244" s="212"/>
      <c r="X244" s="212"/>
      <c r="Y244" s="159" t="s">
        <v>152</v>
      </c>
      <c r="Z244" s="213">
        <f>Z245+Z247+Z249+Z251+Z253+Z255+Z261+Z263+Z257+Z265+Z259</f>
        <v>4190043.18</v>
      </c>
      <c r="AA244" s="213">
        <f>AA245+AA247+AA249+AA251+AA253+AA255+AA261+AA263</f>
        <v>450000</v>
      </c>
      <c r="AB244" s="213">
        <f>AB245+AB247+AB249+AB251+AB253+AB255+AB261+AB263</f>
        <v>450000</v>
      </c>
      <c r="AC244" s="288" t="s">
        <v>152</v>
      </c>
    </row>
    <row r="245" spans="1:29" ht="210" customHeight="1" x14ac:dyDescent="0.3">
      <c r="A245" s="152" t="s">
        <v>1243</v>
      </c>
      <c r="B245" s="230" t="s">
        <v>15</v>
      </c>
      <c r="C245" s="230" t="s">
        <v>124</v>
      </c>
      <c r="D245" s="230" t="s">
        <v>123</v>
      </c>
      <c r="E245" s="230" t="s">
        <v>568</v>
      </c>
      <c r="F245" s="230"/>
      <c r="G245" s="230"/>
      <c r="H245" s="230"/>
      <c r="I245" s="230"/>
      <c r="J245" s="230"/>
      <c r="K245" s="230"/>
      <c r="L245" s="230"/>
      <c r="M245" s="230"/>
      <c r="N245" s="230"/>
      <c r="O245" s="230"/>
      <c r="P245" s="230"/>
      <c r="Q245" s="230"/>
      <c r="R245" s="230"/>
      <c r="S245" s="230"/>
      <c r="T245" s="230"/>
      <c r="U245" s="161"/>
      <c r="V245" s="204"/>
      <c r="W245" s="204"/>
      <c r="X245" s="204"/>
      <c r="Y245" s="153" t="s">
        <v>352</v>
      </c>
      <c r="Z245" s="235">
        <f>Z246</f>
        <v>84095</v>
      </c>
      <c r="AA245" s="235">
        <f>AA246</f>
        <v>200000</v>
      </c>
      <c r="AB245" s="235">
        <f>AB246</f>
        <v>200000</v>
      </c>
      <c r="AC245" s="558" t="s">
        <v>352</v>
      </c>
    </row>
    <row r="246" spans="1:29" ht="57" customHeight="1" x14ac:dyDescent="0.3">
      <c r="A246" s="1013" t="s">
        <v>565</v>
      </c>
      <c r="B246" s="1014" t="s">
        <v>15</v>
      </c>
      <c r="C246" s="1014" t="s">
        <v>124</v>
      </c>
      <c r="D246" s="1014" t="s">
        <v>123</v>
      </c>
      <c r="E246" s="1015" t="s">
        <v>568</v>
      </c>
      <c r="F246" s="1014"/>
      <c r="G246" s="1014"/>
      <c r="H246" s="1014"/>
      <c r="I246" s="1014"/>
      <c r="J246" s="1014"/>
      <c r="K246" s="1014"/>
      <c r="L246" s="1014"/>
      <c r="M246" s="1014"/>
      <c r="N246" s="1014"/>
      <c r="O246" s="1014"/>
      <c r="P246" s="1014"/>
      <c r="Q246" s="1014"/>
      <c r="R246" s="1014"/>
      <c r="S246" s="1014"/>
      <c r="T246" s="1014" t="s">
        <v>275</v>
      </c>
      <c r="U246" s="1016"/>
      <c r="V246" s="1017"/>
      <c r="W246" s="1017"/>
      <c r="X246" s="1017"/>
      <c r="Y246" s="1013" t="s">
        <v>353</v>
      </c>
      <c r="Z246" s="1070">
        <f>800000-400000-316000+95</f>
        <v>84095</v>
      </c>
      <c r="AA246" s="210">
        <v>200000</v>
      </c>
      <c r="AB246" s="210">
        <v>200000</v>
      </c>
      <c r="AC246" s="211" t="s">
        <v>353</v>
      </c>
    </row>
    <row r="247" spans="1:29" ht="103.15" customHeight="1" x14ac:dyDescent="0.3">
      <c r="A247" s="153" t="s">
        <v>1244</v>
      </c>
      <c r="B247" s="230" t="s">
        <v>15</v>
      </c>
      <c r="C247" s="230" t="s">
        <v>124</v>
      </c>
      <c r="D247" s="230" t="s">
        <v>123</v>
      </c>
      <c r="E247" s="230" t="s">
        <v>569</v>
      </c>
      <c r="F247" s="230"/>
      <c r="G247" s="230"/>
      <c r="H247" s="230"/>
      <c r="I247" s="230"/>
      <c r="J247" s="230"/>
      <c r="K247" s="230"/>
      <c r="L247" s="230"/>
      <c r="M247" s="230"/>
      <c r="N247" s="230"/>
      <c r="O247" s="230"/>
      <c r="P247" s="230"/>
      <c r="Q247" s="230"/>
      <c r="R247" s="230"/>
      <c r="S247" s="230"/>
      <c r="T247" s="230"/>
      <c r="U247" s="161"/>
      <c r="V247" s="204"/>
      <c r="W247" s="204"/>
      <c r="X247" s="204"/>
      <c r="Y247" s="153" t="s">
        <v>354</v>
      </c>
      <c r="Z247" s="263">
        <f>Z248</f>
        <v>849.25</v>
      </c>
      <c r="AA247" s="235">
        <f>AA248</f>
        <v>100000</v>
      </c>
      <c r="AB247" s="235">
        <f>AB248</f>
        <v>100000</v>
      </c>
      <c r="AC247" s="558" t="s">
        <v>354</v>
      </c>
    </row>
    <row r="248" spans="1:29" ht="52.5" customHeight="1" x14ac:dyDescent="0.3">
      <c r="A248" s="1013" t="s">
        <v>565</v>
      </c>
      <c r="B248" s="1014" t="s">
        <v>15</v>
      </c>
      <c r="C248" s="1014" t="s">
        <v>124</v>
      </c>
      <c r="D248" s="1014" t="s">
        <v>123</v>
      </c>
      <c r="E248" s="1015" t="s">
        <v>569</v>
      </c>
      <c r="F248" s="1014"/>
      <c r="G248" s="1014"/>
      <c r="H248" s="1014"/>
      <c r="I248" s="1014"/>
      <c r="J248" s="1014"/>
      <c r="K248" s="1014"/>
      <c r="L248" s="1014"/>
      <c r="M248" s="1014"/>
      <c r="N248" s="1014"/>
      <c r="O248" s="1014"/>
      <c r="P248" s="1014"/>
      <c r="Q248" s="1014"/>
      <c r="R248" s="1014"/>
      <c r="S248" s="1014"/>
      <c r="T248" s="1014" t="s">
        <v>275</v>
      </c>
      <c r="U248" s="1016"/>
      <c r="V248" s="1017"/>
      <c r="W248" s="1017"/>
      <c r="X248" s="1017"/>
      <c r="Y248" s="1013" t="s">
        <v>355</v>
      </c>
      <c r="Z248" s="1070">
        <f>1000000-1000000+847.94+1.31</f>
        <v>849.25</v>
      </c>
      <c r="AA248" s="210">
        <v>100000</v>
      </c>
      <c r="AB248" s="210">
        <v>100000</v>
      </c>
      <c r="AC248" s="211" t="s">
        <v>355</v>
      </c>
    </row>
    <row r="249" spans="1:29" ht="39.75" hidden="1" customHeight="1" x14ac:dyDescent="0.3">
      <c r="A249" s="153" t="s">
        <v>571</v>
      </c>
      <c r="B249" s="140" t="s">
        <v>15</v>
      </c>
      <c r="C249" s="140" t="s">
        <v>124</v>
      </c>
      <c r="D249" s="140" t="s">
        <v>123</v>
      </c>
      <c r="E249" s="230" t="s">
        <v>570</v>
      </c>
      <c r="F249" s="140"/>
      <c r="G249" s="140"/>
      <c r="H249" s="140"/>
      <c r="I249" s="140"/>
      <c r="J249" s="140"/>
      <c r="K249" s="140"/>
      <c r="L249" s="140"/>
      <c r="M249" s="140"/>
      <c r="N249" s="140"/>
      <c r="O249" s="140"/>
      <c r="P249" s="140"/>
      <c r="Q249" s="140"/>
      <c r="R249" s="140"/>
      <c r="S249" s="140"/>
      <c r="T249" s="140"/>
      <c r="U249" s="136"/>
      <c r="V249" s="137"/>
      <c r="W249" s="137"/>
      <c r="X249" s="137"/>
      <c r="Y249" s="135"/>
      <c r="Z249" s="210">
        <f>Z250</f>
        <v>0</v>
      </c>
      <c r="AA249" s="210">
        <f>AA250</f>
        <v>0</v>
      </c>
      <c r="AB249" s="210">
        <f>AB250</f>
        <v>0</v>
      </c>
      <c r="AC249" s="211"/>
    </row>
    <row r="250" spans="1:29" ht="36.75" hidden="1" customHeight="1" x14ac:dyDescent="0.3">
      <c r="A250" s="135" t="s">
        <v>571</v>
      </c>
      <c r="B250" s="140" t="s">
        <v>15</v>
      </c>
      <c r="C250" s="140" t="s">
        <v>124</v>
      </c>
      <c r="D250" s="140" t="s">
        <v>123</v>
      </c>
      <c r="E250" s="230" t="s">
        <v>570</v>
      </c>
      <c r="F250" s="140"/>
      <c r="G250" s="140"/>
      <c r="H250" s="140"/>
      <c r="I250" s="140"/>
      <c r="J250" s="140"/>
      <c r="K250" s="140"/>
      <c r="L250" s="140"/>
      <c r="M250" s="140"/>
      <c r="N250" s="140"/>
      <c r="O250" s="140"/>
      <c r="P250" s="140"/>
      <c r="Q250" s="140"/>
      <c r="R250" s="140"/>
      <c r="S250" s="140"/>
      <c r="T250" s="140" t="s">
        <v>275</v>
      </c>
      <c r="U250" s="136"/>
      <c r="V250" s="137"/>
      <c r="W250" s="137"/>
      <c r="X250" s="137"/>
      <c r="Y250" s="135"/>
      <c r="Z250" s="210">
        <v>0</v>
      </c>
      <c r="AA250" s="210">
        <v>0</v>
      </c>
      <c r="AB250" s="210">
        <v>0</v>
      </c>
      <c r="AC250" s="211"/>
    </row>
    <row r="251" spans="1:29" ht="25.5" hidden="1" customHeight="1" x14ac:dyDescent="0.3">
      <c r="A251" s="153" t="s">
        <v>731</v>
      </c>
      <c r="B251" s="230" t="s">
        <v>15</v>
      </c>
      <c r="C251" s="230" t="s">
        <v>124</v>
      </c>
      <c r="D251" s="230" t="s">
        <v>123</v>
      </c>
      <c r="E251" s="230" t="s">
        <v>572</v>
      </c>
      <c r="F251" s="230"/>
      <c r="G251" s="230"/>
      <c r="H251" s="230"/>
      <c r="I251" s="230"/>
      <c r="J251" s="230"/>
      <c r="K251" s="230"/>
      <c r="L251" s="230"/>
      <c r="M251" s="230"/>
      <c r="N251" s="230"/>
      <c r="O251" s="230"/>
      <c r="P251" s="230"/>
      <c r="Q251" s="230"/>
      <c r="R251" s="230"/>
      <c r="S251" s="230"/>
      <c r="T251" s="230"/>
      <c r="U251" s="161"/>
      <c r="V251" s="204"/>
      <c r="W251" s="204"/>
      <c r="X251" s="204"/>
      <c r="Y251" s="153" t="s">
        <v>356</v>
      </c>
      <c r="Z251" s="235">
        <f>Z252</f>
        <v>0</v>
      </c>
      <c r="AA251" s="235">
        <f>AA252</f>
        <v>0</v>
      </c>
      <c r="AB251" s="235">
        <f>AB252</f>
        <v>0</v>
      </c>
      <c r="AC251" s="558" t="s">
        <v>356</v>
      </c>
    </row>
    <row r="252" spans="1:29" ht="49.5" hidden="1" customHeight="1" x14ac:dyDescent="0.3">
      <c r="A252" s="135" t="s">
        <v>357</v>
      </c>
      <c r="B252" s="140" t="s">
        <v>15</v>
      </c>
      <c r="C252" s="140" t="s">
        <v>124</v>
      </c>
      <c r="D252" s="140" t="s">
        <v>123</v>
      </c>
      <c r="E252" s="230" t="s">
        <v>572</v>
      </c>
      <c r="F252" s="140"/>
      <c r="G252" s="140"/>
      <c r="H252" s="140"/>
      <c r="I252" s="140"/>
      <c r="J252" s="140"/>
      <c r="K252" s="140"/>
      <c r="L252" s="140"/>
      <c r="M252" s="140"/>
      <c r="N252" s="140"/>
      <c r="O252" s="140"/>
      <c r="P252" s="140"/>
      <c r="Q252" s="140"/>
      <c r="R252" s="140"/>
      <c r="S252" s="140"/>
      <c r="T252" s="140" t="s">
        <v>275</v>
      </c>
      <c r="U252" s="136"/>
      <c r="V252" s="137"/>
      <c r="W252" s="137"/>
      <c r="X252" s="137"/>
      <c r="Y252" s="135" t="s">
        <v>357</v>
      </c>
      <c r="Z252" s="210">
        <v>0</v>
      </c>
      <c r="AA252" s="210">
        <v>0</v>
      </c>
      <c r="AB252" s="210">
        <v>0</v>
      </c>
      <c r="AC252" s="211" t="s">
        <v>357</v>
      </c>
    </row>
    <row r="253" spans="1:29" ht="72.75" customHeight="1" x14ac:dyDescent="0.3">
      <c r="A253" s="153" t="s">
        <v>1245</v>
      </c>
      <c r="B253" s="140" t="s">
        <v>15</v>
      </c>
      <c r="C253" s="140" t="s">
        <v>124</v>
      </c>
      <c r="D253" s="140" t="s">
        <v>123</v>
      </c>
      <c r="E253" s="230" t="s">
        <v>573</v>
      </c>
      <c r="F253" s="140"/>
      <c r="G253" s="140"/>
      <c r="H253" s="140"/>
      <c r="I253" s="140"/>
      <c r="J253" s="140"/>
      <c r="K253" s="140"/>
      <c r="L253" s="140"/>
      <c r="M253" s="140"/>
      <c r="N253" s="140"/>
      <c r="O253" s="140"/>
      <c r="P253" s="140"/>
      <c r="Q253" s="140"/>
      <c r="R253" s="140"/>
      <c r="S253" s="140"/>
      <c r="T253" s="140"/>
      <c r="U253" s="161"/>
      <c r="V253" s="204"/>
      <c r="W253" s="204"/>
      <c r="X253" s="204"/>
      <c r="Y253" s="153" t="s">
        <v>358</v>
      </c>
      <c r="Z253" s="235">
        <f>Z254</f>
        <v>1749111.1500000001</v>
      </c>
      <c r="AA253" s="235">
        <f>AA254</f>
        <v>50000</v>
      </c>
      <c r="AB253" s="235">
        <f>AB254</f>
        <v>50000</v>
      </c>
      <c r="AC253" s="558" t="s">
        <v>358</v>
      </c>
    </row>
    <row r="254" spans="1:29" ht="54.75" customHeight="1" x14ac:dyDescent="0.3">
      <c r="A254" s="135" t="s">
        <v>565</v>
      </c>
      <c r="B254" s="140" t="s">
        <v>15</v>
      </c>
      <c r="C254" s="140" t="s">
        <v>124</v>
      </c>
      <c r="D254" s="140" t="s">
        <v>123</v>
      </c>
      <c r="E254" s="230" t="s">
        <v>573</v>
      </c>
      <c r="F254" s="140"/>
      <c r="G254" s="140"/>
      <c r="H254" s="140"/>
      <c r="I254" s="140"/>
      <c r="J254" s="140"/>
      <c r="K254" s="140"/>
      <c r="L254" s="140"/>
      <c r="M254" s="140"/>
      <c r="N254" s="140"/>
      <c r="O254" s="140"/>
      <c r="P254" s="140"/>
      <c r="Q254" s="140"/>
      <c r="R254" s="140"/>
      <c r="S254" s="140"/>
      <c r="T254" s="140" t="s">
        <v>275</v>
      </c>
      <c r="U254" s="136"/>
      <c r="V254" s="137"/>
      <c r="W254" s="137"/>
      <c r="X254" s="137"/>
      <c r="Y254" s="135" t="s">
        <v>359</v>
      </c>
      <c r="Z254" s="264">
        <f>1000000+1400000-67000-62886.78-63000-118000-342000-102245.27+102245.27+1997.93</f>
        <v>1749111.1500000001</v>
      </c>
      <c r="AA254" s="210">
        <v>50000</v>
      </c>
      <c r="AB254" s="210">
        <v>50000</v>
      </c>
      <c r="AC254" s="211" t="s">
        <v>359</v>
      </c>
    </row>
    <row r="255" spans="1:29" ht="78" customHeight="1" x14ac:dyDescent="0.3">
      <c r="A255" s="153" t="s">
        <v>1285</v>
      </c>
      <c r="B255" s="230" t="s">
        <v>15</v>
      </c>
      <c r="C255" s="230" t="s">
        <v>124</v>
      </c>
      <c r="D255" s="230" t="s">
        <v>123</v>
      </c>
      <c r="E255" s="230" t="s">
        <v>574</v>
      </c>
      <c r="F255" s="230"/>
      <c r="G255" s="230"/>
      <c r="H255" s="230"/>
      <c r="I255" s="230"/>
      <c r="J255" s="230"/>
      <c r="K255" s="230"/>
      <c r="L255" s="230"/>
      <c r="M255" s="230"/>
      <c r="N255" s="230"/>
      <c r="O255" s="230"/>
      <c r="P255" s="230"/>
      <c r="Q255" s="230"/>
      <c r="R255" s="230"/>
      <c r="S255" s="230"/>
      <c r="T255" s="230"/>
      <c r="U255" s="161"/>
      <c r="V255" s="204"/>
      <c r="W255" s="204"/>
      <c r="X255" s="204"/>
      <c r="Y255" s="153" t="s">
        <v>360</v>
      </c>
      <c r="Z255" s="263">
        <f>Z256</f>
        <v>629830.99</v>
      </c>
      <c r="AA255" s="235">
        <f>AA256</f>
        <v>100000</v>
      </c>
      <c r="AB255" s="235">
        <f>AB256</f>
        <v>100000</v>
      </c>
      <c r="AC255" s="558" t="s">
        <v>360</v>
      </c>
    </row>
    <row r="256" spans="1:29" ht="53.25" customHeight="1" x14ac:dyDescent="0.3">
      <c r="A256" s="1013" t="s">
        <v>565</v>
      </c>
      <c r="B256" s="1014" t="s">
        <v>15</v>
      </c>
      <c r="C256" s="1014" t="s">
        <v>124</v>
      </c>
      <c r="D256" s="1014" t="s">
        <v>123</v>
      </c>
      <c r="E256" s="1015" t="s">
        <v>574</v>
      </c>
      <c r="F256" s="1014"/>
      <c r="G256" s="1014"/>
      <c r="H256" s="1014"/>
      <c r="I256" s="1014"/>
      <c r="J256" s="1014"/>
      <c r="K256" s="1014"/>
      <c r="L256" s="1014"/>
      <c r="M256" s="1014"/>
      <c r="N256" s="1014"/>
      <c r="O256" s="1014"/>
      <c r="P256" s="1014"/>
      <c r="Q256" s="1014"/>
      <c r="R256" s="1014"/>
      <c r="S256" s="1014"/>
      <c r="T256" s="1014" t="s">
        <v>275</v>
      </c>
      <c r="U256" s="1016"/>
      <c r="V256" s="1017"/>
      <c r="W256" s="1017"/>
      <c r="X256" s="1017"/>
      <c r="Y256" s="1013" t="s">
        <v>361</v>
      </c>
      <c r="Z256" s="1070">
        <f>600000+1000000-274000-97000-57000-99687.82-58000-190000-250000+8983.04+2000+250160.45-311550.25-49000-55074.43+210000</f>
        <v>629830.99</v>
      </c>
      <c r="AA256" s="210">
        <v>100000</v>
      </c>
      <c r="AB256" s="210">
        <v>100000</v>
      </c>
      <c r="AC256" s="211" t="s">
        <v>361</v>
      </c>
    </row>
    <row r="257" spans="1:29" ht="68.25" customHeight="1" x14ac:dyDescent="0.3">
      <c r="A257" s="153" t="s">
        <v>1419</v>
      </c>
      <c r="B257" s="140" t="s">
        <v>15</v>
      </c>
      <c r="C257" s="140" t="s">
        <v>124</v>
      </c>
      <c r="D257" s="140" t="s">
        <v>123</v>
      </c>
      <c r="E257" s="230" t="s">
        <v>1420</v>
      </c>
      <c r="F257" s="140"/>
      <c r="G257" s="140"/>
      <c r="H257" s="140"/>
      <c r="I257" s="140"/>
      <c r="J257" s="140"/>
      <c r="K257" s="140"/>
      <c r="L257" s="140"/>
      <c r="M257" s="140"/>
      <c r="N257" s="140"/>
      <c r="O257" s="140"/>
      <c r="P257" s="140"/>
      <c r="Q257" s="140"/>
      <c r="R257" s="140"/>
      <c r="S257" s="140"/>
      <c r="T257" s="140"/>
      <c r="U257" s="136"/>
      <c r="V257" s="137"/>
      <c r="W257" s="137"/>
      <c r="X257" s="137"/>
      <c r="Y257" s="135"/>
      <c r="Z257" s="264">
        <f>Z258</f>
        <v>0</v>
      </c>
      <c r="AA257" s="210">
        <v>0</v>
      </c>
      <c r="AB257" s="210">
        <v>0</v>
      </c>
      <c r="AC257" s="211"/>
    </row>
    <row r="258" spans="1:29" ht="65.25" customHeight="1" x14ac:dyDescent="0.3">
      <c r="A258" s="135" t="s">
        <v>565</v>
      </c>
      <c r="B258" s="140" t="s">
        <v>15</v>
      </c>
      <c r="C258" s="140" t="s">
        <v>124</v>
      </c>
      <c r="D258" s="140" t="s">
        <v>123</v>
      </c>
      <c r="E258" s="230" t="s">
        <v>1420</v>
      </c>
      <c r="F258" s="140"/>
      <c r="G258" s="140"/>
      <c r="H258" s="140"/>
      <c r="I258" s="140"/>
      <c r="J258" s="140"/>
      <c r="K258" s="140"/>
      <c r="L258" s="140"/>
      <c r="M258" s="140"/>
      <c r="N258" s="140"/>
      <c r="O258" s="140"/>
      <c r="P258" s="140"/>
      <c r="Q258" s="140"/>
      <c r="R258" s="140"/>
      <c r="S258" s="140"/>
      <c r="T258" s="140" t="s">
        <v>275</v>
      </c>
      <c r="U258" s="136"/>
      <c r="V258" s="137"/>
      <c r="W258" s="137"/>
      <c r="X258" s="137"/>
      <c r="Y258" s="135"/>
      <c r="Z258" s="264">
        <f>1000000-259567.29-200000-540432.71</f>
        <v>0</v>
      </c>
      <c r="AA258" s="210">
        <v>0</v>
      </c>
      <c r="AB258" s="210">
        <v>0</v>
      </c>
      <c r="AC258" s="211"/>
    </row>
    <row r="259" spans="1:29" ht="68.45" customHeight="1" x14ac:dyDescent="0.3">
      <c r="A259" s="153" t="s">
        <v>1492</v>
      </c>
      <c r="B259" s="140" t="s">
        <v>15</v>
      </c>
      <c r="C259" s="140" t="s">
        <v>124</v>
      </c>
      <c r="D259" s="140" t="s">
        <v>123</v>
      </c>
      <c r="E259" s="230" t="s">
        <v>1485</v>
      </c>
      <c r="F259" s="140"/>
      <c r="G259" s="140"/>
      <c r="H259" s="140"/>
      <c r="I259" s="140"/>
      <c r="J259" s="140"/>
      <c r="K259" s="140"/>
      <c r="L259" s="140"/>
      <c r="M259" s="140"/>
      <c r="N259" s="140"/>
      <c r="O259" s="140"/>
      <c r="P259" s="140"/>
      <c r="Q259" s="140"/>
      <c r="R259" s="140"/>
      <c r="S259" s="140"/>
      <c r="T259" s="140"/>
      <c r="U259" s="136"/>
      <c r="V259" s="137"/>
      <c r="W259" s="137"/>
      <c r="X259" s="137"/>
      <c r="Y259" s="135"/>
      <c r="Z259" s="264">
        <f>Z260</f>
        <v>0</v>
      </c>
      <c r="AA259" s="210">
        <v>0</v>
      </c>
      <c r="AB259" s="210">
        <v>0</v>
      </c>
      <c r="AC259" s="211"/>
    </row>
    <row r="260" spans="1:29" ht="49.15" customHeight="1" x14ac:dyDescent="0.3">
      <c r="A260" s="1013" t="s">
        <v>565</v>
      </c>
      <c r="B260" s="1014" t="s">
        <v>15</v>
      </c>
      <c r="C260" s="1014" t="s">
        <v>124</v>
      </c>
      <c r="D260" s="1014" t="s">
        <v>123</v>
      </c>
      <c r="E260" s="1015" t="s">
        <v>1485</v>
      </c>
      <c r="F260" s="1014"/>
      <c r="G260" s="1014"/>
      <c r="H260" s="1014"/>
      <c r="I260" s="1014"/>
      <c r="J260" s="1014"/>
      <c r="K260" s="1014"/>
      <c r="L260" s="1014"/>
      <c r="M260" s="1014"/>
      <c r="N260" s="1014"/>
      <c r="O260" s="1014"/>
      <c r="P260" s="1014"/>
      <c r="Q260" s="1014"/>
      <c r="R260" s="1014"/>
      <c r="S260" s="1014"/>
      <c r="T260" s="1014" t="s">
        <v>275</v>
      </c>
      <c r="U260" s="1016"/>
      <c r="V260" s="1017"/>
      <c r="W260" s="1017"/>
      <c r="X260" s="1017"/>
      <c r="Y260" s="1013"/>
      <c r="Z260" s="1070">
        <f>2595672.91+259567.29-1936914.09-918326.11</f>
        <v>0</v>
      </c>
      <c r="AA260" s="210">
        <v>0</v>
      </c>
      <c r="AB260" s="210">
        <v>0</v>
      </c>
      <c r="AC260" s="211"/>
    </row>
    <row r="261" spans="1:29" ht="81" customHeight="1" x14ac:dyDescent="0.3">
      <c r="A261" s="153" t="s">
        <v>1247</v>
      </c>
      <c r="B261" s="230" t="s">
        <v>15</v>
      </c>
      <c r="C261" s="230" t="s">
        <v>124</v>
      </c>
      <c r="D261" s="230" t="s">
        <v>123</v>
      </c>
      <c r="E261" s="230" t="s">
        <v>872</v>
      </c>
      <c r="F261" s="230"/>
      <c r="G261" s="230"/>
      <c r="H261" s="230"/>
      <c r="I261" s="230"/>
      <c r="J261" s="230"/>
      <c r="K261" s="230"/>
      <c r="L261" s="230"/>
      <c r="M261" s="230"/>
      <c r="N261" s="230"/>
      <c r="O261" s="230"/>
      <c r="P261" s="230"/>
      <c r="Q261" s="230"/>
      <c r="R261" s="230"/>
      <c r="S261" s="230"/>
      <c r="T261" s="230"/>
      <c r="U261" s="161"/>
      <c r="V261" s="204"/>
      <c r="W261" s="204"/>
      <c r="X261" s="204"/>
      <c r="Y261" s="153" t="s">
        <v>362</v>
      </c>
      <c r="Z261" s="235">
        <f>Z262</f>
        <v>1647151.68</v>
      </c>
      <c r="AA261" s="235">
        <f>AA262</f>
        <v>0</v>
      </c>
      <c r="AB261" s="235">
        <f>AB262</f>
        <v>0</v>
      </c>
      <c r="AC261" s="558" t="s">
        <v>362</v>
      </c>
    </row>
    <row r="262" spans="1:29" ht="56.25" customHeight="1" x14ac:dyDescent="0.3">
      <c r="A262" s="1013" t="s">
        <v>565</v>
      </c>
      <c r="B262" s="1014" t="s">
        <v>15</v>
      </c>
      <c r="C262" s="1014" t="s">
        <v>124</v>
      </c>
      <c r="D262" s="1014" t="s">
        <v>123</v>
      </c>
      <c r="E262" s="1015" t="s">
        <v>872</v>
      </c>
      <c r="F262" s="1014"/>
      <c r="G262" s="1014"/>
      <c r="H262" s="1014"/>
      <c r="I262" s="1014"/>
      <c r="J262" s="1014"/>
      <c r="K262" s="1014"/>
      <c r="L262" s="1014"/>
      <c r="M262" s="1014"/>
      <c r="N262" s="1014"/>
      <c r="O262" s="1014"/>
      <c r="P262" s="1014"/>
      <c r="Q262" s="1014"/>
      <c r="R262" s="1014"/>
      <c r="S262" s="1014"/>
      <c r="T262" s="1014" t="s">
        <v>275</v>
      </c>
      <c r="U262" s="1016"/>
      <c r="V262" s="1017"/>
      <c r="W262" s="1017"/>
      <c r="X262" s="1017"/>
      <c r="Y262" s="1013" t="s">
        <v>363</v>
      </c>
      <c r="Z262" s="1070">
        <f>1500000+702388+3000000+334542-3500000-2000000+920994.89+515.62-119573.33-170467.97+1500000-245000-202834.44-10000-98000+34586.91</f>
        <v>1647151.68</v>
      </c>
      <c r="AA262" s="210">
        <v>0</v>
      </c>
      <c r="AB262" s="210">
        <v>0</v>
      </c>
      <c r="AC262" s="211" t="s">
        <v>363</v>
      </c>
    </row>
    <row r="263" spans="1:29" ht="37.5" hidden="1" customHeight="1" x14ac:dyDescent="0.3">
      <c r="A263" s="153" t="s">
        <v>799</v>
      </c>
      <c r="B263" s="230" t="s">
        <v>15</v>
      </c>
      <c r="C263" s="230" t="s">
        <v>124</v>
      </c>
      <c r="D263" s="230" t="s">
        <v>123</v>
      </c>
      <c r="E263" s="230" t="s">
        <v>743</v>
      </c>
      <c r="F263" s="230"/>
      <c r="G263" s="230"/>
      <c r="H263" s="230"/>
      <c r="I263" s="230"/>
      <c r="J263" s="230"/>
      <c r="K263" s="230"/>
      <c r="L263" s="230"/>
      <c r="M263" s="230"/>
      <c r="N263" s="230"/>
      <c r="O263" s="230"/>
      <c r="P263" s="230"/>
      <c r="Q263" s="230"/>
      <c r="R263" s="230"/>
      <c r="S263" s="230"/>
      <c r="T263" s="230"/>
      <c r="U263" s="161"/>
      <c r="V263" s="204"/>
      <c r="W263" s="204"/>
      <c r="X263" s="204"/>
      <c r="Y263" s="153" t="s">
        <v>364</v>
      </c>
      <c r="Z263" s="235">
        <f>Z264</f>
        <v>0</v>
      </c>
      <c r="AA263" s="235">
        <f>AA264</f>
        <v>0</v>
      </c>
      <c r="AB263" s="235">
        <f>AB264</f>
        <v>0</v>
      </c>
      <c r="AC263" s="558" t="s">
        <v>364</v>
      </c>
    </row>
    <row r="264" spans="1:29" ht="0.75" hidden="1" customHeight="1" x14ac:dyDescent="0.3">
      <c r="A264" s="135" t="s">
        <v>742</v>
      </c>
      <c r="B264" s="140" t="s">
        <v>15</v>
      </c>
      <c r="C264" s="140" t="s">
        <v>124</v>
      </c>
      <c r="D264" s="140" t="s">
        <v>123</v>
      </c>
      <c r="E264" s="230" t="s">
        <v>743</v>
      </c>
      <c r="F264" s="140"/>
      <c r="G264" s="140"/>
      <c r="H264" s="140"/>
      <c r="I264" s="140"/>
      <c r="J264" s="140"/>
      <c r="K264" s="140"/>
      <c r="L264" s="140"/>
      <c r="M264" s="140"/>
      <c r="N264" s="140"/>
      <c r="O264" s="140"/>
      <c r="P264" s="140"/>
      <c r="Q264" s="140"/>
      <c r="R264" s="140"/>
      <c r="S264" s="140"/>
      <c r="T264" s="140" t="s">
        <v>275</v>
      </c>
      <c r="U264" s="136"/>
      <c r="V264" s="137"/>
      <c r="W264" s="137"/>
      <c r="X264" s="137"/>
      <c r="Y264" s="135" t="s">
        <v>365</v>
      </c>
      <c r="Z264" s="210">
        <v>0</v>
      </c>
      <c r="AA264" s="210">
        <v>0</v>
      </c>
      <c r="AB264" s="210">
        <v>0</v>
      </c>
      <c r="AC264" s="211" t="s">
        <v>365</v>
      </c>
    </row>
    <row r="265" spans="1:29" ht="74.25" customHeight="1" x14ac:dyDescent="0.3">
      <c r="A265" s="486" t="s">
        <v>1461</v>
      </c>
      <c r="B265" s="140" t="s">
        <v>15</v>
      </c>
      <c r="C265" s="140" t="s">
        <v>124</v>
      </c>
      <c r="D265" s="140" t="s">
        <v>123</v>
      </c>
      <c r="E265" s="230" t="s">
        <v>1462</v>
      </c>
      <c r="F265" s="140"/>
      <c r="G265" s="140"/>
      <c r="H265" s="140"/>
      <c r="I265" s="140"/>
      <c r="J265" s="140"/>
      <c r="K265" s="140"/>
      <c r="L265" s="140"/>
      <c r="M265" s="140"/>
      <c r="N265" s="140"/>
      <c r="O265" s="140"/>
      <c r="P265" s="140"/>
      <c r="Q265" s="140"/>
      <c r="R265" s="140"/>
      <c r="S265" s="140"/>
      <c r="T265" s="140"/>
      <c r="U265" s="136"/>
      <c r="V265" s="137"/>
      <c r="W265" s="137"/>
      <c r="X265" s="137"/>
      <c r="Y265" s="135"/>
      <c r="Z265" s="210">
        <f>Z266</f>
        <v>79005.10999999987</v>
      </c>
      <c r="AA265" s="210">
        <v>0</v>
      </c>
      <c r="AB265" s="210">
        <v>0</v>
      </c>
      <c r="AC265" s="211"/>
    </row>
    <row r="266" spans="1:29" ht="46.15" customHeight="1" x14ac:dyDescent="0.3">
      <c r="A266" s="135" t="s">
        <v>565</v>
      </c>
      <c r="B266" s="140" t="s">
        <v>15</v>
      </c>
      <c r="C266" s="140" t="s">
        <v>124</v>
      </c>
      <c r="D266" s="140" t="s">
        <v>123</v>
      </c>
      <c r="E266" s="230" t="s">
        <v>1462</v>
      </c>
      <c r="F266" s="140"/>
      <c r="G266" s="140"/>
      <c r="H266" s="140"/>
      <c r="I266" s="140"/>
      <c r="J266" s="140"/>
      <c r="K266" s="140"/>
      <c r="L266" s="140"/>
      <c r="M266" s="140"/>
      <c r="N266" s="140"/>
      <c r="O266" s="140"/>
      <c r="P266" s="140"/>
      <c r="Q266" s="140"/>
      <c r="R266" s="140"/>
      <c r="S266" s="140"/>
      <c r="T266" s="140" t="s">
        <v>275</v>
      </c>
      <c r="U266" s="136"/>
      <c r="V266" s="137"/>
      <c r="W266" s="137"/>
      <c r="X266" s="137"/>
      <c r="Y266" s="135"/>
      <c r="Z266" s="210">
        <f>2000000-920994.89-1000000</f>
        <v>79005.10999999987</v>
      </c>
      <c r="AA266" s="210">
        <v>0</v>
      </c>
      <c r="AB266" s="210">
        <v>0</v>
      </c>
      <c r="AC266" s="211"/>
    </row>
    <row r="267" spans="1:29" ht="27.75" customHeight="1" x14ac:dyDescent="0.3">
      <c r="A267" s="159" t="s">
        <v>366</v>
      </c>
      <c r="B267" s="160" t="s">
        <v>15</v>
      </c>
      <c r="C267" s="160" t="s">
        <v>138</v>
      </c>
      <c r="D267" s="160" t="s">
        <v>133</v>
      </c>
      <c r="E267" s="139"/>
      <c r="F267" s="160"/>
      <c r="G267" s="160"/>
      <c r="H267" s="160"/>
      <c r="I267" s="160"/>
      <c r="J267" s="160"/>
      <c r="K267" s="160"/>
      <c r="L267" s="160"/>
      <c r="M267" s="160"/>
      <c r="N267" s="160"/>
      <c r="O267" s="160"/>
      <c r="P267" s="160"/>
      <c r="Q267" s="160"/>
      <c r="R267" s="160"/>
      <c r="S267" s="160"/>
      <c r="T267" s="160"/>
      <c r="U267" s="160"/>
      <c r="V267" s="212"/>
      <c r="W267" s="212"/>
      <c r="X267" s="212"/>
      <c r="Y267" s="159" t="s">
        <v>366</v>
      </c>
      <c r="Z267" s="213">
        <f>Z268+Z277+Z292</f>
        <v>886195.19</v>
      </c>
      <c r="AA267" s="213">
        <f>AA268+AA277+AA292</f>
        <v>253000</v>
      </c>
      <c r="AB267" s="213">
        <f>AB268+AB277+AB292</f>
        <v>253000</v>
      </c>
      <c r="AC267" s="288" t="s">
        <v>366</v>
      </c>
    </row>
    <row r="268" spans="1:29" ht="24.75" customHeight="1" x14ac:dyDescent="0.3">
      <c r="A268" s="159" t="s">
        <v>156</v>
      </c>
      <c r="B268" s="160" t="s">
        <v>15</v>
      </c>
      <c r="C268" s="160" t="s">
        <v>138</v>
      </c>
      <c r="D268" s="160" t="s">
        <v>132</v>
      </c>
      <c r="E268" s="139"/>
      <c r="F268" s="160"/>
      <c r="G268" s="160"/>
      <c r="H268" s="160"/>
      <c r="I268" s="160"/>
      <c r="J268" s="160"/>
      <c r="K268" s="160"/>
      <c r="L268" s="160"/>
      <c r="M268" s="160"/>
      <c r="N268" s="160"/>
      <c r="O268" s="160"/>
      <c r="P268" s="160"/>
      <c r="Q268" s="160"/>
      <c r="R268" s="160"/>
      <c r="S268" s="160"/>
      <c r="T268" s="160"/>
      <c r="U268" s="160"/>
      <c r="V268" s="212"/>
      <c r="W268" s="212"/>
      <c r="X268" s="212"/>
      <c r="Y268" s="159" t="s">
        <v>156</v>
      </c>
      <c r="Z268" s="213">
        <f>Z269+Z271+Z273+Z275</f>
        <v>0</v>
      </c>
      <c r="AA268" s="213">
        <f t="shared" ref="AA268:AB268" si="11">AA269+AA271</f>
        <v>0</v>
      </c>
      <c r="AB268" s="213">
        <f t="shared" si="11"/>
        <v>0</v>
      </c>
      <c r="AC268" s="288" t="s">
        <v>156</v>
      </c>
    </row>
    <row r="269" spans="1:29" ht="169.5" customHeight="1" x14ac:dyDescent="0.3">
      <c r="A269" s="839" t="s">
        <v>1502</v>
      </c>
      <c r="B269" s="140" t="s">
        <v>15</v>
      </c>
      <c r="C269" s="140" t="s">
        <v>138</v>
      </c>
      <c r="D269" s="140" t="s">
        <v>132</v>
      </c>
      <c r="E269" s="230" t="s">
        <v>1501</v>
      </c>
      <c r="F269" s="230"/>
      <c r="G269" s="230"/>
      <c r="H269" s="230"/>
      <c r="I269" s="230"/>
      <c r="J269" s="230"/>
      <c r="K269" s="230"/>
      <c r="L269" s="230"/>
      <c r="M269" s="230"/>
      <c r="N269" s="230"/>
      <c r="O269" s="230"/>
      <c r="P269" s="230"/>
      <c r="Q269" s="230"/>
      <c r="R269" s="230"/>
      <c r="S269" s="230"/>
      <c r="T269" s="230"/>
      <c r="U269" s="161"/>
      <c r="V269" s="204"/>
      <c r="W269" s="204"/>
      <c r="X269" s="204"/>
      <c r="Y269" s="153" t="s">
        <v>367</v>
      </c>
      <c r="Z269" s="235">
        <f t="shared" ref="Z269:AB269" si="12">Z270</f>
        <v>0</v>
      </c>
      <c r="AA269" s="235">
        <f t="shared" si="12"/>
        <v>0</v>
      </c>
      <c r="AB269" s="235">
        <f t="shared" si="12"/>
        <v>0</v>
      </c>
      <c r="AC269" s="558" t="s">
        <v>367</v>
      </c>
    </row>
    <row r="270" spans="1:29" ht="46.9" customHeight="1" x14ac:dyDescent="0.3">
      <c r="A270" s="135" t="s">
        <v>565</v>
      </c>
      <c r="B270" s="140" t="s">
        <v>15</v>
      </c>
      <c r="C270" s="140" t="s">
        <v>138</v>
      </c>
      <c r="D270" s="140" t="s">
        <v>132</v>
      </c>
      <c r="E270" s="230" t="s">
        <v>1501</v>
      </c>
      <c r="F270" s="140"/>
      <c r="G270" s="140"/>
      <c r="H270" s="140"/>
      <c r="I270" s="140"/>
      <c r="J270" s="140"/>
      <c r="K270" s="140"/>
      <c r="L270" s="140"/>
      <c r="M270" s="140"/>
      <c r="N270" s="140"/>
      <c r="O270" s="140"/>
      <c r="P270" s="140"/>
      <c r="Q270" s="140"/>
      <c r="R270" s="140"/>
      <c r="S270" s="140"/>
      <c r="T270" s="140" t="s">
        <v>275</v>
      </c>
      <c r="U270" s="136"/>
      <c r="V270" s="137"/>
      <c r="W270" s="137"/>
      <c r="X270" s="137"/>
      <c r="Y270" s="135" t="s">
        <v>368</v>
      </c>
      <c r="Z270" s="210">
        <f>3106595+163505-3106595-163505</f>
        <v>0</v>
      </c>
      <c r="AA270" s="210">
        <v>0</v>
      </c>
      <c r="AB270" s="210">
        <v>0</v>
      </c>
      <c r="AC270" s="211" t="s">
        <v>368</v>
      </c>
    </row>
    <row r="271" spans="1:29" ht="41.25" hidden="1" customHeight="1" x14ac:dyDescent="0.3">
      <c r="A271" s="153" t="s">
        <v>999</v>
      </c>
      <c r="B271" s="140" t="s">
        <v>15</v>
      </c>
      <c r="C271" s="140" t="s">
        <v>138</v>
      </c>
      <c r="D271" s="140" t="s">
        <v>132</v>
      </c>
      <c r="E271" s="230" t="s">
        <v>994</v>
      </c>
      <c r="F271" s="140"/>
      <c r="G271" s="140"/>
      <c r="H271" s="140"/>
      <c r="I271" s="140"/>
      <c r="J271" s="140"/>
      <c r="K271" s="140"/>
      <c r="L271" s="140"/>
      <c r="M271" s="140"/>
      <c r="N271" s="140"/>
      <c r="O271" s="140"/>
      <c r="P271" s="140"/>
      <c r="Q271" s="140"/>
      <c r="R271" s="140"/>
      <c r="S271" s="140"/>
      <c r="T271" s="140"/>
      <c r="U271" s="136"/>
      <c r="V271" s="137"/>
      <c r="W271" s="137"/>
      <c r="X271" s="137"/>
      <c r="Y271" s="135"/>
      <c r="Z271" s="210">
        <f>Z272</f>
        <v>0</v>
      </c>
      <c r="AA271" s="210">
        <f t="shared" ref="AA271:AB271" si="13">AA272</f>
        <v>0</v>
      </c>
      <c r="AB271" s="210">
        <f t="shared" si="13"/>
        <v>0</v>
      </c>
      <c r="AC271" s="211"/>
    </row>
    <row r="272" spans="1:29" ht="48" hidden="1" customHeight="1" x14ac:dyDescent="0.3">
      <c r="A272" s="135" t="s">
        <v>368</v>
      </c>
      <c r="B272" s="140" t="s">
        <v>15</v>
      </c>
      <c r="C272" s="140" t="s">
        <v>138</v>
      </c>
      <c r="D272" s="140" t="s">
        <v>132</v>
      </c>
      <c r="E272" s="230" t="s">
        <v>994</v>
      </c>
      <c r="F272" s="140"/>
      <c r="G272" s="140"/>
      <c r="H272" s="140"/>
      <c r="I272" s="140"/>
      <c r="J272" s="140"/>
      <c r="K272" s="140"/>
      <c r="L272" s="140"/>
      <c r="M272" s="140"/>
      <c r="N272" s="140"/>
      <c r="O272" s="140"/>
      <c r="P272" s="140"/>
      <c r="Q272" s="140"/>
      <c r="R272" s="140"/>
      <c r="S272" s="140"/>
      <c r="T272" s="140" t="s">
        <v>275</v>
      </c>
      <c r="U272" s="136"/>
      <c r="V272" s="137"/>
      <c r="W272" s="137"/>
      <c r="X272" s="137"/>
      <c r="Y272" s="135"/>
      <c r="Z272" s="210">
        <f>7220000-7220000</f>
        <v>0</v>
      </c>
      <c r="AA272" s="210">
        <v>0</v>
      </c>
      <c r="AB272" s="210">
        <v>0</v>
      </c>
      <c r="AC272" s="211"/>
    </row>
    <row r="273" spans="1:29" ht="1.5" hidden="1" customHeight="1" x14ac:dyDescent="0.3">
      <c r="A273" s="153" t="s">
        <v>999</v>
      </c>
      <c r="B273" s="140" t="s">
        <v>15</v>
      </c>
      <c r="C273" s="140" t="s">
        <v>138</v>
      </c>
      <c r="D273" s="140" t="s">
        <v>132</v>
      </c>
      <c r="E273" s="230" t="s">
        <v>1005</v>
      </c>
      <c r="F273" s="140"/>
      <c r="G273" s="140"/>
      <c r="H273" s="140"/>
      <c r="I273" s="140"/>
      <c r="J273" s="140"/>
      <c r="K273" s="140"/>
      <c r="L273" s="140"/>
      <c r="M273" s="140"/>
      <c r="N273" s="140"/>
      <c r="O273" s="140"/>
      <c r="P273" s="140"/>
      <c r="Q273" s="140"/>
      <c r="R273" s="140"/>
      <c r="S273" s="140"/>
      <c r="T273" s="140"/>
      <c r="U273" s="136"/>
      <c r="V273" s="137"/>
      <c r="W273" s="137"/>
      <c r="X273" s="137"/>
      <c r="Y273" s="135"/>
      <c r="Z273" s="210">
        <f>Z274</f>
        <v>0</v>
      </c>
      <c r="AA273" s="210">
        <v>0</v>
      </c>
      <c r="AB273" s="210">
        <v>0</v>
      </c>
      <c r="AC273" s="211"/>
    </row>
    <row r="274" spans="1:29" ht="55.5" hidden="1" customHeight="1" x14ac:dyDescent="0.3">
      <c r="A274" s="135" t="s">
        <v>368</v>
      </c>
      <c r="B274" s="140" t="s">
        <v>15</v>
      </c>
      <c r="C274" s="140" t="s">
        <v>138</v>
      </c>
      <c r="D274" s="140" t="s">
        <v>132</v>
      </c>
      <c r="E274" s="230" t="s">
        <v>1005</v>
      </c>
      <c r="F274" s="140"/>
      <c r="G274" s="140"/>
      <c r="H274" s="140"/>
      <c r="I274" s="140"/>
      <c r="J274" s="140"/>
      <c r="K274" s="140"/>
      <c r="L274" s="140"/>
      <c r="M274" s="140"/>
      <c r="N274" s="140"/>
      <c r="O274" s="140"/>
      <c r="P274" s="140"/>
      <c r="Q274" s="140"/>
      <c r="R274" s="140"/>
      <c r="S274" s="140"/>
      <c r="T274" s="140" t="s">
        <v>275</v>
      </c>
      <c r="U274" s="136"/>
      <c r="V274" s="137"/>
      <c r="W274" s="137"/>
      <c r="X274" s="137"/>
      <c r="Y274" s="135"/>
      <c r="Z274" s="210">
        <f>7220000+380000-7600000</f>
        <v>0</v>
      </c>
      <c r="AA274" s="210">
        <v>0</v>
      </c>
      <c r="AB274" s="210">
        <v>0</v>
      </c>
      <c r="AC274" s="211"/>
    </row>
    <row r="275" spans="1:29" ht="1.5" hidden="1" customHeight="1" x14ac:dyDescent="0.3">
      <c r="A275" s="153" t="s">
        <v>999</v>
      </c>
      <c r="B275" s="140" t="s">
        <v>15</v>
      </c>
      <c r="C275" s="140" t="s">
        <v>138</v>
      </c>
      <c r="D275" s="140" t="s">
        <v>132</v>
      </c>
      <c r="E275" s="230" t="s">
        <v>1045</v>
      </c>
      <c r="F275" s="140"/>
      <c r="G275" s="140"/>
      <c r="H275" s="140"/>
      <c r="I275" s="140"/>
      <c r="J275" s="140"/>
      <c r="K275" s="140"/>
      <c r="L275" s="140"/>
      <c r="M275" s="140"/>
      <c r="N275" s="140"/>
      <c r="O275" s="140"/>
      <c r="P275" s="140"/>
      <c r="Q275" s="140"/>
      <c r="R275" s="140"/>
      <c r="S275" s="140"/>
      <c r="T275" s="140"/>
      <c r="U275" s="136"/>
      <c r="V275" s="137"/>
      <c r="W275" s="137"/>
      <c r="X275" s="137"/>
      <c r="Y275" s="135"/>
      <c r="Z275" s="210">
        <f>Z276</f>
        <v>0</v>
      </c>
      <c r="AA275" s="210">
        <v>0</v>
      </c>
      <c r="AB275" s="210">
        <v>0</v>
      </c>
      <c r="AC275" s="211"/>
    </row>
    <row r="276" spans="1:29" ht="47.25" hidden="1" customHeight="1" x14ac:dyDescent="0.3">
      <c r="A276" s="135" t="s">
        <v>368</v>
      </c>
      <c r="B276" s="140" t="s">
        <v>15</v>
      </c>
      <c r="C276" s="140" t="s">
        <v>138</v>
      </c>
      <c r="D276" s="140" t="s">
        <v>132</v>
      </c>
      <c r="E276" s="230" t="s">
        <v>1045</v>
      </c>
      <c r="F276" s="140"/>
      <c r="G276" s="140"/>
      <c r="H276" s="140"/>
      <c r="I276" s="140"/>
      <c r="J276" s="140"/>
      <c r="K276" s="140"/>
      <c r="L276" s="140"/>
      <c r="M276" s="140"/>
      <c r="N276" s="140"/>
      <c r="O276" s="140"/>
      <c r="P276" s="140"/>
      <c r="Q276" s="140"/>
      <c r="R276" s="140"/>
      <c r="S276" s="140"/>
      <c r="T276" s="140"/>
      <c r="U276" s="136"/>
      <c r="V276" s="137"/>
      <c r="W276" s="137"/>
      <c r="X276" s="137"/>
      <c r="Y276" s="135"/>
      <c r="Z276" s="210">
        <v>0</v>
      </c>
      <c r="AA276" s="210">
        <v>0</v>
      </c>
      <c r="AB276" s="210">
        <v>0</v>
      </c>
      <c r="AC276" s="211"/>
    </row>
    <row r="277" spans="1:29" ht="24.75" customHeight="1" x14ac:dyDescent="0.3">
      <c r="A277" s="159" t="s">
        <v>706</v>
      </c>
      <c r="B277" s="160" t="s">
        <v>15</v>
      </c>
      <c r="C277" s="160" t="s">
        <v>138</v>
      </c>
      <c r="D277" s="160" t="s">
        <v>138</v>
      </c>
      <c r="E277" s="139"/>
      <c r="F277" s="160"/>
      <c r="G277" s="160"/>
      <c r="H277" s="160"/>
      <c r="I277" s="160"/>
      <c r="J277" s="160"/>
      <c r="K277" s="160"/>
      <c r="L277" s="160"/>
      <c r="M277" s="160"/>
      <c r="N277" s="160"/>
      <c r="O277" s="160"/>
      <c r="P277" s="160"/>
      <c r="Q277" s="160"/>
      <c r="R277" s="160"/>
      <c r="S277" s="160"/>
      <c r="T277" s="160"/>
      <c r="U277" s="160"/>
      <c r="V277" s="212"/>
      <c r="W277" s="212"/>
      <c r="X277" s="212"/>
      <c r="Y277" s="159" t="s">
        <v>157</v>
      </c>
      <c r="Z277" s="213">
        <f>Z278+Z280+Z282+Z284+Z290+Z286+Z288</f>
        <v>749300</v>
      </c>
      <c r="AA277" s="213">
        <f>AA278+AA280+AA282+AA284+AA290+AA286</f>
        <v>253000</v>
      </c>
      <c r="AB277" s="213">
        <f>AB278+AB280+AB282+AB284+AB290+AB286</f>
        <v>253000</v>
      </c>
      <c r="AC277" s="288" t="s">
        <v>157</v>
      </c>
    </row>
    <row r="278" spans="1:29" ht="118.9" customHeight="1" x14ac:dyDescent="0.3">
      <c r="A278" s="153" t="s">
        <v>1286</v>
      </c>
      <c r="B278" s="230" t="s">
        <v>15</v>
      </c>
      <c r="C278" s="230" t="s">
        <v>138</v>
      </c>
      <c r="D278" s="230" t="s">
        <v>138</v>
      </c>
      <c r="E278" s="230" t="s">
        <v>577</v>
      </c>
      <c r="F278" s="230"/>
      <c r="G278" s="230"/>
      <c r="H278" s="230"/>
      <c r="I278" s="230"/>
      <c r="J278" s="230"/>
      <c r="K278" s="230"/>
      <c r="L278" s="230"/>
      <c r="M278" s="230"/>
      <c r="N278" s="230"/>
      <c r="O278" s="230"/>
      <c r="P278" s="230"/>
      <c r="Q278" s="230"/>
      <c r="R278" s="230"/>
      <c r="S278" s="230"/>
      <c r="T278" s="230"/>
      <c r="U278" s="161"/>
      <c r="V278" s="204"/>
      <c r="W278" s="204"/>
      <c r="X278" s="204"/>
      <c r="Y278" s="153" t="s">
        <v>369</v>
      </c>
      <c r="Z278" s="235">
        <f>Z279</f>
        <v>50000</v>
      </c>
      <c r="AA278" s="235">
        <f>AA279</f>
        <v>50000</v>
      </c>
      <c r="AB278" s="235">
        <f>AB279</f>
        <v>50000</v>
      </c>
      <c r="AC278" s="558" t="s">
        <v>369</v>
      </c>
    </row>
    <row r="279" spans="1:29" ht="47.45" customHeight="1" x14ac:dyDescent="0.3">
      <c r="A279" s="135" t="s">
        <v>565</v>
      </c>
      <c r="B279" s="140" t="s">
        <v>15</v>
      </c>
      <c r="C279" s="140" t="s">
        <v>138</v>
      </c>
      <c r="D279" s="140" t="s">
        <v>138</v>
      </c>
      <c r="E279" s="230" t="s">
        <v>577</v>
      </c>
      <c r="F279" s="140"/>
      <c r="G279" s="140"/>
      <c r="H279" s="140"/>
      <c r="I279" s="140"/>
      <c r="J279" s="140"/>
      <c r="K279" s="140"/>
      <c r="L279" s="140"/>
      <c r="M279" s="140"/>
      <c r="N279" s="140"/>
      <c r="O279" s="140"/>
      <c r="P279" s="140"/>
      <c r="Q279" s="140"/>
      <c r="R279" s="140"/>
      <c r="S279" s="140"/>
      <c r="T279" s="140" t="s">
        <v>275</v>
      </c>
      <c r="U279" s="136"/>
      <c r="V279" s="137"/>
      <c r="W279" s="137"/>
      <c r="X279" s="137"/>
      <c r="Y279" s="135" t="s">
        <v>370</v>
      </c>
      <c r="Z279" s="210">
        <f>50000+30000-30000</f>
        <v>50000</v>
      </c>
      <c r="AA279" s="210">
        <v>50000</v>
      </c>
      <c r="AB279" s="210">
        <v>50000</v>
      </c>
      <c r="AC279" s="211" t="s">
        <v>370</v>
      </c>
    </row>
    <row r="280" spans="1:29" ht="207" customHeight="1" x14ac:dyDescent="0.3">
      <c r="A280" s="153" t="s">
        <v>1287</v>
      </c>
      <c r="B280" s="230" t="s">
        <v>15</v>
      </c>
      <c r="C280" s="230" t="s">
        <v>138</v>
      </c>
      <c r="D280" s="230" t="s">
        <v>138</v>
      </c>
      <c r="E280" s="230" t="s">
        <v>578</v>
      </c>
      <c r="F280" s="230"/>
      <c r="G280" s="230"/>
      <c r="H280" s="230"/>
      <c r="I280" s="230"/>
      <c r="J280" s="230"/>
      <c r="K280" s="230"/>
      <c r="L280" s="230"/>
      <c r="M280" s="230"/>
      <c r="N280" s="230"/>
      <c r="O280" s="230"/>
      <c r="P280" s="230"/>
      <c r="Q280" s="230"/>
      <c r="R280" s="230"/>
      <c r="S280" s="230"/>
      <c r="T280" s="230"/>
      <c r="U280" s="161"/>
      <c r="V280" s="204"/>
      <c r="W280" s="204"/>
      <c r="X280" s="204"/>
      <c r="Y280" s="153" t="s">
        <v>371</v>
      </c>
      <c r="Z280" s="235">
        <f>Z281</f>
        <v>143300</v>
      </c>
      <c r="AA280" s="235">
        <f>AA281</f>
        <v>50000</v>
      </c>
      <c r="AB280" s="235">
        <f>AB281</f>
        <v>50000</v>
      </c>
      <c r="AC280" s="558" t="s">
        <v>371</v>
      </c>
    </row>
    <row r="281" spans="1:29" ht="54" customHeight="1" x14ac:dyDescent="0.3">
      <c r="A281" s="135" t="s">
        <v>565</v>
      </c>
      <c r="B281" s="140" t="s">
        <v>15</v>
      </c>
      <c r="C281" s="140" t="s">
        <v>138</v>
      </c>
      <c r="D281" s="140" t="s">
        <v>138</v>
      </c>
      <c r="E281" s="230" t="s">
        <v>578</v>
      </c>
      <c r="F281" s="140"/>
      <c r="G281" s="140"/>
      <c r="H281" s="140"/>
      <c r="I281" s="140"/>
      <c r="J281" s="140"/>
      <c r="K281" s="140"/>
      <c r="L281" s="140"/>
      <c r="M281" s="140"/>
      <c r="N281" s="140"/>
      <c r="O281" s="140"/>
      <c r="P281" s="140"/>
      <c r="Q281" s="140"/>
      <c r="R281" s="140"/>
      <c r="S281" s="140"/>
      <c r="T281" s="140" t="s">
        <v>275</v>
      </c>
      <c r="U281" s="136"/>
      <c r="V281" s="137"/>
      <c r="W281" s="137"/>
      <c r="X281" s="137"/>
      <c r="Y281" s="135" t="s">
        <v>372</v>
      </c>
      <c r="Z281" s="210">
        <f>50000+105000-11700</f>
        <v>143300</v>
      </c>
      <c r="AA281" s="210">
        <v>50000</v>
      </c>
      <c r="AB281" s="210">
        <v>50000</v>
      </c>
      <c r="AC281" s="211" t="s">
        <v>372</v>
      </c>
    </row>
    <row r="282" spans="1:29" ht="172.9" customHeight="1" x14ac:dyDescent="0.3">
      <c r="A282" s="153" t="s">
        <v>1258</v>
      </c>
      <c r="B282" s="230" t="s">
        <v>15</v>
      </c>
      <c r="C282" s="230" t="s">
        <v>138</v>
      </c>
      <c r="D282" s="230" t="s">
        <v>138</v>
      </c>
      <c r="E282" s="230" t="s">
        <v>579</v>
      </c>
      <c r="F282" s="230"/>
      <c r="G282" s="230"/>
      <c r="H282" s="230"/>
      <c r="I282" s="230"/>
      <c r="J282" s="230"/>
      <c r="K282" s="230"/>
      <c r="L282" s="230"/>
      <c r="M282" s="230"/>
      <c r="N282" s="230"/>
      <c r="O282" s="230"/>
      <c r="P282" s="230"/>
      <c r="Q282" s="230"/>
      <c r="R282" s="230"/>
      <c r="S282" s="230"/>
      <c r="T282" s="230"/>
      <c r="U282" s="161"/>
      <c r="V282" s="204"/>
      <c r="W282" s="204"/>
      <c r="X282" s="204"/>
      <c r="Y282" s="153" t="s">
        <v>373</v>
      </c>
      <c r="Z282" s="235">
        <f>Z283</f>
        <v>53000</v>
      </c>
      <c r="AA282" s="235">
        <f>AA283</f>
        <v>53000</v>
      </c>
      <c r="AB282" s="235">
        <f>AB283</f>
        <v>53000</v>
      </c>
      <c r="AC282" s="558" t="s">
        <v>373</v>
      </c>
    </row>
    <row r="283" spans="1:29" ht="53.25" customHeight="1" x14ac:dyDescent="0.3">
      <c r="A283" s="135" t="s">
        <v>565</v>
      </c>
      <c r="B283" s="140" t="s">
        <v>15</v>
      </c>
      <c r="C283" s="140" t="s">
        <v>138</v>
      </c>
      <c r="D283" s="140" t="s">
        <v>138</v>
      </c>
      <c r="E283" s="230" t="s">
        <v>579</v>
      </c>
      <c r="F283" s="140"/>
      <c r="G283" s="140"/>
      <c r="H283" s="140"/>
      <c r="I283" s="140"/>
      <c r="J283" s="140"/>
      <c r="K283" s="140"/>
      <c r="L283" s="140"/>
      <c r="M283" s="140"/>
      <c r="N283" s="140"/>
      <c r="O283" s="140"/>
      <c r="P283" s="140"/>
      <c r="Q283" s="140"/>
      <c r="R283" s="140"/>
      <c r="S283" s="140"/>
      <c r="T283" s="140" t="s">
        <v>275</v>
      </c>
      <c r="U283" s="136"/>
      <c r="V283" s="137"/>
      <c r="W283" s="137"/>
      <c r="X283" s="137"/>
      <c r="Y283" s="135" t="s">
        <v>374</v>
      </c>
      <c r="Z283" s="210">
        <v>53000</v>
      </c>
      <c r="AA283" s="210">
        <v>53000</v>
      </c>
      <c r="AB283" s="210">
        <v>53000</v>
      </c>
      <c r="AC283" s="211" t="s">
        <v>374</v>
      </c>
    </row>
    <row r="284" spans="1:29" ht="201.75" customHeight="1" x14ac:dyDescent="0.3">
      <c r="A284" s="153" t="s">
        <v>1288</v>
      </c>
      <c r="B284" s="140" t="s">
        <v>15</v>
      </c>
      <c r="C284" s="140" t="s">
        <v>138</v>
      </c>
      <c r="D284" s="140" t="s">
        <v>138</v>
      </c>
      <c r="E284" s="230" t="s">
        <v>580</v>
      </c>
      <c r="F284" s="140"/>
      <c r="G284" s="140"/>
      <c r="H284" s="140"/>
      <c r="I284" s="140"/>
      <c r="J284" s="140"/>
      <c r="K284" s="140"/>
      <c r="L284" s="140"/>
      <c r="M284" s="140"/>
      <c r="N284" s="140"/>
      <c r="O284" s="140"/>
      <c r="P284" s="140"/>
      <c r="Q284" s="140"/>
      <c r="R284" s="140"/>
      <c r="S284" s="140"/>
      <c r="T284" s="140"/>
      <c r="U284" s="136"/>
      <c r="V284" s="137"/>
      <c r="W284" s="137"/>
      <c r="X284" s="137"/>
      <c r="Y284" s="135"/>
      <c r="Z284" s="210">
        <f>Z285</f>
        <v>30000</v>
      </c>
      <c r="AA284" s="210">
        <f>AA285</f>
        <v>50000</v>
      </c>
      <c r="AB284" s="210">
        <f>AB285</f>
        <v>50000</v>
      </c>
      <c r="AC284" s="211"/>
    </row>
    <row r="285" spans="1:29" ht="42" customHeight="1" x14ac:dyDescent="0.3">
      <c r="A285" s="135" t="s">
        <v>565</v>
      </c>
      <c r="B285" s="140" t="s">
        <v>15</v>
      </c>
      <c r="C285" s="140" t="s">
        <v>138</v>
      </c>
      <c r="D285" s="140" t="s">
        <v>138</v>
      </c>
      <c r="E285" s="230" t="s">
        <v>580</v>
      </c>
      <c r="F285" s="140"/>
      <c r="G285" s="140"/>
      <c r="H285" s="140"/>
      <c r="I285" s="140"/>
      <c r="J285" s="140"/>
      <c r="K285" s="140"/>
      <c r="L285" s="140"/>
      <c r="M285" s="140"/>
      <c r="N285" s="140"/>
      <c r="O285" s="140"/>
      <c r="P285" s="140"/>
      <c r="Q285" s="140"/>
      <c r="R285" s="140"/>
      <c r="S285" s="140"/>
      <c r="T285" s="140" t="s">
        <v>275</v>
      </c>
      <c r="U285" s="136"/>
      <c r="V285" s="137"/>
      <c r="W285" s="137"/>
      <c r="X285" s="137"/>
      <c r="Y285" s="135"/>
      <c r="Z285" s="210">
        <v>30000</v>
      </c>
      <c r="AA285" s="210">
        <v>50000</v>
      </c>
      <c r="AB285" s="210">
        <v>50000</v>
      </c>
      <c r="AC285" s="211"/>
    </row>
    <row r="286" spans="1:29" ht="196.5" hidden="1" customHeight="1" x14ac:dyDescent="0.3">
      <c r="A286" s="153" t="s">
        <v>879</v>
      </c>
      <c r="B286" s="140" t="s">
        <v>15</v>
      </c>
      <c r="C286" s="140" t="s">
        <v>138</v>
      </c>
      <c r="D286" s="140" t="s">
        <v>138</v>
      </c>
      <c r="E286" s="230" t="s">
        <v>881</v>
      </c>
      <c r="F286" s="140"/>
      <c r="G286" s="140"/>
      <c r="H286" s="140"/>
      <c r="I286" s="140"/>
      <c r="J286" s="140"/>
      <c r="K286" s="140"/>
      <c r="L286" s="140"/>
      <c r="M286" s="140"/>
      <c r="N286" s="140"/>
      <c r="O286" s="140"/>
      <c r="P286" s="140"/>
      <c r="Q286" s="140"/>
      <c r="R286" s="140"/>
      <c r="S286" s="140"/>
      <c r="T286" s="140"/>
      <c r="U286" s="136"/>
      <c r="V286" s="137"/>
      <c r="W286" s="137"/>
      <c r="X286" s="137"/>
      <c r="Y286" s="135"/>
      <c r="Z286" s="210">
        <f>Z287</f>
        <v>0</v>
      </c>
      <c r="AA286" s="210">
        <v>0</v>
      </c>
      <c r="AB286" s="210">
        <v>0</v>
      </c>
      <c r="AC286" s="211"/>
    </row>
    <row r="287" spans="1:29" ht="99.75" hidden="1" customHeight="1" x14ac:dyDescent="0.3">
      <c r="A287" s="135" t="s">
        <v>880</v>
      </c>
      <c r="B287" s="140" t="s">
        <v>15</v>
      </c>
      <c r="C287" s="140" t="s">
        <v>138</v>
      </c>
      <c r="D287" s="140" t="s">
        <v>138</v>
      </c>
      <c r="E287" s="230" t="s">
        <v>881</v>
      </c>
      <c r="F287" s="140"/>
      <c r="G287" s="140"/>
      <c r="H287" s="140"/>
      <c r="I287" s="140"/>
      <c r="J287" s="140"/>
      <c r="K287" s="140"/>
      <c r="L287" s="140"/>
      <c r="M287" s="140"/>
      <c r="N287" s="140"/>
      <c r="O287" s="140"/>
      <c r="P287" s="140"/>
      <c r="Q287" s="140"/>
      <c r="R287" s="140"/>
      <c r="S287" s="140"/>
      <c r="T287" s="140" t="s">
        <v>275</v>
      </c>
      <c r="U287" s="136"/>
      <c r="V287" s="137"/>
      <c r="W287" s="137"/>
      <c r="X287" s="137"/>
      <c r="Y287" s="135"/>
      <c r="Z287" s="210">
        <v>0</v>
      </c>
      <c r="AA287" s="210">
        <v>0</v>
      </c>
      <c r="AB287" s="210">
        <v>0</v>
      </c>
      <c r="AC287" s="211"/>
    </row>
    <row r="288" spans="1:29" ht="105" customHeight="1" x14ac:dyDescent="0.3">
      <c r="A288" s="291" t="s">
        <v>1259</v>
      </c>
      <c r="B288" s="140" t="s">
        <v>15</v>
      </c>
      <c r="C288" s="140" t="s">
        <v>138</v>
      </c>
      <c r="D288" s="140" t="s">
        <v>138</v>
      </c>
      <c r="E288" s="230" t="s">
        <v>981</v>
      </c>
      <c r="F288" s="140"/>
      <c r="G288" s="140"/>
      <c r="H288" s="140"/>
      <c r="I288" s="140"/>
      <c r="J288" s="140"/>
      <c r="K288" s="140"/>
      <c r="L288" s="140"/>
      <c r="M288" s="140"/>
      <c r="N288" s="140"/>
      <c r="O288" s="140"/>
      <c r="P288" s="140"/>
      <c r="Q288" s="140"/>
      <c r="R288" s="140"/>
      <c r="S288" s="140"/>
      <c r="T288" s="140"/>
      <c r="U288" s="136"/>
      <c r="V288" s="137"/>
      <c r="W288" s="137"/>
      <c r="X288" s="137"/>
      <c r="Y288" s="135"/>
      <c r="Z288" s="210">
        <f>Z289</f>
        <v>130000</v>
      </c>
      <c r="AA288" s="210">
        <v>0</v>
      </c>
      <c r="AB288" s="210">
        <v>0</v>
      </c>
      <c r="AC288" s="211"/>
    </row>
    <row r="289" spans="1:29" ht="54.75" customHeight="1" x14ac:dyDescent="0.3">
      <c r="A289" s="339" t="s">
        <v>565</v>
      </c>
      <c r="B289" s="140" t="s">
        <v>15</v>
      </c>
      <c r="C289" s="140" t="s">
        <v>138</v>
      </c>
      <c r="D289" s="140" t="s">
        <v>138</v>
      </c>
      <c r="E289" s="230" t="s">
        <v>981</v>
      </c>
      <c r="F289" s="140"/>
      <c r="G289" s="140"/>
      <c r="H289" s="140"/>
      <c r="I289" s="140"/>
      <c r="J289" s="140"/>
      <c r="K289" s="140"/>
      <c r="L289" s="140"/>
      <c r="M289" s="140"/>
      <c r="N289" s="140"/>
      <c r="O289" s="140"/>
      <c r="P289" s="140"/>
      <c r="Q289" s="140"/>
      <c r="R289" s="140"/>
      <c r="S289" s="140"/>
      <c r="T289" s="140" t="s">
        <v>275</v>
      </c>
      <c r="U289" s="136"/>
      <c r="V289" s="137"/>
      <c r="W289" s="137"/>
      <c r="X289" s="137"/>
      <c r="Y289" s="135"/>
      <c r="Z289" s="264">
        <v>130000</v>
      </c>
      <c r="AA289" s="210">
        <v>0</v>
      </c>
      <c r="AB289" s="210">
        <v>0</v>
      </c>
      <c r="AC289" s="211"/>
    </row>
    <row r="290" spans="1:29" ht="113.45" customHeight="1" x14ac:dyDescent="0.3">
      <c r="A290" s="153" t="s">
        <v>1260</v>
      </c>
      <c r="B290" s="230" t="s">
        <v>15</v>
      </c>
      <c r="C290" s="230" t="s">
        <v>138</v>
      </c>
      <c r="D290" s="230" t="s">
        <v>138</v>
      </c>
      <c r="E290" s="230" t="s">
        <v>581</v>
      </c>
      <c r="F290" s="230"/>
      <c r="G290" s="230"/>
      <c r="H290" s="230"/>
      <c r="I290" s="230"/>
      <c r="J290" s="230"/>
      <c r="K290" s="230"/>
      <c r="L290" s="230"/>
      <c r="M290" s="230"/>
      <c r="N290" s="230"/>
      <c r="O290" s="230"/>
      <c r="P290" s="230"/>
      <c r="Q290" s="230"/>
      <c r="R290" s="230"/>
      <c r="S290" s="230"/>
      <c r="T290" s="230"/>
      <c r="U290" s="161"/>
      <c r="V290" s="204"/>
      <c r="W290" s="204"/>
      <c r="X290" s="204"/>
      <c r="Y290" s="153" t="s">
        <v>375</v>
      </c>
      <c r="Z290" s="263">
        <f>Z291</f>
        <v>343000</v>
      </c>
      <c r="AA290" s="235">
        <f>AA291</f>
        <v>50000</v>
      </c>
      <c r="AB290" s="235">
        <f>AB291</f>
        <v>50000</v>
      </c>
      <c r="AC290" s="558" t="s">
        <v>375</v>
      </c>
    </row>
    <row r="291" spans="1:29" ht="48.6" customHeight="1" x14ac:dyDescent="0.3">
      <c r="A291" s="135" t="s">
        <v>565</v>
      </c>
      <c r="B291" s="140" t="s">
        <v>15</v>
      </c>
      <c r="C291" s="140" t="s">
        <v>138</v>
      </c>
      <c r="D291" s="140" t="s">
        <v>138</v>
      </c>
      <c r="E291" s="230" t="s">
        <v>581</v>
      </c>
      <c r="F291" s="140"/>
      <c r="G291" s="140"/>
      <c r="H291" s="140"/>
      <c r="I291" s="140"/>
      <c r="J291" s="140"/>
      <c r="K291" s="140"/>
      <c r="L291" s="140"/>
      <c r="M291" s="140"/>
      <c r="N291" s="140"/>
      <c r="O291" s="140"/>
      <c r="P291" s="140"/>
      <c r="Q291" s="140"/>
      <c r="R291" s="140"/>
      <c r="S291" s="140"/>
      <c r="T291" s="140" t="s">
        <v>275</v>
      </c>
      <c r="U291" s="136"/>
      <c r="V291" s="137"/>
      <c r="W291" s="137"/>
      <c r="X291" s="137"/>
      <c r="Y291" s="135" t="s">
        <v>376</v>
      </c>
      <c r="Z291" s="264">
        <f>250000+100000-7000</f>
        <v>343000</v>
      </c>
      <c r="AA291" s="210">
        <v>50000</v>
      </c>
      <c r="AB291" s="210">
        <v>50000</v>
      </c>
      <c r="AC291" s="211" t="s">
        <v>376</v>
      </c>
    </row>
    <row r="292" spans="1:29" ht="27.75" customHeight="1" x14ac:dyDescent="0.3">
      <c r="A292" s="159" t="s">
        <v>158</v>
      </c>
      <c r="B292" s="160" t="s">
        <v>15</v>
      </c>
      <c r="C292" s="160" t="s">
        <v>138</v>
      </c>
      <c r="D292" s="160" t="s">
        <v>127</v>
      </c>
      <c r="E292" s="139"/>
      <c r="F292" s="160"/>
      <c r="G292" s="160"/>
      <c r="H292" s="160"/>
      <c r="I292" s="160"/>
      <c r="J292" s="160"/>
      <c r="K292" s="160"/>
      <c r="L292" s="160"/>
      <c r="M292" s="160"/>
      <c r="N292" s="160"/>
      <c r="O292" s="160"/>
      <c r="P292" s="160"/>
      <c r="Q292" s="160"/>
      <c r="R292" s="160"/>
      <c r="S292" s="160"/>
      <c r="T292" s="160"/>
      <c r="U292" s="160"/>
      <c r="V292" s="212"/>
      <c r="W292" s="212"/>
      <c r="X292" s="212"/>
      <c r="Y292" s="159"/>
      <c r="Z292" s="213">
        <f>Z293</f>
        <v>136895.19</v>
      </c>
      <c r="AA292" s="213">
        <v>0</v>
      </c>
      <c r="AB292" s="213">
        <v>0</v>
      </c>
      <c r="AC292" s="288" t="s">
        <v>158</v>
      </c>
    </row>
    <row r="293" spans="1:29" ht="93" customHeight="1" x14ac:dyDescent="0.3">
      <c r="A293" s="153" t="s">
        <v>1406</v>
      </c>
      <c r="B293" s="140" t="s">
        <v>15</v>
      </c>
      <c r="C293" s="140" t="s">
        <v>138</v>
      </c>
      <c r="D293" s="140" t="s">
        <v>127</v>
      </c>
      <c r="E293" s="230" t="s">
        <v>1407</v>
      </c>
      <c r="F293" s="230"/>
      <c r="G293" s="230"/>
      <c r="H293" s="230"/>
      <c r="I293" s="230"/>
      <c r="J293" s="230"/>
      <c r="K293" s="230"/>
      <c r="L293" s="230"/>
      <c r="M293" s="230"/>
      <c r="N293" s="230"/>
      <c r="O293" s="230"/>
      <c r="P293" s="230"/>
      <c r="Q293" s="230"/>
      <c r="R293" s="230"/>
      <c r="S293" s="230"/>
      <c r="T293" s="230"/>
      <c r="U293" s="230"/>
      <c r="V293" s="274"/>
      <c r="W293" s="274"/>
      <c r="X293" s="274"/>
      <c r="Y293" s="265"/>
      <c r="Z293" s="275">
        <f>Z294</f>
        <v>136895.19</v>
      </c>
      <c r="AA293" s="273">
        <v>0</v>
      </c>
      <c r="AB293" s="235">
        <v>0</v>
      </c>
      <c r="AC293" s="558" t="s">
        <v>235</v>
      </c>
    </row>
    <row r="294" spans="1:29" ht="46.5" customHeight="1" x14ac:dyDescent="0.3">
      <c r="A294" s="154" t="s">
        <v>565</v>
      </c>
      <c r="B294" s="140" t="s">
        <v>15</v>
      </c>
      <c r="C294" s="140" t="s">
        <v>138</v>
      </c>
      <c r="D294" s="140" t="s">
        <v>127</v>
      </c>
      <c r="E294" s="230" t="s">
        <v>1407</v>
      </c>
      <c r="F294" s="140"/>
      <c r="G294" s="140"/>
      <c r="H294" s="140"/>
      <c r="I294" s="140"/>
      <c r="J294" s="140"/>
      <c r="K294" s="140"/>
      <c r="L294" s="140"/>
      <c r="M294" s="140"/>
      <c r="N294" s="140"/>
      <c r="O294" s="140"/>
      <c r="P294" s="140"/>
      <c r="Q294" s="140"/>
      <c r="R294" s="140"/>
      <c r="S294" s="140"/>
      <c r="T294" s="140" t="s">
        <v>275</v>
      </c>
      <c r="U294" s="140"/>
      <c r="V294" s="141"/>
      <c r="W294" s="141"/>
      <c r="X294" s="141"/>
      <c r="Y294" s="142"/>
      <c r="Z294" s="143">
        <f>89405.94+47474.25+15</f>
        <v>136895.19</v>
      </c>
      <c r="AA294" s="144">
        <v>0</v>
      </c>
      <c r="AB294" s="210">
        <v>0</v>
      </c>
      <c r="AC294" s="559" t="s">
        <v>377</v>
      </c>
    </row>
    <row r="295" spans="1:29" ht="29.25" hidden="1" customHeight="1" x14ac:dyDescent="0.3">
      <c r="A295" s="154"/>
      <c r="B295" s="140"/>
      <c r="C295" s="140"/>
      <c r="D295" s="140"/>
      <c r="E295" s="230"/>
      <c r="F295" s="140"/>
      <c r="G295" s="140"/>
      <c r="H295" s="140"/>
      <c r="I295" s="140"/>
      <c r="J295" s="140"/>
      <c r="K295" s="140"/>
      <c r="L295" s="140"/>
      <c r="M295" s="140"/>
      <c r="N295" s="140"/>
      <c r="O295" s="140"/>
      <c r="P295" s="140"/>
      <c r="Q295" s="140"/>
      <c r="R295" s="140"/>
      <c r="S295" s="140"/>
      <c r="T295" s="140"/>
      <c r="U295" s="140"/>
      <c r="V295" s="141"/>
      <c r="W295" s="141"/>
      <c r="X295" s="141"/>
      <c r="Y295" s="142"/>
      <c r="Z295" s="143"/>
      <c r="AA295" s="144"/>
      <c r="AB295" s="210"/>
      <c r="AC295" s="559" t="s">
        <v>378</v>
      </c>
    </row>
    <row r="296" spans="1:29" ht="35.25" customHeight="1" x14ac:dyDescent="0.3">
      <c r="A296" s="159" t="s">
        <v>379</v>
      </c>
      <c r="B296" s="160" t="s">
        <v>15</v>
      </c>
      <c r="C296" s="160" t="s">
        <v>126</v>
      </c>
      <c r="D296" s="160" t="s">
        <v>133</v>
      </c>
      <c r="E296" s="139"/>
      <c r="F296" s="160"/>
      <c r="G296" s="160"/>
      <c r="H296" s="160"/>
      <c r="I296" s="160"/>
      <c r="J296" s="160"/>
      <c r="K296" s="160"/>
      <c r="L296" s="160"/>
      <c r="M296" s="160"/>
      <c r="N296" s="160"/>
      <c r="O296" s="160"/>
      <c r="P296" s="160"/>
      <c r="Q296" s="160"/>
      <c r="R296" s="160"/>
      <c r="S296" s="160"/>
      <c r="T296" s="160"/>
      <c r="U296" s="160"/>
      <c r="V296" s="212"/>
      <c r="W296" s="212"/>
      <c r="X296" s="212"/>
      <c r="Y296" s="159" t="s">
        <v>379</v>
      </c>
      <c r="Z296" s="213">
        <f>Z297</f>
        <v>7170725</v>
      </c>
      <c r="AA296" s="213">
        <f>AA297</f>
        <v>1181300</v>
      </c>
      <c r="AB296" s="213">
        <f>AB297</f>
        <v>1391400</v>
      </c>
      <c r="AC296" s="288" t="s">
        <v>379</v>
      </c>
    </row>
    <row r="297" spans="1:29" ht="24" customHeight="1" x14ac:dyDescent="0.3">
      <c r="A297" s="159" t="s">
        <v>159</v>
      </c>
      <c r="B297" s="160" t="s">
        <v>15</v>
      </c>
      <c r="C297" s="160" t="s">
        <v>126</v>
      </c>
      <c r="D297" s="160" t="s">
        <v>122</v>
      </c>
      <c r="E297" s="139"/>
      <c r="F297" s="160"/>
      <c r="G297" s="160"/>
      <c r="H297" s="160"/>
      <c r="I297" s="160"/>
      <c r="J297" s="160"/>
      <c r="K297" s="160"/>
      <c r="L297" s="160"/>
      <c r="M297" s="160"/>
      <c r="N297" s="160"/>
      <c r="O297" s="160"/>
      <c r="P297" s="160"/>
      <c r="Q297" s="160"/>
      <c r="R297" s="160"/>
      <c r="S297" s="160"/>
      <c r="T297" s="160"/>
      <c r="U297" s="160"/>
      <c r="V297" s="212"/>
      <c r="W297" s="212"/>
      <c r="X297" s="212"/>
      <c r="Y297" s="159" t="s">
        <v>159</v>
      </c>
      <c r="Z297" s="213">
        <f>Z298+Z302+Z306+Z308+Z312+Z310+Z300+Z304</f>
        <v>7170725</v>
      </c>
      <c r="AA297" s="213">
        <f>AA298+AA302+AA306+AA308+AA312+AA304</f>
        <v>1181300</v>
      </c>
      <c r="AB297" s="213">
        <f>AB298+AB302+AB306+AB308+AB312+AB304</f>
        <v>1391400</v>
      </c>
      <c r="AC297" s="288" t="s">
        <v>159</v>
      </c>
    </row>
    <row r="298" spans="1:29" ht="33" hidden="1" customHeight="1" x14ac:dyDescent="0.3">
      <c r="A298" s="153" t="s">
        <v>582</v>
      </c>
      <c r="B298" s="230" t="s">
        <v>15</v>
      </c>
      <c r="C298" s="230" t="s">
        <v>126</v>
      </c>
      <c r="D298" s="230" t="s">
        <v>122</v>
      </c>
      <c r="E298" s="230" t="s">
        <v>583</v>
      </c>
      <c r="F298" s="230"/>
      <c r="G298" s="230"/>
      <c r="H298" s="230"/>
      <c r="I298" s="230"/>
      <c r="J298" s="230"/>
      <c r="K298" s="230"/>
      <c r="L298" s="230"/>
      <c r="M298" s="230"/>
      <c r="N298" s="230"/>
      <c r="O298" s="230"/>
      <c r="P298" s="230"/>
      <c r="Q298" s="230"/>
      <c r="R298" s="230"/>
      <c r="S298" s="230"/>
      <c r="T298" s="230"/>
      <c r="U298" s="161"/>
      <c r="V298" s="204"/>
      <c r="W298" s="204"/>
      <c r="X298" s="204"/>
      <c r="Y298" s="153" t="s">
        <v>380</v>
      </c>
      <c r="Z298" s="235">
        <f>Z299</f>
        <v>0</v>
      </c>
      <c r="AA298" s="235">
        <f>AA299</f>
        <v>0</v>
      </c>
      <c r="AB298" s="235">
        <f>AB299</f>
        <v>0</v>
      </c>
      <c r="AC298" s="558" t="s">
        <v>380</v>
      </c>
    </row>
    <row r="299" spans="1:29" ht="55.5" hidden="1" customHeight="1" x14ac:dyDescent="0.3">
      <c r="A299" s="135" t="s">
        <v>381</v>
      </c>
      <c r="B299" s="140" t="s">
        <v>15</v>
      </c>
      <c r="C299" s="140" t="s">
        <v>126</v>
      </c>
      <c r="D299" s="140" t="s">
        <v>122</v>
      </c>
      <c r="E299" s="230" t="s">
        <v>583</v>
      </c>
      <c r="F299" s="140"/>
      <c r="G299" s="140"/>
      <c r="H299" s="140"/>
      <c r="I299" s="140"/>
      <c r="J299" s="140"/>
      <c r="K299" s="140"/>
      <c r="L299" s="140"/>
      <c r="M299" s="140"/>
      <c r="N299" s="140"/>
      <c r="O299" s="140"/>
      <c r="P299" s="140"/>
      <c r="Q299" s="140"/>
      <c r="R299" s="140"/>
      <c r="S299" s="140"/>
      <c r="T299" s="140" t="s">
        <v>275</v>
      </c>
      <c r="U299" s="136"/>
      <c r="V299" s="137"/>
      <c r="W299" s="137"/>
      <c r="X299" s="137"/>
      <c r="Y299" s="135" t="s">
        <v>381</v>
      </c>
      <c r="Z299" s="210">
        <v>0</v>
      </c>
      <c r="AA299" s="210">
        <v>0</v>
      </c>
      <c r="AB299" s="210">
        <v>0</v>
      </c>
      <c r="AC299" s="211" t="s">
        <v>381</v>
      </c>
    </row>
    <row r="300" spans="1:29" ht="48" hidden="1" customHeight="1" x14ac:dyDescent="0.3">
      <c r="A300" s="486" t="s">
        <v>1024</v>
      </c>
      <c r="B300" s="140" t="s">
        <v>15</v>
      </c>
      <c r="C300" s="140" t="s">
        <v>126</v>
      </c>
      <c r="D300" s="140" t="s">
        <v>122</v>
      </c>
      <c r="E300" s="230" t="s">
        <v>1026</v>
      </c>
      <c r="F300" s="140"/>
      <c r="G300" s="140"/>
      <c r="H300" s="140"/>
      <c r="I300" s="140"/>
      <c r="J300" s="140"/>
      <c r="K300" s="140"/>
      <c r="L300" s="140"/>
      <c r="M300" s="140"/>
      <c r="N300" s="140"/>
      <c r="O300" s="140"/>
      <c r="P300" s="140"/>
      <c r="Q300" s="140"/>
      <c r="R300" s="140"/>
      <c r="S300" s="140"/>
      <c r="T300" s="140"/>
      <c r="U300" s="136"/>
      <c r="V300" s="137"/>
      <c r="W300" s="137"/>
      <c r="X300" s="137"/>
      <c r="Y300" s="135"/>
      <c r="Z300" s="210">
        <f>Z301</f>
        <v>0</v>
      </c>
      <c r="AA300" s="210">
        <v>0</v>
      </c>
      <c r="AB300" s="210">
        <v>0</v>
      </c>
      <c r="AC300" s="211"/>
    </row>
    <row r="301" spans="1:29" ht="66" hidden="1" customHeight="1" x14ac:dyDescent="0.3">
      <c r="A301" s="135" t="s">
        <v>1025</v>
      </c>
      <c r="B301" s="140" t="s">
        <v>15</v>
      </c>
      <c r="C301" s="140" t="s">
        <v>126</v>
      </c>
      <c r="D301" s="140" t="s">
        <v>122</v>
      </c>
      <c r="E301" s="230" t="s">
        <v>1026</v>
      </c>
      <c r="F301" s="140"/>
      <c r="G301" s="140"/>
      <c r="H301" s="140"/>
      <c r="I301" s="140"/>
      <c r="J301" s="140"/>
      <c r="K301" s="140"/>
      <c r="L301" s="140"/>
      <c r="M301" s="140"/>
      <c r="N301" s="140"/>
      <c r="O301" s="140"/>
      <c r="P301" s="140"/>
      <c r="Q301" s="140"/>
      <c r="R301" s="140"/>
      <c r="S301" s="140"/>
      <c r="T301" s="140" t="s">
        <v>275</v>
      </c>
      <c r="U301" s="136"/>
      <c r="V301" s="137"/>
      <c r="W301" s="137"/>
      <c r="X301" s="137"/>
      <c r="Y301" s="135"/>
      <c r="Z301" s="210">
        <v>0</v>
      </c>
      <c r="AA301" s="210">
        <v>0</v>
      </c>
      <c r="AB301" s="210">
        <v>0</v>
      </c>
      <c r="AC301" s="211"/>
    </row>
    <row r="302" spans="1:29" ht="130.5" customHeight="1" x14ac:dyDescent="0.3">
      <c r="A302" s="153" t="s">
        <v>1266</v>
      </c>
      <c r="B302" s="230" t="s">
        <v>15</v>
      </c>
      <c r="C302" s="230" t="s">
        <v>126</v>
      </c>
      <c r="D302" s="230" t="s">
        <v>122</v>
      </c>
      <c r="E302" s="230" t="s">
        <v>584</v>
      </c>
      <c r="F302" s="230"/>
      <c r="G302" s="230"/>
      <c r="H302" s="230"/>
      <c r="I302" s="230"/>
      <c r="J302" s="230"/>
      <c r="K302" s="230"/>
      <c r="L302" s="230"/>
      <c r="M302" s="230"/>
      <c r="N302" s="230"/>
      <c r="O302" s="230"/>
      <c r="P302" s="230"/>
      <c r="Q302" s="230"/>
      <c r="R302" s="230"/>
      <c r="S302" s="230"/>
      <c r="T302" s="230"/>
      <c r="U302" s="161"/>
      <c r="V302" s="204"/>
      <c r="W302" s="204"/>
      <c r="X302" s="204"/>
      <c r="Y302" s="153" t="s">
        <v>380</v>
      </c>
      <c r="Z302" s="235">
        <f>Z303</f>
        <v>797201</v>
      </c>
      <c r="AA302" s="235">
        <f>AA303</f>
        <v>50000</v>
      </c>
      <c r="AB302" s="235">
        <f>AB303</f>
        <v>50000</v>
      </c>
      <c r="AC302" s="558" t="s">
        <v>380</v>
      </c>
    </row>
    <row r="303" spans="1:29" ht="48" customHeight="1" x14ac:dyDescent="0.3">
      <c r="A303" s="135" t="s">
        <v>565</v>
      </c>
      <c r="B303" s="140" t="s">
        <v>15</v>
      </c>
      <c r="C303" s="140" t="s">
        <v>126</v>
      </c>
      <c r="D303" s="140" t="s">
        <v>122</v>
      </c>
      <c r="E303" s="230" t="s">
        <v>584</v>
      </c>
      <c r="F303" s="140"/>
      <c r="G303" s="140"/>
      <c r="H303" s="140"/>
      <c r="I303" s="140"/>
      <c r="J303" s="140"/>
      <c r="K303" s="140"/>
      <c r="L303" s="140"/>
      <c r="M303" s="140"/>
      <c r="N303" s="140"/>
      <c r="O303" s="140"/>
      <c r="P303" s="140"/>
      <c r="Q303" s="140"/>
      <c r="R303" s="140"/>
      <c r="S303" s="140"/>
      <c r="T303" s="140" t="s">
        <v>275</v>
      </c>
      <c r="U303" s="136"/>
      <c r="V303" s="137"/>
      <c r="W303" s="137"/>
      <c r="X303" s="137"/>
      <c r="Y303" s="135" t="s">
        <v>381</v>
      </c>
      <c r="Z303" s="264">
        <f>600000+300000+68190-170989</f>
        <v>797201</v>
      </c>
      <c r="AA303" s="210">
        <v>50000</v>
      </c>
      <c r="AB303" s="210">
        <v>50000</v>
      </c>
      <c r="AC303" s="211" t="s">
        <v>381</v>
      </c>
    </row>
    <row r="304" spans="1:29" ht="131.25" customHeight="1" x14ac:dyDescent="0.3">
      <c r="A304" s="153" t="s">
        <v>1366</v>
      </c>
      <c r="B304" s="140" t="s">
        <v>15</v>
      </c>
      <c r="C304" s="140" t="s">
        <v>126</v>
      </c>
      <c r="D304" s="140" t="s">
        <v>122</v>
      </c>
      <c r="E304" s="230" t="s">
        <v>1367</v>
      </c>
      <c r="F304" s="140"/>
      <c r="G304" s="140"/>
      <c r="H304" s="140"/>
      <c r="I304" s="140"/>
      <c r="J304" s="140"/>
      <c r="K304" s="140"/>
      <c r="L304" s="140"/>
      <c r="M304" s="140"/>
      <c r="N304" s="140"/>
      <c r="O304" s="140"/>
      <c r="P304" s="140"/>
      <c r="Q304" s="140"/>
      <c r="R304" s="140"/>
      <c r="S304" s="140"/>
      <c r="T304" s="140"/>
      <c r="U304" s="136"/>
      <c r="V304" s="137"/>
      <c r="W304" s="137"/>
      <c r="X304" s="137"/>
      <c r="Y304" s="135"/>
      <c r="Z304" s="264">
        <f>Z305</f>
        <v>5900000</v>
      </c>
      <c r="AA304" s="210">
        <f>AA305</f>
        <v>631300</v>
      </c>
      <c r="AB304" s="210">
        <f>AB305</f>
        <v>841400</v>
      </c>
      <c r="AC304" s="211"/>
    </row>
    <row r="305" spans="1:29" ht="58.5" customHeight="1" x14ac:dyDescent="0.3">
      <c r="A305" s="135" t="s">
        <v>565</v>
      </c>
      <c r="B305" s="140" t="s">
        <v>15</v>
      </c>
      <c r="C305" s="140" t="s">
        <v>126</v>
      </c>
      <c r="D305" s="140" t="s">
        <v>122</v>
      </c>
      <c r="E305" s="230" t="s">
        <v>1367</v>
      </c>
      <c r="F305" s="140"/>
      <c r="G305" s="140"/>
      <c r="H305" s="140"/>
      <c r="I305" s="140"/>
      <c r="J305" s="140"/>
      <c r="K305" s="140"/>
      <c r="L305" s="140"/>
      <c r="M305" s="140"/>
      <c r="N305" s="140"/>
      <c r="O305" s="140"/>
      <c r="P305" s="140"/>
      <c r="Q305" s="140"/>
      <c r="R305" s="140"/>
      <c r="S305" s="140"/>
      <c r="T305" s="140" t="s">
        <v>275</v>
      </c>
      <c r="U305" s="136"/>
      <c r="V305" s="137"/>
      <c r="W305" s="137"/>
      <c r="X305" s="137"/>
      <c r="Y305" s="135"/>
      <c r="Z305" s="264">
        <v>5900000</v>
      </c>
      <c r="AA305" s="210">
        <v>631300</v>
      </c>
      <c r="AB305" s="210">
        <v>841400</v>
      </c>
      <c r="AC305" s="211"/>
    </row>
    <row r="306" spans="1:29" ht="176.25" customHeight="1" x14ac:dyDescent="0.3">
      <c r="A306" s="153" t="s">
        <v>1267</v>
      </c>
      <c r="B306" s="230" t="s">
        <v>15</v>
      </c>
      <c r="C306" s="230" t="s">
        <v>126</v>
      </c>
      <c r="D306" s="230" t="s">
        <v>122</v>
      </c>
      <c r="E306" s="230" t="s">
        <v>585</v>
      </c>
      <c r="F306" s="230"/>
      <c r="G306" s="230"/>
      <c r="H306" s="230"/>
      <c r="I306" s="230"/>
      <c r="J306" s="230"/>
      <c r="K306" s="230"/>
      <c r="L306" s="230"/>
      <c r="M306" s="230"/>
      <c r="N306" s="230"/>
      <c r="O306" s="230"/>
      <c r="P306" s="230"/>
      <c r="Q306" s="230"/>
      <c r="R306" s="230"/>
      <c r="S306" s="230"/>
      <c r="T306" s="230"/>
      <c r="U306" s="161"/>
      <c r="V306" s="204"/>
      <c r="W306" s="204"/>
      <c r="X306" s="204"/>
      <c r="Y306" s="153" t="s">
        <v>382</v>
      </c>
      <c r="Z306" s="235">
        <f>Z307</f>
        <v>77599.999999999942</v>
      </c>
      <c r="AA306" s="235">
        <f>AA307</f>
        <v>100000</v>
      </c>
      <c r="AB306" s="235">
        <f>AB307</f>
        <v>100000</v>
      </c>
      <c r="AC306" s="558" t="s">
        <v>382</v>
      </c>
    </row>
    <row r="307" spans="1:29" ht="49.5" customHeight="1" x14ac:dyDescent="0.3">
      <c r="A307" s="1013" t="s">
        <v>565</v>
      </c>
      <c r="B307" s="1014" t="s">
        <v>15</v>
      </c>
      <c r="C307" s="1014" t="s">
        <v>126</v>
      </c>
      <c r="D307" s="1014" t="s">
        <v>122</v>
      </c>
      <c r="E307" s="1015" t="s">
        <v>585</v>
      </c>
      <c r="F307" s="1014"/>
      <c r="G307" s="1014"/>
      <c r="H307" s="1014"/>
      <c r="I307" s="1014"/>
      <c r="J307" s="1014"/>
      <c r="K307" s="1014"/>
      <c r="L307" s="1014"/>
      <c r="M307" s="1014"/>
      <c r="N307" s="1014"/>
      <c r="O307" s="1014"/>
      <c r="P307" s="1014"/>
      <c r="Q307" s="1014"/>
      <c r="R307" s="1014"/>
      <c r="S307" s="1014"/>
      <c r="T307" s="1014" t="s">
        <v>275</v>
      </c>
      <c r="U307" s="1016"/>
      <c r="V307" s="1017"/>
      <c r="W307" s="1017"/>
      <c r="X307" s="1017"/>
      <c r="Y307" s="1013" t="s">
        <v>383</v>
      </c>
      <c r="Z307" s="1070">
        <f>1150000+1300000-89000-200000-666359+450000.69-450000-961458-250000-40039-150000-14014+77600-79130.69</f>
        <v>77599.999999999942</v>
      </c>
      <c r="AA307" s="210">
        <v>100000</v>
      </c>
      <c r="AB307" s="210">
        <v>100000</v>
      </c>
      <c r="AC307" s="211" t="s">
        <v>383</v>
      </c>
    </row>
    <row r="308" spans="1:29" ht="0.75" hidden="1" customHeight="1" x14ac:dyDescent="0.3">
      <c r="A308" s="153" t="s">
        <v>586</v>
      </c>
      <c r="B308" s="230" t="s">
        <v>15</v>
      </c>
      <c r="C308" s="230" t="s">
        <v>126</v>
      </c>
      <c r="D308" s="230" t="s">
        <v>122</v>
      </c>
      <c r="E308" s="230" t="s">
        <v>587</v>
      </c>
      <c r="F308" s="230"/>
      <c r="G308" s="230"/>
      <c r="H308" s="230"/>
      <c r="I308" s="230"/>
      <c r="J308" s="230"/>
      <c r="K308" s="230"/>
      <c r="L308" s="230"/>
      <c r="M308" s="230"/>
      <c r="N308" s="230"/>
      <c r="O308" s="230"/>
      <c r="P308" s="230"/>
      <c r="Q308" s="230"/>
      <c r="R308" s="230"/>
      <c r="S308" s="230"/>
      <c r="T308" s="230"/>
      <c r="U308" s="161"/>
      <c r="V308" s="204"/>
      <c r="W308" s="204"/>
      <c r="X308" s="204"/>
      <c r="Y308" s="153" t="s">
        <v>384</v>
      </c>
      <c r="Z308" s="235">
        <f>Z309</f>
        <v>0</v>
      </c>
      <c r="AA308" s="235">
        <f>AA309</f>
        <v>0</v>
      </c>
      <c r="AB308" s="235">
        <f>AB309</f>
        <v>0</v>
      </c>
      <c r="AC308" s="558" t="s">
        <v>384</v>
      </c>
    </row>
    <row r="309" spans="1:29" ht="43.5" hidden="1" customHeight="1" x14ac:dyDescent="0.3">
      <c r="A309" s="135" t="s">
        <v>733</v>
      </c>
      <c r="B309" s="140" t="s">
        <v>15</v>
      </c>
      <c r="C309" s="140" t="s">
        <v>126</v>
      </c>
      <c r="D309" s="140" t="s">
        <v>122</v>
      </c>
      <c r="E309" s="230" t="s">
        <v>587</v>
      </c>
      <c r="F309" s="140"/>
      <c r="G309" s="140"/>
      <c r="H309" s="140"/>
      <c r="I309" s="140"/>
      <c r="J309" s="140"/>
      <c r="K309" s="140"/>
      <c r="L309" s="140"/>
      <c r="M309" s="140"/>
      <c r="N309" s="140"/>
      <c r="O309" s="140"/>
      <c r="P309" s="140"/>
      <c r="Q309" s="140"/>
      <c r="R309" s="140"/>
      <c r="S309" s="140"/>
      <c r="T309" s="140" t="s">
        <v>350</v>
      </c>
      <c r="U309" s="136"/>
      <c r="V309" s="137"/>
      <c r="W309" s="137"/>
      <c r="X309" s="137"/>
      <c r="Y309" s="135" t="s">
        <v>385</v>
      </c>
      <c r="Z309" s="210">
        <v>0</v>
      </c>
      <c r="AA309" s="210">
        <v>0</v>
      </c>
      <c r="AB309" s="210">
        <v>0</v>
      </c>
      <c r="AC309" s="211" t="s">
        <v>385</v>
      </c>
    </row>
    <row r="310" spans="1:29" ht="148.5" customHeight="1" x14ac:dyDescent="0.3">
      <c r="A310" s="291" t="s">
        <v>1545</v>
      </c>
      <c r="B310" s="140" t="s">
        <v>15</v>
      </c>
      <c r="C310" s="140" t="s">
        <v>126</v>
      </c>
      <c r="D310" s="140" t="s">
        <v>122</v>
      </c>
      <c r="E310" s="230" t="s">
        <v>975</v>
      </c>
      <c r="F310" s="140"/>
      <c r="G310" s="140"/>
      <c r="H310" s="140"/>
      <c r="I310" s="140"/>
      <c r="J310" s="140"/>
      <c r="K310" s="140"/>
      <c r="L310" s="140"/>
      <c r="M310" s="140"/>
      <c r="N310" s="140"/>
      <c r="O310" s="140"/>
      <c r="P310" s="140"/>
      <c r="Q310" s="140"/>
      <c r="R310" s="140"/>
      <c r="S310" s="140"/>
      <c r="T310" s="140"/>
      <c r="U310" s="136"/>
      <c r="V310" s="137"/>
      <c r="W310" s="137"/>
      <c r="X310" s="137"/>
      <c r="Y310" s="135"/>
      <c r="Z310" s="210">
        <f>Z311</f>
        <v>0</v>
      </c>
      <c r="AA310" s="210">
        <v>0</v>
      </c>
      <c r="AB310" s="210">
        <v>0</v>
      </c>
      <c r="AC310" s="211"/>
    </row>
    <row r="311" spans="1:29" ht="37.9" customHeight="1" x14ac:dyDescent="0.3">
      <c r="A311" s="339" t="s">
        <v>565</v>
      </c>
      <c r="B311" s="140" t="s">
        <v>15</v>
      </c>
      <c r="C311" s="140" t="s">
        <v>126</v>
      </c>
      <c r="D311" s="140" t="s">
        <v>122</v>
      </c>
      <c r="E311" s="230" t="s">
        <v>975</v>
      </c>
      <c r="F311" s="140"/>
      <c r="G311" s="140"/>
      <c r="H311" s="140"/>
      <c r="I311" s="140"/>
      <c r="J311" s="140"/>
      <c r="K311" s="140"/>
      <c r="L311" s="140"/>
      <c r="M311" s="140"/>
      <c r="N311" s="140"/>
      <c r="O311" s="140"/>
      <c r="P311" s="140"/>
      <c r="Q311" s="140"/>
      <c r="R311" s="140"/>
      <c r="S311" s="140"/>
      <c r="T311" s="140" t="s">
        <v>275</v>
      </c>
      <c r="U311" s="136"/>
      <c r="V311" s="137"/>
      <c r="W311" s="137"/>
      <c r="X311" s="137"/>
      <c r="Y311" s="135"/>
      <c r="Z311" s="210">
        <v>0</v>
      </c>
      <c r="AA311" s="210">
        <v>0</v>
      </c>
      <c r="AB311" s="210">
        <v>0</v>
      </c>
      <c r="AC311" s="211"/>
    </row>
    <row r="312" spans="1:29" ht="89.25" customHeight="1" x14ac:dyDescent="0.3">
      <c r="A312" s="153" t="s">
        <v>242</v>
      </c>
      <c r="B312" s="230" t="s">
        <v>15</v>
      </c>
      <c r="C312" s="230" t="s">
        <v>126</v>
      </c>
      <c r="D312" s="230" t="s">
        <v>122</v>
      </c>
      <c r="E312" s="230" t="s">
        <v>588</v>
      </c>
      <c r="F312" s="230"/>
      <c r="G312" s="230"/>
      <c r="H312" s="230"/>
      <c r="I312" s="230"/>
      <c r="J312" s="230"/>
      <c r="K312" s="230"/>
      <c r="L312" s="230"/>
      <c r="M312" s="230"/>
      <c r="N312" s="230"/>
      <c r="O312" s="230"/>
      <c r="P312" s="230"/>
      <c r="Q312" s="230"/>
      <c r="R312" s="230"/>
      <c r="S312" s="230"/>
      <c r="T312" s="230"/>
      <c r="U312" s="161"/>
      <c r="V312" s="204"/>
      <c r="W312" s="204"/>
      <c r="X312" s="204"/>
      <c r="Y312" s="153" t="s">
        <v>242</v>
      </c>
      <c r="Z312" s="235">
        <f>Z313</f>
        <v>395924</v>
      </c>
      <c r="AA312" s="235">
        <f>AA313</f>
        <v>400000</v>
      </c>
      <c r="AB312" s="235">
        <f>AB313</f>
        <v>400000</v>
      </c>
      <c r="AC312" s="558" t="s">
        <v>242</v>
      </c>
    </row>
    <row r="313" spans="1:29" ht="48" customHeight="1" x14ac:dyDescent="0.3">
      <c r="A313" s="135" t="s">
        <v>565</v>
      </c>
      <c r="B313" s="140" t="s">
        <v>15</v>
      </c>
      <c r="C313" s="140" t="s">
        <v>126</v>
      </c>
      <c r="D313" s="140" t="s">
        <v>122</v>
      </c>
      <c r="E313" s="230" t="s">
        <v>588</v>
      </c>
      <c r="F313" s="140"/>
      <c r="G313" s="140"/>
      <c r="H313" s="140"/>
      <c r="I313" s="140"/>
      <c r="J313" s="140"/>
      <c r="K313" s="140"/>
      <c r="L313" s="140"/>
      <c r="M313" s="140"/>
      <c r="N313" s="140"/>
      <c r="O313" s="140"/>
      <c r="P313" s="140"/>
      <c r="Q313" s="140"/>
      <c r="R313" s="140"/>
      <c r="S313" s="140"/>
      <c r="T313" s="140" t="s">
        <v>275</v>
      </c>
      <c r="U313" s="136"/>
      <c r="V313" s="137"/>
      <c r="W313" s="137"/>
      <c r="X313" s="137"/>
      <c r="Y313" s="135" t="s">
        <v>386</v>
      </c>
      <c r="Z313" s="210">
        <f>400000-150000+970000-824076</f>
        <v>395924</v>
      </c>
      <c r="AA313" s="210">
        <v>400000</v>
      </c>
      <c r="AB313" s="210">
        <v>400000</v>
      </c>
      <c r="AC313" s="211" t="s">
        <v>386</v>
      </c>
    </row>
    <row r="314" spans="1:29" ht="79.5" hidden="1" customHeight="1" x14ac:dyDescent="0.3">
      <c r="A314" s="159"/>
      <c r="B314" s="160"/>
      <c r="C314" s="160"/>
      <c r="D314" s="160"/>
      <c r="E314" s="139"/>
      <c r="F314" s="160"/>
      <c r="G314" s="160"/>
      <c r="H314" s="160"/>
      <c r="I314" s="160"/>
      <c r="J314" s="160"/>
      <c r="K314" s="160"/>
      <c r="L314" s="160"/>
      <c r="M314" s="160"/>
      <c r="N314" s="160"/>
      <c r="O314" s="160"/>
      <c r="P314" s="160"/>
      <c r="Q314" s="160"/>
      <c r="R314" s="160"/>
      <c r="S314" s="160"/>
      <c r="T314" s="160"/>
      <c r="U314" s="160"/>
      <c r="V314" s="212"/>
      <c r="W314" s="212"/>
      <c r="X314" s="212"/>
      <c r="Y314" s="159"/>
      <c r="Z314" s="213"/>
      <c r="AA314" s="213"/>
      <c r="AB314" s="213"/>
      <c r="AC314" s="288" t="s">
        <v>387</v>
      </c>
    </row>
    <row r="315" spans="1:29" ht="79.5" hidden="1" customHeight="1" x14ac:dyDescent="0.3">
      <c r="A315" s="159"/>
      <c r="B315" s="160"/>
      <c r="C315" s="160"/>
      <c r="D315" s="160"/>
      <c r="E315" s="139"/>
      <c r="F315" s="160"/>
      <c r="G315" s="160"/>
      <c r="H315" s="160"/>
      <c r="I315" s="160"/>
      <c r="J315" s="160"/>
      <c r="K315" s="160"/>
      <c r="L315" s="160"/>
      <c r="M315" s="160"/>
      <c r="N315" s="160"/>
      <c r="O315" s="160"/>
      <c r="P315" s="160"/>
      <c r="Q315" s="160"/>
      <c r="R315" s="160"/>
      <c r="S315" s="160"/>
      <c r="T315" s="160"/>
      <c r="U315" s="160"/>
      <c r="V315" s="212"/>
      <c r="W315" s="212"/>
      <c r="X315" s="212"/>
      <c r="Y315" s="159"/>
      <c r="Z315" s="213"/>
      <c r="AA315" s="213"/>
      <c r="AB315" s="213"/>
      <c r="AC315" s="288" t="s">
        <v>161</v>
      </c>
    </row>
    <row r="316" spans="1:29" ht="79.5" hidden="1" customHeight="1" x14ac:dyDescent="0.3">
      <c r="A316" s="155"/>
      <c r="B316" s="230"/>
      <c r="C316" s="230"/>
      <c r="D316" s="230"/>
      <c r="E316" s="230"/>
      <c r="F316" s="230"/>
      <c r="G316" s="230"/>
      <c r="H316" s="230"/>
      <c r="I316" s="230"/>
      <c r="J316" s="230"/>
      <c r="K316" s="230"/>
      <c r="L316" s="230"/>
      <c r="M316" s="230"/>
      <c r="N316" s="230"/>
      <c r="O316" s="230"/>
      <c r="P316" s="230"/>
      <c r="Q316" s="230"/>
      <c r="R316" s="230"/>
      <c r="S316" s="230"/>
      <c r="T316" s="230"/>
      <c r="U316" s="161"/>
      <c r="V316" s="204"/>
      <c r="W316" s="204"/>
      <c r="X316" s="204"/>
      <c r="Y316" s="155"/>
      <c r="Z316" s="235"/>
      <c r="AA316" s="235"/>
      <c r="AB316" s="235"/>
      <c r="AC316" s="563" t="s">
        <v>227</v>
      </c>
    </row>
    <row r="317" spans="1:29" ht="79.5" hidden="1" customHeight="1" x14ac:dyDescent="0.3">
      <c r="A317" s="154"/>
      <c r="B317" s="140"/>
      <c r="C317" s="140"/>
      <c r="D317" s="140"/>
      <c r="E317" s="230"/>
      <c r="F317" s="140"/>
      <c r="G317" s="140"/>
      <c r="H317" s="140"/>
      <c r="I317" s="140"/>
      <c r="J317" s="140"/>
      <c r="K317" s="140"/>
      <c r="L317" s="140"/>
      <c r="M317" s="140"/>
      <c r="N317" s="140"/>
      <c r="O317" s="140"/>
      <c r="P317" s="140"/>
      <c r="Q317" s="140"/>
      <c r="R317" s="140"/>
      <c r="S317" s="140"/>
      <c r="T317" s="140"/>
      <c r="U317" s="136"/>
      <c r="V317" s="137"/>
      <c r="W317" s="137"/>
      <c r="X317" s="137"/>
      <c r="Y317" s="154"/>
      <c r="Z317" s="210"/>
      <c r="AA317" s="210"/>
      <c r="AB317" s="210"/>
      <c r="AC317" s="559" t="s">
        <v>388</v>
      </c>
    </row>
    <row r="318" spans="1:29" ht="79.5" hidden="1" customHeight="1" x14ac:dyDescent="0.3">
      <c r="A318" s="154"/>
      <c r="B318" s="140"/>
      <c r="C318" s="140"/>
      <c r="D318" s="140"/>
      <c r="E318" s="230"/>
      <c r="F318" s="140"/>
      <c r="G318" s="140"/>
      <c r="H318" s="140"/>
      <c r="I318" s="140"/>
      <c r="J318" s="140"/>
      <c r="K318" s="140"/>
      <c r="L318" s="140"/>
      <c r="M318" s="140"/>
      <c r="N318" s="140"/>
      <c r="O318" s="140"/>
      <c r="P318" s="140"/>
      <c r="Q318" s="140"/>
      <c r="R318" s="140"/>
      <c r="S318" s="140"/>
      <c r="T318" s="140"/>
      <c r="U318" s="136"/>
      <c r="V318" s="137"/>
      <c r="W318" s="137"/>
      <c r="X318" s="137"/>
      <c r="Y318" s="154"/>
      <c r="Z318" s="210"/>
      <c r="AA318" s="210"/>
      <c r="AB318" s="210"/>
      <c r="AC318" s="559" t="s">
        <v>389</v>
      </c>
    </row>
    <row r="319" spans="1:29" ht="27.75" customHeight="1" x14ac:dyDescent="0.3">
      <c r="A319" s="159" t="s">
        <v>390</v>
      </c>
      <c r="B319" s="160" t="s">
        <v>15</v>
      </c>
      <c r="C319" s="160" t="s">
        <v>143</v>
      </c>
      <c r="D319" s="160" t="s">
        <v>133</v>
      </c>
      <c r="E319" s="139"/>
      <c r="F319" s="160"/>
      <c r="G319" s="160"/>
      <c r="H319" s="160"/>
      <c r="I319" s="160"/>
      <c r="J319" s="160"/>
      <c r="K319" s="160"/>
      <c r="L319" s="160"/>
      <c r="M319" s="160"/>
      <c r="N319" s="160"/>
      <c r="O319" s="160"/>
      <c r="P319" s="160"/>
      <c r="Q319" s="160"/>
      <c r="R319" s="160"/>
      <c r="S319" s="160"/>
      <c r="T319" s="160"/>
      <c r="U319" s="160"/>
      <c r="V319" s="212"/>
      <c r="W319" s="212"/>
      <c r="X319" s="212"/>
      <c r="Y319" s="159" t="s">
        <v>390</v>
      </c>
      <c r="Z319" s="213">
        <f>Z320+Z325+Z343</f>
        <v>10667810.809999999</v>
      </c>
      <c r="AA319" s="213">
        <f>AA320+AA325+AA343</f>
        <v>7375415.3799999999</v>
      </c>
      <c r="AB319" s="213">
        <f>AB320+AB325+AB343</f>
        <v>7375415.3799999999</v>
      </c>
      <c r="AC319" s="288" t="s">
        <v>390</v>
      </c>
    </row>
    <row r="320" spans="1:29" ht="18.600000000000001" customHeight="1" x14ac:dyDescent="0.3">
      <c r="A320" s="159" t="s">
        <v>162</v>
      </c>
      <c r="B320" s="160" t="s">
        <v>15</v>
      </c>
      <c r="C320" s="160" t="s">
        <v>143</v>
      </c>
      <c r="D320" s="160" t="s">
        <v>122</v>
      </c>
      <c r="E320" s="139"/>
      <c r="F320" s="160"/>
      <c r="G320" s="160"/>
      <c r="H320" s="160"/>
      <c r="I320" s="160"/>
      <c r="J320" s="160"/>
      <c r="K320" s="160"/>
      <c r="L320" s="160"/>
      <c r="M320" s="160"/>
      <c r="N320" s="160"/>
      <c r="O320" s="160"/>
      <c r="P320" s="160"/>
      <c r="Q320" s="160"/>
      <c r="R320" s="160"/>
      <c r="S320" s="160"/>
      <c r="T320" s="160"/>
      <c r="U320" s="160"/>
      <c r="V320" s="212"/>
      <c r="W320" s="212"/>
      <c r="X320" s="212"/>
      <c r="Y320" s="159" t="s">
        <v>162</v>
      </c>
      <c r="Z320" s="213">
        <f>Z321+Z323</f>
        <v>2388615.38</v>
      </c>
      <c r="AA320" s="213">
        <f>AA321+AA323</f>
        <v>1758615.38</v>
      </c>
      <c r="AB320" s="213">
        <f>AB321+AB323</f>
        <v>1758615.38</v>
      </c>
      <c r="AC320" s="288" t="s">
        <v>162</v>
      </c>
    </row>
    <row r="321" spans="1:29" ht="96" customHeight="1" x14ac:dyDescent="0.3">
      <c r="A321" s="153" t="s">
        <v>391</v>
      </c>
      <c r="B321" s="161" t="s">
        <v>15</v>
      </c>
      <c r="C321" s="161" t="s">
        <v>143</v>
      </c>
      <c r="D321" s="161" t="s">
        <v>122</v>
      </c>
      <c r="E321" s="230" t="s">
        <v>606</v>
      </c>
      <c r="F321" s="161"/>
      <c r="G321" s="161"/>
      <c r="H321" s="161"/>
      <c r="I321" s="161"/>
      <c r="J321" s="161"/>
      <c r="K321" s="161"/>
      <c r="L321" s="161"/>
      <c r="M321" s="161"/>
      <c r="N321" s="161"/>
      <c r="O321" s="161"/>
      <c r="P321" s="161"/>
      <c r="Q321" s="161"/>
      <c r="R321" s="161"/>
      <c r="S321" s="161"/>
      <c r="T321" s="161"/>
      <c r="U321" s="161"/>
      <c r="V321" s="204"/>
      <c r="W321" s="204"/>
      <c r="X321" s="204"/>
      <c r="Y321" s="153" t="s">
        <v>391</v>
      </c>
      <c r="Z321" s="235">
        <f>Z322</f>
        <v>2285685.69</v>
      </c>
      <c r="AA321" s="235">
        <f>AA322</f>
        <v>1643415.38</v>
      </c>
      <c r="AB321" s="235">
        <f>AB322</f>
        <v>1643415.38</v>
      </c>
      <c r="AC321" s="558" t="s">
        <v>391</v>
      </c>
    </row>
    <row r="322" spans="1:29" ht="115.9" customHeight="1" x14ac:dyDescent="0.3">
      <c r="A322" s="135" t="s">
        <v>392</v>
      </c>
      <c r="B322" s="136" t="s">
        <v>15</v>
      </c>
      <c r="C322" s="136" t="s">
        <v>143</v>
      </c>
      <c r="D322" s="136" t="s">
        <v>122</v>
      </c>
      <c r="E322" s="230" t="s">
        <v>606</v>
      </c>
      <c r="F322" s="136"/>
      <c r="G322" s="136"/>
      <c r="H322" s="136"/>
      <c r="I322" s="136"/>
      <c r="J322" s="136"/>
      <c r="K322" s="136"/>
      <c r="L322" s="136"/>
      <c r="M322" s="136"/>
      <c r="N322" s="136"/>
      <c r="O322" s="136"/>
      <c r="P322" s="136"/>
      <c r="Q322" s="136"/>
      <c r="R322" s="136"/>
      <c r="S322" s="136"/>
      <c r="T322" s="136" t="s">
        <v>393</v>
      </c>
      <c r="U322" s="136"/>
      <c r="V322" s="137"/>
      <c r="W322" s="137"/>
      <c r="X322" s="137"/>
      <c r="Y322" s="135" t="s">
        <v>392</v>
      </c>
      <c r="Z322" s="210">
        <f>1427098.38+213609.02+2707.98+300000+330000+12270.31</f>
        <v>2285685.69</v>
      </c>
      <c r="AA322" s="210">
        <v>1643415.38</v>
      </c>
      <c r="AB322" s="210">
        <v>1643415.38</v>
      </c>
      <c r="AC322" s="211" t="s">
        <v>392</v>
      </c>
    </row>
    <row r="323" spans="1:29" ht="178.9" customHeight="1" x14ac:dyDescent="0.3">
      <c r="A323" s="155" t="s">
        <v>469</v>
      </c>
      <c r="B323" s="136" t="s">
        <v>15</v>
      </c>
      <c r="C323" s="136" t="s">
        <v>143</v>
      </c>
      <c r="D323" s="136" t="s">
        <v>122</v>
      </c>
      <c r="E323" s="230" t="s">
        <v>607</v>
      </c>
      <c r="F323" s="136"/>
      <c r="G323" s="136"/>
      <c r="H323" s="136"/>
      <c r="I323" s="136"/>
      <c r="J323" s="136"/>
      <c r="K323" s="136"/>
      <c r="L323" s="136"/>
      <c r="M323" s="136"/>
      <c r="N323" s="136"/>
      <c r="O323" s="136"/>
      <c r="P323" s="136"/>
      <c r="Q323" s="136"/>
      <c r="R323" s="136"/>
      <c r="S323" s="136"/>
      <c r="T323" s="136"/>
      <c r="U323" s="136"/>
      <c r="V323" s="137"/>
      <c r="W323" s="137"/>
      <c r="X323" s="137"/>
      <c r="Y323" s="135"/>
      <c r="Z323" s="210">
        <f>Z324</f>
        <v>102929.69</v>
      </c>
      <c r="AA323" s="210">
        <f>AA324</f>
        <v>115200</v>
      </c>
      <c r="AB323" s="210">
        <f>AB324</f>
        <v>115200</v>
      </c>
      <c r="AC323" s="211"/>
    </row>
    <row r="324" spans="1:29" ht="40.9" customHeight="1" x14ac:dyDescent="0.3">
      <c r="A324" s="154" t="s">
        <v>727</v>
      </c>
      <c r="B324" s="136" t="s">
        <v>15</v>
      </c>
      <c r="C324" s="136" t="s">
        <v>143</v>
      </c>
      <c r="D324" s="136" t="s">
        <v>122</v>
      </c>
      <c r="E324" s="230" t="s">
        <v>607</v>
      </c>
      <c r="F324" s="136"/>
      <c r="G324" s="136"/>
      <c r="H324" s="136"/>
      <c r="I324" s="136"/>
      <c r="J324" s="136"/>
      <c r="K324" s="136"/>
      <c r="L324" s="136"/>
      <c r="M324" s="136"/>
      <c r="N324" s="136"/>
      <c r="O324" s="136"/>
      <c r="P324" s="136"/>
      <c r="Q324" s="136"/>
      <c r="R324" s="136"/>
      <c r="S324" s="136"/>
      <c r="T324" s="136" t="s">
        <v>393</v>
      </c>
      <c r="U324" s="136"/>
      <c r="V324" s="137"/>
      <c r="W324" s="137"/>
      <c r="X324" s="137"/>
      <c r="Y324" s="135"/>
      <c r="Z324" s="210">
        <f>115200-12270.31</f>
        <v>102929.69</v>
      </c>
      <c r="AA324" s="210">
        <v>115200</v>
      </c>
      <c r="AB324" s="210">
        <v>115200</v>
      </c>
      <c r="AC324" s="211"/>
    </row>
    <row r="325" spans="1:29" ht="37.15" customHeight="1" x14ac:dyDescent="0.3">
      <c r="A325" s="159" t="s">
        <v>163</v>
      </c>
      <c r="B325" s="160" t="s">
        <v>15</v>
      </c>
      <c r="C325" s="160" t="s">
        <v>143</v>
      </c>
      <c r="D325" s="160" t="s">
        <v>123</v>
      </c>
      <c r="E325" s="139"/>
      <c r="F325" s="160"/>
      <c r="G325" s="160"/>
      <c r="H325" s="160"/>
      <c r="I325" s="160"/>
      <c r="J325" s="160"/>
      <c r="K325" s="160"/>
      <c r="L325" s="160"/>
      <c r="M325" s="160"/>
      <c r="N325" s="160"/>
      <c r="O325" s="160"/>
      <c r="P325" s="160"/>
      <c r="Q325" s="160"/>
      <c r="R325" s="160"/>
      <c r="S325" s="160"/>
      <c r="T325" s="160"/>
      <c r="U325" s="160"/>
      <c r="V325" s="212"/>
      <c r="W325" s="212"/>
      <c r="X325" s="212"/>
      <c r="Y325" s="159" t="s">
        <v>163</v>
      </c>
      <c r="Z325" s="213">
        <f>Z326+Z332+Z334+Z338+Z341+Z328+Z330+Z336</f>
        <v>4547472.25</v>
      </c>
      <c r="AA325" s="213">
        <f>AA326+AA332+AA334+AA338+AA341+AA328+AA330</f>
        <v>350000</v>
      </c>
      <c r="AB325" s="213">
        <f>AB326+AB332+AB334+AB338+AB341+AB328+AB330</f>
        <v>350000</v>
      </c>
      <c r="AC325" s="288" t="s">
        <v>163</v>
      </c>
    </row>
    <row r="326" spans="1:29" ht="151.15" customHeight="1" x14ac:dyDescent="0.3">
      <c r="A326" s="153" t="s">
        <v>1342</v>
      </c>
      <c r="B326" s="161" t="s">
        <v>15</v>
      </c>
      <c r="C326" s="161" t="s">
        <v>143</v>
      </c>
      <c r="D326" s="161" t="s">
        <v>123</v>
      </c>
      <c r="E326" s="230" t="s">
        <v>608</v>
      </c>
      <c r="F326" s="161"/>
      <c r="G326" s="161"/>
      <c r="H326" s="161"/>
      <c r="I326" s="161"/>
      <c r="J326" s="161"/>
      <c r="K326" s="161"/>
      <c r="L326" s="161"/>
      <c r="M326" s="161"/>
      <c r="N326" s="161"/>
      <c r="O326" s="161"/>
      <c r="P326" s="161"/>
      <c r="Q326" s="161"/>
      <c r="R326" s="161"/>
      <c r="S326" s="161"/>
      <c r="T326" s="161"/>
      <c r="U326" s="161"/>
      <c r="V326" s="204"/>
      <c r="W326" s="204"/>
      <c r="X326" s="204"/>
      <c r="Y326" s="153" t="s">
        <v>394</v>
      </c>
      <c r="Z326" s="235">
        <f>Z327</f>
        <v>0</v>
      </c>
      <c r="AA326" s="235">
        <f>AA327</f>
        <v>50000</v>
      </c>
      <c r="AB326" s="235">
        <f>AB327</f>
        <v>50000</v>
      </c>
      <c r="AC326" s="558" t="s">
        <v>394</v>
      </c>
    </row>
    <row r="327" spans="1:29" ht="48" customHeight="1" x14ac:dyDescent="0.3">
      <c r="A327" s="135" t="s">
        <v>565</v>
      </c>
      <c r="B327" s="136" t="s">
        <v>15</v>
      </c>
      <c r="C327" s="136" t="s">
        <v>143</v>
      </c>
      <c r="D327" s="136" t="s">
        <v>123</v>
      </c>
      <c r="E327" s="230" t="s">
        <v>608</v>
      </c>
      <c r="F327" s="136"/>
      <c r="G327" s="136"/>
      <c r="H327" s="136"/>
      <c r="I327" s="136"/>
      <c r="J327" s="136"/>
      <c r="K327" s="136"/>
      <c r="L327" s="136"/>
      <c r="M327" s="136"/>
      <c r="N327" s="136"/>
      <c r="O327" s="136"/>
      <c r="P327" s="136"/>
      <c r="Q327" s="136"/>
      <c r="R327" s="136"/>
      <c r="S327" s="136"/>
      <c r="T327" s="136" t="s">
        <v>275</v>
      </c>
      <c r="U327" s="136"/>
      <c r="V327" s="137"/>
      <c r="W327" s="137"/>
      <c r="X327" s="137"/>
      <c r="Y327" s="135" t="s">
        <v>395</v>
      </c>
      <c r="Z327" s="210">
        <f>50000-50000</f>
        <v>0</v>
      </c>
      <c r="AA327" s="210">
        <v>50000</v>
      </c>
      <c r="AB327" s="210">
        <v>50000</v>
      </c>
      <c r="AC327" s="211" t="s">
        <v>395</v>
      </c>
    </row>
    <row r="328" spans="1:29" s="271" customFormat="1" ht="144" hidden="1" customHeight="1" x14ac:dyDescent="0.3">
      <c r="A328" s="220" t="s">
        <v>609</v>
      </c>
      <c r="B328" s="136" t="s">
        <v>15</v>
      </c>
      <c r="C328" s="136" t="s">
        <v>143</v>
      </c>
      <c r="D328" s="136" t="s">
        <v>123</v>
      </c>
      <c r="E328" s="230" t="s">
        <v>1001</v>
      </c>
      <c r="F328" s="136"/>
      <c r="G328" s="136"/>
      <c r="H328" s="136"/>
      <c r="I328" s="136"/>
      <c r="J328" s="136"/>
      <c r="K328" s="136"/>
      <c r="L328" s="136"/>
      <c r="M328" s="136"/>
      <c r="N328" s="136"/>
      <c r="O328" s="136"/>
      <c r="P328" s="136"/>
      <c r="Q328" s="136"/>
      <c r="R328" s="136"/>
      <c r="S328" s="136"/>
      <c r="T328" s="136"/>
      <c r="U328" s="136"/>
      <c r="V328" s="137"/>
      <c r="W328" s="137"/>
      <c r="X328" s="137"/>
      <c r="Y328" s="135"/>
      <c r="Z328" s="210">
        <f>Z329</f>
        <v>0</v>
      </c>
      <c r="AA328" s="210">
        <f>AA329</f>
        <v>0</v>
      </c>
      <c r="AB328" s="210">
        <f>AB329</f>
        <v>0</v>
      </c>
      <c r="AC328" s="561"/>
    </row>
    <row r="329" spans="1:29" s="271" customFormat="1" ht="77.25" hidden="1" customHeight="1" x14ac:dyDescent="0.3">
      <c r="A329" s="261" t="s">
        <v>397</v>
      </c>
      <c r="B329" s="136" t="s">
        <v>15</v>
      </c>
      <c r="C329" s="136" t="s">
        <v>143</v>
      </c>
      <c r="D329" s="136" t="s">
        <v>123</v>
      </c>
      <c r="E329" s="230" t="s">
        <v>1001</v>
      </c>
      <c r="F329" s="136"/>
      <c r="G329" s="136"/>
      <c r="H329" s="136"/>
      <c r="I329" s="136"/>
      <c r="J329" s="136"/>
      <c r="K329" s="136"/>
      <c r="L329" s="136"/>
      <c r="M329" s="136"/>
      <c r="N329" s="136"/>
      <c r="O329" s="136"/>
      <c r="P329" s="136"/>
      <c r="Q329" s="136"/>
      <c r="R329" s="136"/>
      <c r="S329" s="136"/>
      <c r="T329" s="136" t="s">
        <v>393</v>
      </c>
      <c r="U329" s="136"/>
      <c r="V329" s="137"/>
      <c r="W329" s="137"/>
      <c r="X329" s="137"/>
      <c r="Y329" s="135"/>
      <c r="Z329" s="210">
        <v>0</v>
      </c>
      <c r="AA329" s="210">
        <v>0</v>
      </c>
      <c r="AB329" s="210">
        <v>0</v>
      </c>
      <c r="AC329" s="561"/>
    </row>
    <row r="330" spans="1:29" ht="174.75" hidden="1" customHeight="1" x14ac:dyDescent="0.3">
      <c r="A330" s="153" t="s">
        <v>997</v>
      </c>
      <c r="B330" s="136" t="s">
        <v>15</v>
      </c>
      <c r="C330" s="136" t="s">
        <v>143</v>
      </c>
      <c r="D330" s="136" t="s">
        <v>123</v>
      </c>
      <c r="E330" s="230" t="s">
        <v>998</v>
      </c>
      <c r="F330" s="136"/>
      <c r="G330" s="136"/>
      <c r="H330" s="136"/>
      <c r="I330" s="136"/>
      <c r="J330" s="136"/>
      <c r="K330" s="136"/>
      <c r="L330" s="136"/>
      <c r="M330" s="136"/>
      <c r="N330" s="136"/>
      <c r="O330" s="136"/>
      <c r="P330" s="136"/>
      <c r="Q330" s="136"/>
      <c r="R330" s="136"/>
      <c r="S330" s="136"/>
      <c r="T330" s="136"/>
      <c r="U330" s="136"/>
      <c r="V330" s="137"/>
      <c r="W330" s="137"/>
      <c r="X330" s="137"/>
      <c r="Y330" s="135"/>
      <c r="Z330" s="210">
        <f>Z331</f>
        <v>0</v>
      </c>
      <c r="AA330" s="210">
        <v>0</v>
      </c>
      <c r="AB330" s="210">
        <v>0</v>
      </c>
      <c r="AC330" s="211"/>
    </row>
    <row r="331" spans="1:29" ht="75.75" hidden="1" customHeight="1" x14ac:dyDescent="0.3">
      <c r="A331" s="261" t="s">
        <v>397</v>
      </c>
      <c r="B331" s="136" t="s">
        <v>15</v>
      </c>
      <c r="C331" s="136" t="s">
        <v>143</v>
      </c>
      <c r="D331" s="136" t="s">
        <v>123</v>
      </c>
      <c r="E331" s="230" t="s">
        <v>998</v>
      </c>
      <c r="F331" s="136"/>
      <c r="G331" s="136"/>
      <c r="H331" s="136"/>
      <c r="I331" s="136"/>
      <c r="J331" s="136"/>
      <c r="K331" s="136"/>
      <c r="L331" s="136"/>
      <c r="M331" s="136"/>
      <c r="N331" s="136"/>
      <c r="O331" s="136"/>
      <c r="P331" s="136"/>
      <c r="Q331" s="136"/>
      <c r="R331" s="136"/>
      <c r="S331" s="136"/>
      <c r="T331" s="136" t="s">
        <v>393</v>
      </c>
      <c r="U331" s="136"/>
      <c r="V331" s="137"/>
      <c r="W331" s="137"/>
      <c r="X331" s="137"/>
      <c r="Y331" s="135"/>
      <c r="Z331" s="210">
        <v>0</v>
      </c>
      <c r="AA331" s="210">
        <v>0</v>
      </c>
      <c r="AB331" s="210">
        <v>0</v>
      </c>
      <c r="AC331" s="211"/>
    </row>
    <row r="332" spans="1:29" ht="144.75" customHeight="1" x14ac:dyDescent="0.3">
      <c r="A332" s="220" t="s">
        <v>1268</v>
      </c>
      <c r="B332" s="221" t="s">
        <v>15</v>
      </c>
      <c r="C332" s="221" t="s">
        <v>143</v>
      </c>
      <c r="D332" s="221" t="s">
        <v>123</v>
      </c>
      <c r="E332" s="230" t="s">
        <v>794</v>
      </c>
      <c r="F332" s="221"/>
      <c r="G332" s="221"/>
      <c r="H332" s="221"/>
      <c r="I332" s="221"/>
      <c r="J332" s="221"/>
      <c r="K332" s="221"/>
      <c r="L332" s="221"/>
      <c r="M332" s="221"/>
      <c r="N332" s="221"/>
      <c r="O332" s="221"/>
      <c r="P332" s="221"/>
      <c r="Q332" s="221"/>
      <c r="R332" s="221"/>
      <c r="S332" s="221"/>
      <c r="T332" s="221"/>
      <c r="U332" s="221"/>
      <c r="V332" s="222"/>
      <c r="W332" s="222"/>
      <c r="X332" s="222"/>
      <c r="Y332" s="220" t="s">
        <v>396</v>
      </c>
      <c r="Z332" s="263">
        <f>Z333</f>
        <v>602448.25</v>
      </c>
      <c r="AA332" s="263">
        <f>AA333</f>
        <v>0</v>
      </c>
      <c r="AB332" s="263">
        <f>AB333</f>
        <v>0</v>
      </c>
      <c r="AC332" s="558" t="s">
        <v>396</v>
      </c>
    </row>
    <row r="333" spans="1:29" ht="40.9" customHeight="1" x14ac:dyDescent="0.3">
      <c r="A333" s="261" t="s">
        <v>727</v>
      </c>
      <c r="B333" s="996" t="s">
        <v>15</v>
      </c>
      <c r="C333" s="996" t="s">
        <v>143</v>
      </c>
      <c r="D333" s="996" t="s">
        <v>123</v>
      </c>
      <c r="E333" s="230" t="s">
        <v>794</v>
      </c>
      <c r="F333" s="996"/>
      <c r="G333" s="996"/>
      <c r="H333" s="996"/>
      <c r="I333" s="996"/>
      <c r="J333" s="996"/>
      <c r="K333" s="996"/>
      <c r="L333" s="996"/>
      <c r="M333" s="996"/>
      <c r="N333" s="996"/>
      <c r="O333" s="996"/>
      <c r="P333" s="996"/>
      <c r="Q333" s="996"/>
      <c r="R333" s="996"/>
      <c r="S333" s="996"/>
      <c r="T333" s="996" t="s">
        <v>393</v>
      </c>
      <c r="U333" s="1031"/>
      <c r="V333" s="1032"/>
      <c r="W333" s="1032"/>
      <c r="X333" s="1032"/>
      <c r="Y333" s="1033" t="s">
        <v>397</v>
      </c>
      <c r="Z333" s="264">
        <f>273840.25+328608</f>
        <v>602448.25</v>
      </c>
      <c r="AA333" s="264">
        <f>100000-100000</f>
        <v>0</v>
      </c>
      <c r="AB333" s="264">
        <f>100000-100000</f>
        <v>0</v>
      </c>
      <c r="AC333" s="211" t="s">
        <v>397</v>
      </c>
    </row>
    <row r="334" spans="1:29" ht="132" customHeight="1" x14ac:dyDescent="0.3">
      <c r="A334" s="220" t="s">
        <v>1268</v>
      </c>
      <c r="B334" s="221" t="s">
        <v>15</v>
      </c>
      <c r="C334" s="221" t="s">
        <v>143</v>
      </c>
      <c r="D334" s="221" t="s">
        <v>123</v>
      </c>
      <c r="E334" s="230" t="s">
        <v>1001</v>
      </c>
      <c r="F334" s="221"/>
      <c r="G334" s="221"/>
      <c r="H334" s="221"/>
      <c r="I334" s="221"/>
      <c r="J334" s="221"/>
      <c r="K334" s="221"/>
      <c r="L334" s="221"/>
      <c r="M334" s="221"/>
      <c r="N334" s="221"/>
      <c r="O334" s="221"/>
      <c r="P334" s="221"/>
      <c r="Q334" s="221"/>
      <c r="R334" s="221"/>
      <c r="S334" s="221"/>
      <c r="T334" s="221"/>
      <c r="U334" s="161"/>
      <c r="V334" s="204"/>
      <c r="W334" s="204"/>
      <c r="X334" s="204"/>
      <c r="Y334" s="153" t="s">
        <v>398</v>
      </c>
      <c r="Z334" s="263">
        <f>Z335</f>
        <v>2355024</v>
      </c>
      <c r="AA334" s="235">
        <f>AA335</f>
        <v>0</v>
      </c>
      <c r="AB334" s="235">
        <f>AB335</f>
        <v>0</v>
      </c>
      <c r="AC334" s="558" t="s">
        <v>398</v>
      </c>
    </row>
    <row r="335" spans="1:29" ht="37.9" customHeight="1" x14ac:dyDescent="0.3">
      <c r="A335" s="261" t="s">
        <v>727</v>
      </c>
      <c r="B335" s="996" t="s">
        <v>15</v>
      </c>
      <c r="C335" s="996" t="s">
        <v>143</v>
      </c>
      <c r="D335" s="996" t="s">
        <v>123</v>
      </c>
      <c r="E335" s="230" t="s">
        <v>1001</v>
      </c>
      <c r="F335" s="996"/>
      <c r="G335" s="996"/>
      <c r="H335" s="996"/>
      <c r="I335" s="996"/>
      <c r="J335" s="996"/>
      <c r="K335" s="996"/>
      <c r="L335" s="996"/>
      <c r="M335" s="996"/>
      <c r="N335" s="996"/>
      <c r="O335" s="996"/>
      <c r="P335" s="996"/>
      <c r="Q335" s="996"/>
      <c r="R335" s="996"/>
      <c r="S335" s="996"/>
      <c r="T335" s="996" t="s">
        <v>393</v>
      </c>
      <c r="U335" s="136"/>
      <c r="V335" s="137"/>
      <c r="W335" s="137"/>
      <c r="X335" s="137"/>
      <c r="Y335" s="135" t="s">
        <v>399</v>
      </c>
      <c r="Z335" s="264">
        <f>2355000+336726.78+24+62886.78-273840.25-125773.56+0.25</f>
        <v>2355024</v>
      </c>
      <c r="AA335" s="210">
        <v>0</v>
      </c>
      <c r="AB335" s="210">
        <v>0</v>
      </c>
      <c r="AC335" s="211" t="s">
        <v>399</v>
      </c>
    </row>
    <row r="336" spans="1:29" ht="156" customHeight="1" x14ac:dyDescent="0.3">
      <c r="A336" s="153" t="s">
        <v>1511</v>
      </c>
      <c r="B336" s="161" t="s">
        <v>15</v>
      </c>
      <c r="C336" s="161" t="s">
        <v>143</v>
      </c>
      <c r="D336" s="161" t="s">
        <v>123</v>
      </c>
      <c r="E336" s="230" t="s">
        <v>1510</v>
      </c>
      <c r="F336" s="161"/>
      <c r="G336" s="161"/>
      <c r="H336" s="161"/>
      <c r="I336" s="161"/>
      <c r="J336" s="161"/>
      <c r="K336" s="161"/>
      <c r="L336" s="161"/>
      <c r="M336" s="161"/>
      <c r="N336" s="161"/>
      <c r="O336" s="161"/>
      <c r="P336" s="161"/>
      <c r="Q336" s="161"/>
      <c r="R336" s="161"/>
      <c r="S336" s="161"/>
      <c r="T336" s="161"/>
      <c r="U336" s="136"/>
      <c r="V336" s="137"/>
      <c r="W336" s="137"/>
      <c r="X336" s="137"/>
      <c r="Y336" s="135"/>
      <c r="Z336" s="264">
        <f>Z337</f>
        <v>810000</v>
      </c>
      <c r="AA336" s="210">
        <v>0</v>
      </c>
      <c r="AB336" s="210">
        <v>0</v>
      </c>
      <c r="AC336" s="211"/>
    </row>
    <row r="337" spans="1:29" ht="41.45" customHeight="1" x14ac:dyDescent="0.3">
      <c r="A337" s="261" t="s">
        <v>727</v>
      </c>
      <c r="B337" s="161" t="s">
        <v>15</v>
      </c>
      <c r="C337" s="161" t="s">
        <v>143</v>
      </c>
      <c r="D337" s="161" t="s">
        <v>123</v>
      </c>
      <c r="E337" s="230" t="s">
        <v>1510</v>
      </c>
      <c r="F337" s="996"/>
      <c r="G337" s="996"/>
      <c r="H337" s="996"/>
      <c r="I337" s="996"/>
      <c r="J337" s="996"/>
      <c r="K337" s="996"/>
      <c r="L337" s="996"/>
      <c r="M337" s="996"/>
      <c r="N337" s="996"/>
      <c r="O337" s="996"/>
      <c r="P337" s="996"/>
      <c r="Q337" s="996"/>
      <c r="R337" s="996"/>
      <c r="S337" s="996"/>
      <c r="T337" s="996" t="s">
        <v>393</v>
      </c>
      <c r="U337" s="136"/>
      <c r="V337" s="137"/>
      <c r="W337" s="137"/>
      <c r="X337" s="137"/>
      <c r="Y337" s="135"/>
      <c r="Z337" s="264">
        <f>240000+100000+290000+40000+140000</f>
        <v>810000</v>
      </c>
      <c r="AA337" s="210">
        <v>0</v>
      </c>
      <c r="AB337" s="210">
        <v>0</v>
      </c>
      <c r="AC337" s="211"/>
    </row>
    <row r="338" spans="1:29" ht="66" customHeight="1" x14ac:dyDescent="0.3">
      <c r="A338" s="153" t="s">
        <v>240</v>
      </c>
      <c r="B338" s="161" t="s">
        <v>15</v>
      </c>
      <c r="C338" s="161" t="s">
        <v>143</v>
      </c>
      <c r="D338" s="161" t="s">
        <v>123</v>
      </c>
      <c r="E338" s="230" t="s">
        <v>610</v>
      </c>
      <c r="F338" s="230"/>
      <c r="G338" s="230"/>
      <c r="H338" s="230"/>
      <c r="I338" s="230"/>
      <c r="J338" s="230"/>
      <c r="K338" s="230"/>
      <c r="L338" s="230"/>
      <c r="M338" s="230"/>
      <c r="N338" s="230"/>
      <c r="O338" s="230"/>
      <c r="P338" s="230"/>
      <c r="Q338" s="230"/>
      <c r="R338" s="230"/>
      <c r="S338" s="230"/>
      <c r="T338" s="230"/>
      <c r="U338" s="161"/>
      <c r="V338" s="204"/>
      <c r="W338" s="204"/>
      <c r="X338" s="204"/>
      <c r="Y338" s="153" t="s">
        <v>240</v>
      </c>
      <c r="Z338" s="263">
        <f>Z340+Z339</f>
        <v>400000</v>
      </c>
      <c r="AA338" s="235">
        <f>AA340+AA339</f>
        <v>300000</v>
      </c>
      <c r="AB338" s="235">
        <f>AB340+AB339</f>
        <v>300000</v>
      </c>
      <c r="AC338" s="558" t="s">
        <v>240</v>
      </c>
    </row>
    <row r="339" spans="1:29" ht="50.25" customHeight="1" x14ac:dyDescent="0.3">
      <c r="A339" s="1013" t="s">
        <v>565</v>
      </c>
      <c r="B339" s="1016" t="s">
        <v>15</v>
      </c>
      <c r="C339" s="1016" t="s">
        <v>143</v>
      </c>
      <c r="D339" s="1016" t="s">
        <v>123</v>
      </c>
      <c r="E339" s="1015" t="s">
        <v>610</v>
      </c>
      <c r="F339" s="1016"/>
      <c r="G339" s="1016"/>
      <c r="H339" s="1016"/>
      <c r="I339" s="1016"/>
      <c r="J339" s="1016"/>
      <c r="K339" s="1016"/>
      <c r="L339" s="1016"/>
      <c r="M339" s="1016"/>
      <c r="N339" s="1016"/>
      <c r="O339" s="1016"/>
      <c r="P339" s="1016"/>
      <c r="Q339" s="1016"/>
      <c r="R339" s="1016"/>
      <c r="S339" s="1016"/>
      <c r="T339" s="1016" t="s">
        <v>275</v>
      </c>
      <c r="U339" s="1067"/>
      <c r="V339" s="1068"/>
      <c r="W339" s="1068"/>
      <c r="X339" s="1068"/>
      <c r="Y339" s="224"/>
      <c r="Z339" s="1088">
        <f>300000-100000-175000+1827.2</f>
        <v>26827.200000000001</v>
      </c>
      <c r="AA339" s="235">
        <v>100000</v>
      </c>
      <c r="AB339" s="235">
        <v>100000</v>
      </c>
      <c r="AC339" s="558"/>
    </row>
    <row r="340" spans="1:29" ht="41.45" customHeight="1" x14ac:dyDescent="0.3">
      <c r="A340" s="1013" t="s">
        <v>727</v>
      </c>
      <c r="B340" s="1016" t="s">
        <v>15</v>
      </c>
      <c r="C340" s="1016" t="s">
        <v>143</v>
      </c>
      <c r="D340" s="1016" t="s">
        <v>123</v>
      </c>
      <c r="E340" s="1015" t="s">
        <v>610</v>
      </c>
      <c r="F340" s="1016"/>
      <c r="G340" s="1016"/>
      <c r="H340" s="1016"/>
      <c r="I340" s="1016"/>
      <c r="J340" s="1016"/>
      <c r="K340" s="1016"/>
      <c r="L340" s="1016"/>
      <c r="M340" s="1016"/>
      <c r="N340" s="1016"/>
      <c r="O340" s="1016"/>
      <c r="P340" s="1016"/>
      <c r="Q340" s="1016"/>
      <c r="R340" s="1016"/>
      <c r="S340" s="1016"/>
      <c r="T340" s="1016" t="s">
        <v>393</v>
      </c>
      <c r="U340" s="1016"/>
      <c r="V340" s="1017"/>
      <c r="W340" s="1017"/>
      <c r="X340" s="1017"/>
      <c r="Y340" s="1013" t="s">
        <v>400</v>
      </c>
      <c r="Z340" s="1070">
        <f>300000+100000-25000-1827.2</f>
        <v>373172.8</v>
      </c>
      <c r="AA340" s="210">
        <v>200000</v>
      </c>
      <c r="AB340" s="210">
        <v>200000</v>
      </c>
      <c r="AC340" s="211" t="s">
        <v>400</v>
      </c>
    </row>
    <row r="341" spans="1:29" ht="105" customHeight="1" x14ac:dyDescent="0.3">
      <c r="A341" s="486" t="s">
        <v>1466</v>
      </c>
      <c r="B341" s="136" t="s">
        <v>15</v>
      </c>
      <c r="C341" s="136" t="s">
        <v>143</v>
      </c>
      <c r="D341" s="136" t="s">
        <v>123</v>
      </c>
      <c r="E341" s="230" t="s">
        <v>612</v>
      </c>
      <c r="F341" s="136"/>
      <c r="G341" s="136"/>
      <c r="H341" s="136"/>
      <c r="I341" s="136"/>
      <c r="J341" s="136"/>
      <c r="K341" s="136"/>
      <c r="L341" s="136"/>
      <c r="M341" s="136"/>
      <c r="N341" s="136"/>
      <c r="O341" s="136"/>
      <c r="P341" s="136"/>
      <c r="Q341" s="136"/>
      <c r="R341" s="136"/>
      <c r="S341" s="136"/>
      <c r="T341" s="136"/>
      <c r="U341" s="136"/>
      <c r="V341" s="137"/>
      <c r="W341" s="137"/>
      <c r="X341" s="137"/>
      <c r="Y341" s="135"/>
      <c r="Z341" s="264">
        <f>Z342</f>
        <v>380000</v>
      </c>
      <c r="AA341" s="210">
        <f>AA342</f>
        <v>0</v>
      </c>
      <c r="AB341" s="210">
        <f>AB342</f>
        <v>0</v>
      </c>
      <c r="AC341" s="211"/>
    </row>
    <row r="342" spans="1:29" ht="44.25" customHeight="1" x14ac:dyDescent="0.3">
      <c r="A342" s="223" t="s">
        <v>727</v>
      </c>
      <c r="B342" s="136" t="s">
        <v>15</v>
      </c>
      <c r="C342" s="136" t="s">
        <v>143</v>
      </c>
      <c r="D342" s="136" t="s">
        <v>123</v>
      </c>
      <c r="E342" s="230" t="s">
        <v>612</v>
      </c>
      <c r="F342" s="136"/>
      <c r="G342" s="136"/>
      <c r="H342" s="136"/>
      <c r="I342" s="136"/>
      <c r="J342" s="136"/>
      <c r="K342" s="136"/>
      <c r="L342" s="136"/>
      <c r="M342" s="136"/>
      <c r="N342" s="136"/>
      <c r="O342" s="136"/>
      <c r="P342" s="136"/>
      <c r="Q342" s="136"/>
      <c r="R342" s="136"/>
      <c r="S342" s="136"/>
      <c r="T342" s="136" t="s">
        <v>393</v>
      </c>
      <c r="U342" s="136"/>
      <c r="V342" s="137"/>
      <c r="W342" s="137"/>
      <c r="X342" s="137"/>
      <c r="Y342" s="135"/>
      <c r="Z342" s="264">
        <f>300000+80000</f>
        <v>380000</v>
      </c>
      <c r="AA342" s="210">
        <v>0</v>
      </c>
      <c r="AB342" s="210">
        <v>0</v>
      </c>
      <c r="AC342" s="211"/>
    </row>
    <row r="343" spans="1:29" ht="18.600000000000001" customHeight="1" x14ac:dyDescent="0.3">
      <c r="A343" s="159" t="s">
        <v>164</v>
      </c>
      <c r="B343" s="160" t="s">
        <v>15</v>
      </c>
      <c r="C343" s="160" t="s">
        <v>143</v>
      </c>
      <c r="D343" s="160" t="s">
        <v>136</v>
      </c>
      <c r="E343" s="139"/>
      <c r="F343" s="160"/>
      <c r="G343" s="160"/>
      <c r="H343" s="160"/>
      <c r="I343" s="160"/>
      <c r="J343" s="160"/>
      <c r="K343" s="160"/>
      <c r="L343" s="160"/>
      <c r="M343" s="160"/>
      <c r="N343" s="160"/>
      <c r="O343" s="160"/>
      <c r="P343" s="160"/>
      <c r="Q343" s="160"/>
      <c r="R343" s="160"/>
      <c r="S343" s="160"/>
      <c r="T343" s="160"/>
      <c r="U343" s="160"/>
      <c r="V343" s="212"/>
      <c r="W343" s="212"/>
      <c r="X343" s="212"/>
      <c r="Y343" s="159" t="s">
        <v>164</v>
      </c>
      <c r="Z343" s="581">
        <f>Z344+Z346</f>
        <v>3731723.1799999997</v>
      </c>
      <c r="AA343" s="213">
        <f>AA344+AA346</f>
        <v>5266800</v>
      </c>
      <c r="AB343" s="213">
        <f>AB344+AB346</f>
        <v>5266800</v>
      </c>
      <c r="AC343" s="573" t="s">
        <v>164</v>
      </c>
    </row>
    <row r="344" spans="1:29" ht="200.45" customHeight="1" x14ac:dyDescent="0.3">
      <c r="A344" s="153" t="s">
        <v>1290</v>
      </c>
      <c r="B344" s="140" t="s">
        <v>15</v>
      </c>
      <c r="C344" s="140" t="s">
        <v>143</v>
      </c>
      <c r="D344" s="140" t="s">
        <v>136</v>
      </c>
      <c r="E344" s="230" t="s">
        <v>902</v>
      </c>
      <c r="F344" s="140"/>
      <c r="G344" s="140"/>
      <c r="H344" s="140"/>
      <c r="I344" s="140"/>
      <c r="J344" s="140"/>
      <c r="K344" s="140"/>
      <c r="L344" s="140"/>
      <c r="M344" s="140"/>
      <c r="N344" s="140"/>
      <c r="O344" s="140"/>
      <c r="P344" s="140"/>
      <c r="Q344" s="140"/>
      <c r="R344" s="140"/>
      <c r="S344" s="140"/>
      <c r="T344" s="140"/>
      <c r="U344" s="161"/>
      <c r="V344" s="204"/>
      <c r="W344" s="204"/>
      <c r="X344" s="204"/>
      <c r="Y344" s="153" t="s">
        <v>228</v>
      </c>
      <c r="Z344" s="263">
        <f>Z345</f>
        <v>3731723.1799999997</v>
      </c>
      <c r="AA344" s="235">
        <f>AA345</f>
        <v>5266800</v>
      </c>
      <c r="AB344" s="235">
        <f>AB345</f>
        <v>5266800</v>
      </c>
      <c r="AC344" s="558" t="s">
        <v>228</v>
      </c>
    </row>
    <row r="345" spans="1:29" ht="60" customHeight="1" x14ac:dyDescent="0.3">
      <c r="A345" s="135" t="s">
        <v>725</v>
      </c>
      <c r="B345" s="230" t="s">
        <v>15</v>
      </c>
      <c r="C345" s="230" t="s">
        <v>143</v>
      </c>
      <c r="D345" s="230" t="s">
        <v>136</v>
      </c>
      <c r="E345" s="230" t="s">
        <v>902</v>
      </c>
      <c r="F345" s="230"/>
      <c r="G345" s="230"/>
      <c r="H345" s="230"/>
      <c r="I345" s="230"/>
      <c r="J345" s="230"/>
      <c r="K345" s="230"/>
      <c r="L345" s="230"/>
      <c r="M345" s="230"/>
      <c r="N345" s="230"/>
      <c r="O345" s="230"/>
      <c r="P345" s="230"/>
      <c r="Q345" s="230"/>
      <c r="R345" s="230"/>
      <c r="S345" s="230"/>
      <c r="T345" s="230" t="s">
        <v>350</v>
      </c>
      <c r="U345" s="136"/>
      <c r="V345" s="137"/>
      <c r="W345" s="137"/>
      <c r="X345" s="137"/>
      <c r="Y345" s="135" t="s">
        <v>401</v>
      </c>
      <c r="Z345" s="264">
        <f>6320200-40+1053360-1535076.82-2106720</f>
        <v>3731723.1799999997</v>
      </c>
      <c r="AA345" s="210">
        <v>5266800</v>
      </c>
      <c r="AB345" s="210">
        <v>5266800</v>
      </c>
      <c r="AC345" s="211" t="s">
        <v>401</v>
      </c>
    </row>
    <row r="346" spans="1:29" ht="255" hidden="1" customHeight="1" x14ac:dyDescent="0.3">
      <c r="A346" s="153" t="s">
        <v>613</v>
      </c>
      <c r="B346" s="161" t="s">
        <v>15</v>
      </c>
      <c r="C346" s="161" t="s">
        <v>143</v>
      </c>
      <c r="D346" s="161" t="s">
        <v>136</v>
      </c>
      <c r="E346" s="230" t="s">
        <v>614</v>
      </c>
      <c r="F346" s="161"/>
      <c r="G346" s="161"/>
      <c r="H346" s="161"/>
      <c r="I346" s="161"/>
      <c r="J346" s="161"/>
      <c r="K346" s="161"/>
      <c r="L346" s="161"/>
      <c r="M346" s="161"/>
      <c r="N346" s="161"/>
      <c r="O346" s="161"/>
      <c r="P346" s="161"/>
      <c r="Q346" s="161"/>
      <c r="R346" s="161"/>
      <c r="S346" s="161"/>
      <c r="T346" s="161"/>
      <c r="U346" s="161"/>
      <c r="V346" s="204"/>
      <c r="W346" s="204"/>
      <c r="X346" s="204"/>
      <c r="Y346" s="153" t="s">
        <v>229</v>
      </c>
      <c r="Z346" s="263">
        <f>Z347</f>
        <v>0</v>
      </c>
      <c r="AA346" s="235">
        <f>AA347</f>
        <v>0</v>
      </c>
      <c r="AB346" s="235">
        <f>AB347</f>
        <v>0</v>
      </c>
      <c r="AC346" s="558" t="s">
        <v>229</v>
      </c>
    </row>
    <row r="347" spans="1:29" ht="167.25" hidden="1" customHeight="1" x14ac:dyDescent="0.3">
      <c r="A347" s="154" t="s">
        <v>402</v>
      </c>
      <c r="B347" s="136" t="s">
        <v>15</v>
      </c>
      <c r="C347" s="136" t="s">
        <v>143</v>
      </c>
      <c r="D347" s="136" t="s">
        <v>136</v>
      </c>
      <c r="E347" s="230" t="s">
        <v>614</v>
      </c>
      <c r="F347" s="136"/>
      <c r="G347" s="136"/>
      <c r="H347" s="136"/>
      <c r="I347" s="136"/>
      <c r="J347" s="136"/>
      <c r="K347" s="136"/>
      <c r="L347" s="136"/>
      <c r="M347" s="136"/>
      <c r="N347" s="136"/>
      <c r="O347" s="136"/>
      <c r="P347" s="136"/>
      <c r="Q347" s="136"/>
      <c r="R347" s="136"/>
      <c r="S347" s="136"/>
      <c r="T347" s="136" t="s">
        <v>350</v>
      </c>
      <c r="U347" s="136"/>
      <c r="V347" s="137"/>
      <c r="W347" s="137"/>
      <c r="X347" s="137"/>
      <c r="Y347" s="154" t="s">
        <v>402</v>
      </c>
      <c r="Z347" s="264">
        <v>0</v>
      </c>
      <c r="AA347" s="210">
        <v>0</v>
      </c>
      <c r="AB347" s="210">
        <v>0</v>
      </c>
      <c r="AC347" s="559" t="s">
        <v>402</v>
      </c>
    </row>
    <row r="348" spans="1:29" ht="18.600000000000001" customHeight="1" x14ac:dyDescent="0.3">
      <c r="A348" s="159" t="s">
        <v>403</v>
      </c>
      <c r="B348" s="160" t="s">
        <v>15</v>
      </c>
      <c r="C348" s="160" t="s">
        <v>128</v>
      </c>
      <c r="D348" s="160" t="s">
        <v>133</v>
      </c>
      <c r="E348" s="139"/>
      <c r="F348" s="160"/>
      <c r="G348" s="160"/>
      <c r="H348" s="160"/>
      <c r="I348" s="160"/>
      <c r="J348" s="160"/>
      <c r="K348" s="160"/>
      <c r="L348" s="160"/>
      <c r="M348" s="160"/>
      <c r="N348" s="160"/>
      <c r="O348" s="160"/>
      <c r="P348" s="160"/>
      <c r="Q348" s="160"/>
      <c r="R348" s="160"/>
      <c r="S348" s="160"/>
      <c r="T348" s="160"/>
      <c r="U348" s="160"/>
      <c r="V348" s="212"/>
      <c r="W348" s="212"/>
      <c r="X348" s="212"/>
      <c r="Y348" s="159" t="s">
        <v>403</v>
      </c>
      <c r="Z348" s="581">
        <f>Z349+Z356</f>
        <v>2400671.5</v>
      </c>
      <c r="AA348" s="213">
        <f>AA349+AA356</f>
        <v>250000</v>
      </c>
      <c r="AB348" s="213">
        <f>AB349+AB356</f>
        <v>250000</v>
      </c>
      <c r="AC348" s="288" t="s">
        <v>403</v>
      </c>
    </row>
    <row r="349" spans="1:29" ht="18.600000000000001" customHeight="1" x14ac:dyDescent="0.3">
      <c r="A349" s="159" t="s">
        <v>119</v>
      </c>
      <c r="B349" s="160" t="s">
        <v>15</v>
      </c>
      <c r="C349" s="160" t="s">
        <v>128</v>
      </c>
      <c r="D349" s="160" t="s">
        <v>122</v>
      </c>
      <c r="E349" s="139"/>
      <c r="F349" s="160"/>
      <c r="G349" s="160"/>
      <c r="H349" s="160"/>
      <c r="I349" s="160"/>
      <c r="J349" s="160"/>
      <c r="K349" s="160"/>
      <c r="L349" s="160"/>
      <c r="M349" s="160"/>
      <c r="N349" s="160"/>
      <c r="O349" s="160"/>
      <c r="P349" s="160"/>
      <c r="Q349" s="160"/>
      <c r="R349" s="160"/>
      <c r="S349" s="160"/>
      <c r="T349" s="160"/>
      <c r="U349" s="160"/>
      <c r="V349" s="212"/>
      <c r="W349" s="212"/>
      <c r="X349" s="212"/>
      <c r="Y349" s="159" t="s">
        <v>119</v>
      </c>
      <c r="Z349" s="581">
        <f>Z350+Z352+Z354</f>
        <v>681837.4</v>
      </c>
      <c r="AA349" s="213">
        <f>AA350+AA352</f>
        <v>116000</v>
      </c>
      <c r="AB349" s="213">
        <f>AB350+AB352</f>
        <v>150000</v>
      </c>
      <c r="AC349" s="288" t="s">
        <v>119</v>
      </c>
    </row>
    <row r="350" spans="1:29" ht="145.5" customHeight="1" x14ac:dyDescent="0.3">
      <c r="A350" s="153" t="s">
        <v>1273</v>
      </c>
      <c r="B350" s="230" t="s">
        <v>15</v>
      </c>
      <c r="C350" s="230" t="s">
        <v>128</v>
      </c>
      <c r="D350" s="230" t="s">
        <v>122</v>
      </c>
      <c r="E350" s="230" t="s">
        <v>615</v>
      </c>
      <c r="F350" s="161"/>
      <c r="G350" s="161"/>
      <c r="H350" s="161"/>
      <c r="I350" s="161"/>
      <c r="J350" s="161"/>
      <c r="K350" s="161"/>
      <c r="L350" s="161"/>
      <c r="M350" s="161"/>
      <c r="N350" s="161"/>
      <c r="O350" s="161"/>
      <c r="P350" s="161"/>
      <c r="Q350" s="161"/>
      <c r="R350" s="161"/>
      <c r="S350" s="161"/>
      <c r="T350" s="161"/>
      <c r="U350" s="161"/>
      <c r="V350" s="204"/>
      <c r="W350" s="204"/>
      <c r="X350" s="204"/>
      <c r="Y350" s="153" t="s">
        <v>404</v>
      </c>
      <c r="Z350" s="235">
        <f>Z351</f>
        <v>680027.4</v>
      </c>
      <c r="AA350" s="235">
        <f>AA351</f>
        <v>66000</v>
      </c>
      <c r="AB350" s="235">
        <f>AB351</f>
        <v>100000</v>
      </c>
      <c r="AC350" s="558" t="s">
        <v>404</v>
      </c>
    </row>
    <row r="351" spans="1:29" ht="47.45" customHeight="1" x14ac:dyDescent="0.3">
      <c r="A351" s="1013" t="s">
        <v>565</v>
      </c>
      <c r="B351" s="1014" t="s">
        <v>15</v>
      </c>
      <c r="C351" s="1014" t="s">
        <v>128</v>
      </c>
      <c r="D351" s="1014" t="s">
        <v>122</v>
      </c>
      <c r="E351" s="1015" t="s">
        <v>615</v>
      </c>
      <c r="F351" s="1016"/>
      <c r="G351" s="1016"/>
      <c r="H351" s="1016"/>
      <c r="I351" s="1016"/>
      <c r="J351" s="1016"/>
      <c r="K351" s="1016"/>
      <c r="L351" s="1016"/>
      <c r="M351" s="1016"/>
      <c r="N351" s="1016"/>
      <c r="O351" s="1016"/>
      <c r="P351" s="1016"/>
      <c r="Q351" s="1016"/>
      <c r="R351" s="1016"/>
      <c r="S351" s="1016"/>
      <c r="T351" s="1016" t="s">
        <v>275</v>
      </c>
      <c r="U351" s="1016"/>
      <c r="V351" s="1017"/>
      <c r="W351" s="1017"/>
      <c r="X351" s="1017"/>
      <c r="Y351" s="1013" t="s">
        <v>405</v>
      </c>
      <c r="Z351" s="1019">
        <f>500000+400000-100000-100000-102245.27+60000+22272.67</f>
        <v>680027.4</v>
      </c>
      <c r="AA351" s="210">
        <f>100000-34000</f>
        <v>66000</v>
      </c>
      <c r="AB351" s="210">
        <v>100000</v>
      </c>
      <c r="AC351" s="211" t="s">
        <v>405</v>
      </c>
    </row>
    <row r="352" spans="1:29" ht="165" customHeight="1" x14ac:dyDescent="0.3">
      <c r="A352" s="153" t="s">
        <v>1274</v>
      </c>
      <c r="B352" s="230" t="s">
        <v>15</v>
      </c>
      <c r="C352" s="230" t="s">
        <v>128</v>
      </c>
      <c r="D352" s="230" t="s">
        <v>122</v>
      </c>
      <c r="E352" s="230" t="s">
        <v>616</v>
      </c>
      <c r="F352" s="161"/>
      <c r="G352" s="161"/>
      <c r="H352" s="161"/>
      <c r="I352" s="161"/>
      <c r="J352" s="161"/>
      <c r="K352" s="161"/>
      <c r="L352" s="161"/>
      <c r="M352" s="161"/>
      <c r="N352" s="161"/>
      <c r="O352" s="161"/>
      <c r="P352" s="161"/>
      <c r="Q352" s="161"/>
      <c r="R352" s="161"/>
      <c r="S352" s="161"/>
      <c r="T352" s="161"/>
      <c r="U352" s="161"/>
      <c r="V352" s="204"/>
      <c r="W352" s="204"/>
      <c r="X352" s="204"/>
      <c r="Y352" s="153" t="s">
        <v>406</v>
      </c>
      <c r="Z352" s="235">
        <f>Z353</f>
        <v>1810</v>
      </c>
      <c r="AA352" s="235">
        <f>AA353</f>
        <v>50000</v>
      </c>
      <c r="AB352" s="235">
        <f>AB353</f>
        <v>50000</v>
      </c>
      <c r="AC352" s="558" t="s">
        <v>406</v>
      </c>
    </row>
    <row r="353" spans="1:29" ht="49.5" customHeight="1" x14ac:dyDescent="0.3">
      <c r="A353" s="135" t="s">
        <v>565</v>
      </c>
      <c r="B353" s="140" t="s">
        <v>15</v>
      </c>
      <c r="C353" s="140" t="s">
        <v>128</v>
      </c>
      <c r="D353" s="140" t="s">
        <v>122</v>
      </c>
      <c r="E353" s="230" t="s">
        <v>616</v>
      </c>
      <c r="F353" s="136"/>
      <c r="G353" s="136"/>
      <c r="H353" s="136"/>
      <c r="I353" s="136"/>
      <c r="J353" s="136"/>
      <c r="K353" s="136"/>
      <c r="L353" s="136"/>
      <c r="M353" s="136"/>
      <c r="N353" s="136"/>
      <c r="O353" s="136"/>
      <c r="P353" s="136"/>
      <c r="Q353" s="136"/>
      <c r="R353" s="136"/>
      <c r="S353" s="136"/>
      <c r="T353" s="136" t="s">
        <v>275</v>
      </c>
      <c r="U353" s="136"/>
      <c r="V353" s="137"/>
      <c r="W353" s="137"/>
      <c r="X353" s="137"/>
      <c r="Y353" s="135" t="s">
        <v>407</v>
      </c>
      <c r="Z353" s="210">
        <f>50000-48190</f>
        <v>1810</v>
      </c>
      <c r="AA353" s="210">
        <v>50000</v>
      </c>
      <c r="AB353" s="210">
        <v>50000</v>
      </c>
      <c r="AC353" s="211" t="s">
        <v>407</v>
      </c>
    </row>
    <row r="354" spans="1:29" ht="135.75" customHeight="1" x14ac:dyDescent="0.3">
      <c r="A354" s="486" t="s">
        <v>1275</v>
      </c>
      <c r="B354" s="140" t="s">
        <v>15</v>
      </c>
      <c r="C354" s="140" t="s">
        <v>128</v>
      </c>
      <c r="D354" s="140" t="s">
        <v>122</v>
      </c>
      <c r="E354" s="230" t="s">
        <v>1006</v>
      </c>
      <c r="F354" s="136"/>
      <c r="G354" s="136"/>
      <c r="H354" s="136"/>
      <c r="I354" s="136"/>
      <c r="J354" s="136"/>
      <c r="K354" s="136"/>
      <c r="L354" s="136"/>
      <c r="M354" s="136"/>
      <c r="N354" s="136"/>
      <c r="O354" s="136"/>
      <c r="P354" s="136"/>
      <c r="Q354" s="136"/>
      <c r="R354" s="136"/>
      <c r="S354" s="136"/>
      <c r="T354" s="136"/>
      <c r="U354" s="136"/>
      <c r="V354" s="137"/>
      <c r="W354" s="137"/>
      <c r="X354" s="137"/>
      <c r="Y354" s="135"/>
      <c r="Z354" s="210">
        <f>Z355</f>
        <v>0</v>
      </c>
      <c r="AA354" s="210">
        <v>0</v>
      </c>
      <c r="AB354" s="210">
        <v>0</v>
      </c>
      <c r="AC354" s="211"/>
    </row>
    <row r="355" spans="1:29" ht="41.45" customHeight="1" x14ac:dyDescent="0.3">
      <c r="A355" s="135" t="s">
        <v>565</v>
      </c>
      <c r="B355" s="140" t="s">
        <v>15</v>
      </c>
      <c r="C355" s="140" t="s">
        <v>128</v>
      </c>
      <c r="D355" s="140" t="s">
        <v>122</v>
      </c>
      <c r="E355" s="230" t="s">
        <v>1006</v>
      </c>
      <c r="F355" s="136"/>
      <c r="G355" s="136"/>
      <c r="H355" s="136"/>
      <c r="I355" s="136"/>
      <c r="J355" s="136"/>
      <c r="K355" s="136"/>
      <c r="L355" s="136"/>
      <c r="M355" s="136"/>
      <c r="N355" s="136"/>
      <c r="O355" s="136"/>
      <c r="P355" s="136"/>
      <c r="Q355" s="136"/>
      <c r="R355" s="136"/>
      <c r="S355" s="136"/>
      <c r="T355" s="136" t="s">
        <v>275</v>
      </c>
      <c r="U355" s="136"/>
      <c r="V355" s="137"/>
      <c r="W355" s="137"/>
      <c r="X355" s="137"/>
      <c r="Y355" s="135"/>
      <c r="Z355" s="264">
        <f>120000-100000-20000</f>
        <v>0</v>
      </c>
      <c r="AA355" s="210">
        <v>0</v>
      </c>
      <c r="AB355" s="210">
        <v>0</v>
      </c>
      <c r="AC355" s="211"/>
    </row>
    <row r="356" spans="1:29" ht="18.600000000000001" customHeight="1" x14ac:dyDescent="0.3">
      <c r="A356" s="159" t="s">
        <v>166</v>
      </c>
      <c r="B356" s="160" t="s">
        <v>15</v>
      </c>
      <c r="C356" s="160" t="s">
        <v>128</v>
      </c>
      <c r="D356" s="160" t="s">
        <v>132</v>
      </c>
      <c r="E356" s="139"/>
      <c r="F356" s="160"/>
      <c r="G356" s="160"/>
      <c r="H356" s="160"/>
      <c r="I356" s="160"/>
      <c r="J356" s="160"/>
      <c r="K356" s="160"/>
      <c r="L356" s="160"/>
      <c r="M356" s="160"/>
      <c r="N356" s="160"/>
      <c r="O356" s="160"/>
      <c r="P356" s="160"/>
      <c r="Q356" s="160"/>
      <c r="R356" s="160"/>
      <c r="S356" s="160"/>
      <c r="T356" s="160"/>
      <c r="U356" s="160"/>
      <c r="V356" s="212"/>
      <c r="W356" s="212"/>
      <c r="X356" s="212"/>
      <c r="Y356" s="159" t="s">
        <v>166</v>
      </c>
      <c r="Z356" s="581">
        <f>Z357+Z359+Z361</f>
        <v>1718834.1</v>
      </c>
      <c r="AA356" s="213">
        <f>AA357+AA359+AA361</f>
        <v>134000</v>
      </c>
      <c r="AB356" s="213">
        <f>AB357+AB359+AB361</f>
        <v>100000</v>
      </c>
      <c r="AC356" s="288" t="s">
        <v>166</v>
      </c>
    </row>
    <row r="357" spans="1:29" ht="147" customHeight="1" x14ac:dyDescent="0.3">
      <c r="A357" s="153" t="s">
        <v>1276</v>
      </c>
      <c r="B357" s="230" t="s">
        <v>15</v>
      </c>
      <c r="C357" s="230" t="s">
        <v>128</v>
      </c>
      <c r="D357" s="230" t="s">
        <v>132</v>
      </c>
      <c r="E357" s="230" t="s">
        <v>617</v>
      </c>
      <c r="F357" s="230"/>
      <c r="G357" s="230"/>
      <c r="H357" s="230"/>
      <c r="I357" s="230"/>
      <c r="J357" s="230"/>
      <c r="K357" s="230"/>
      <c r="L357" s="230"/>
      <c r="M357" s="230"/>
      <c r="N357" s="230"/>
      <c r="O357" s="230"/>
      <c r="P357" s="230"/>
      <c r="Q357" s="230"/>
      <c r="R357" s="230"/>
      <c r="S357" s="230"/>
      <c r="T357" s="230"/>
      <c r="U357" s="161"/>
      <c r="V357" s="204"/>
      <c r="W357" s="204"/>
      <c r="X357" s="204"/>
      <c r="Y357" s="153" t="s">
        <v>408</v>
      </c>
      <c r="Z357" s="263">
        <f>Z358</f>
        <v>591820.66999999993</v>
      </c>
      <c r="AA357" s="235">
        <f>AA358</f>
        <v>50000</v>
      </c>
      <c r="AB357" s="235">
        <f>AB358</f>
        <v>50000</v>
      </c>
      <c r="AC357" s="558" t="s">
        <v>408</v>
      </c>
    </row>
    <row r="358" spans="1:29" ht="51" customHeight="1" x14ac:dyDescent="0.3">
      <c r="A358" s="1013" t="s">
        <v>565</v>
      </c>
      <c r="B358" s="1014" t="s">
        <v>15</v>
      </c>
      <c r="C358" s="1014" t="s">
        <v>128</v>
      </c>
      <c r="D358" s="1014" t="s">
        <v>132</v>
      </c>
      <c r="E358" s="1015" t="s">
        <v>617</v>
      </c>
      <c r="F358" s="1014"/>
      <c r="G358" s="1014"/>
      <c r="H358" s="1014"/>
      <c r="I358" s="1014"/>
      <c r="J358" s="1014"/>
      <c r="K358" s="1014"/>
      <c r="L358" s="1014"/>
      <c r="M358" s="1014"/>
      <c r="N358" s="1014"/>
      <c r="O358" s="1014"/>
      <c r="P358" s="1014"/>
      <c r="Q358" s="1014"/>
      <c r="R358" s="1014"/>
      <c r="S358" s="1014"/>
      <c r="T358" s="1014" t="s">
        <v>275</v>
      </c>
      <c r="U358" s="1016"/>
      <c r="V358" s="1017"/>
      <c r="W358" s="1017"/>
      <c r="X358" s="1017"/>
      <c r="Y358" s="1013" t="s">
        <v>409</v>
      </c>
      <c r="Z358" s="1070">
        <f>600000-86671.56+100000-15-28000-626.1+7133.33</f>
        <v>591820.66999999993</v>
      </c>
      <c r="AA358" s="210">
        <v>50000</v>
      </c>
      <c r="AB358" s="210">
        <v>50000</v>
      </c>
      <c r="AC358" s="211" t="s">
        <v>409</v>
      </c>
    </row>
    <row r="359" spans="1:29" ht="158.25" customHeight="1" x14ac:dyDescent="0.3">
      <c r="A359" s="153" t="s">
        <v>1277</v>
      </c>
      <c r="B359" s="230" t="s">
        <v>15</v>
      </c>
      <c r="C359" s="230" t="s">
        <v>128</v>
      </c>
      <c r="D359" s="230" t="s">
        <v>132</v>
      </c>
      <c r="E359" s="230" t="s">
        <v>618</v>
      </c>
      <c r="F359" s="230"/>
      <c r="G359" s="230"/>
      <c r="H359" s="230"/>
      <c r="I359" s="230"/>
      <c r="J359" s="230"/>
      <c r="K359" s="230"/>
      <c r="L359" s="230"/>
      <c r="M359" s="230"/>
      <c r="N359" s="230"/>
      <c r="O359" s="230"/>
      <c r="P359" s="230"/>
      <c r="Q359" s="230"/>
      <c r="R359" s="230"/>
      <c r="S359" s="230"/>
      <c r="T359" s="230"/>
      <c r="U359" s="161"/>
      <c r="V359" s="204"/>
      <c r="W359" s="204"/>
      <c r="X359" s="204"/>
      <c r="Y359" s="153" t="s">
        <v>410</v>
      </c>
      <c r="Z359" s="263">
        <f>Z360</f>
        <v>1127013.4300000002</v>
      </c>
      <c r="AA359" s="235">
        <f>AA360</f>
        <v>50000</v>
      </c>
      <c r="AB359" s="235">
        <f>AB360</f>
        <v>50000</v>
      </c>
      <c r="AC359" s="558" t="s">
        <v>410</v>
      </c>
    </row>
    <row r="360" spans="1:29" ht="53.45" customHeight="1" x14ac:dyDescent="0.3">
      <c r="A360" s="1013" t="s">
        <v>565</v>
      </c>
      <c r="B360" s="1014" t="s">
        <v>15</v>
      </c>
      <c r="C360" s="1014" t="s">
        <v>128</v>
      </c>
      <c r="D360" s="1014" t="s">
        <v>132</v>
      </c>
      <c r="E360" s="1015" t="s">
        <v>618</v>
      </c>
      <c r="F360" s="1014"/>
      <c r="G360" s="1014"/>
      <c r="H360" s="1014"/>
      <c r="I360" s="1014"/>
      <c r="J360" s="1014"/>
      <c r="K360" s="1014"/>
      <c r="L360" s="1014"/>
      <c r="M360" s="1014"/>
      <c r="N360" s="1014"/>
      <c r="O360" s="1014"/>
      <c r="P360" s="1014"/>
      <c r="Q360" s="1014"/>
      <c r="R360" s="1014"/>
      <c r="S360" s="1014"/>
      <c r="T360" s="1014" t="s">
        <v>275</v>
      </c>
      <c r="U360" s="1016"/>
      <c r="V360" s="1017"/>
      <c r="W360" s="1017"/>
      <c r="X360" s="1017"/>
      <c r="Y360" s="1013" t="s">
        <v>411</v>
      </c>
      <c r="Z360" s="1070">
        <f>700000+700000-60000-191340+626.1-22272.67</f>
        <v>1127013.4300000002</v>
      </c>
      <c r="AA360" s="210">
        <v>50000</v>
      </c>
      <c r="AB360" s="210">
        <v>50000</v>
      </c>
      <c r="AC360" s="211" t="s">
        <v>411</v>
      </c>
    </row>
    <row r="361" spans="1:29" s="271" customFormat="1" ht="148.5" customHeight="1" x14ac:dyDescent="0.3">
      <c r="A361" s="486" t="s">
        <v>1549</v>
      </c>
      <c r="B361" s="140" t="s">
        <v>15</v>
      </c>
      <c r="C361" s="140" t="s">
        <v>128</v>
      </c>
      <c r="D361" s="140" t="s">
        <v>132</v>
      </c>
      <c r="E361" s="230" t="s">
        <v>1550</v>
      </c>
      <c r="F361" s="140"/>
      <c r="G361" s="140"/>
      <c r="H361" s="140"/>
      <c r="I361" s="140"/>
      <c r="J361" s="140"/>
      <c r="K361" s="140"/>
      <c r="L361" s="140"/>
      <c r="M361" s="140"/>
      <c r="N361" s="140"/>
      <c r="O361" s="140"/>
      <c r="P361" s="140"/>
      <c r="Q361" s="140"/>
      <c r="R361" s="140"/>
      <c r="S361" s="140"/>
      <c r="T361" s="140"/>
      <c r="U361" s="161"/>
      <c r="V361" s="204"/>
      <c r="W361" s="204"/>
      <c r="X361" s="204"/>
      <c r="Y361" s="153" t="s">
        <v>412</v>
      </c>
      <c r="Z361" s="263">
        <f>Z362</f>
        <v>0</v>
      </c>
      <c r="AA361" s="235">
        <f>AA362</f>
        <v>34000</v>
      </c>
      <c r="AB361" s="235">
        <f>AB362</f>
        <v>0</v>
      </c>
      <c r="AC361" s="564" t="s">
        <v>412</v>
      </c>
    </row>
    <row r="362" spans="1:29" s="271" customFormat="1" ht="33.6" customHeight="1" x14ac:dyDescent="0.3">
      <c r="A362" s="1034" t="s">
        <v>565</v>
      </c>
      <c r="B362" s="140" t="s">
        <v>15</v>
      </c>
      <c r="C362" s="140" t="s">
        <v>128</v>
      </c>
      <c r="D362" s="140" t="s">
        <v>132</v>
      </c>
      <c r="E362" s="230" t="s">
        <v>1550</v>
      </c>
      <c r="F362" s="140"/>
      <c r="G362" s="140"/>
      <c r="H362" s="140"/>
      <c r="I362" s="140"/>
      <c r="J362" s="140"/>
      <c r="K362" s="140"/>
      <c r="L362" s="140"/>
      <c r="M362" s="140"/>
      <c r="N362" s="140"/>
      <c r="O362" s="140"/>
      <c r="P362" s="140"/>
      <c r="Q362" s="140"/>
      <c r="R362" s="140"/>
      <c r="S362" s="140"/>
      <c r="T362" s="140" t="s">
        <v>275</v>
      </c>
      <c r="U362" s="136"/>
      <c r="V362" s="137"/>
      <c r="W362" s="137"/>
      <c r="X362" s="137"/>
      <c r="Y362" s="135" t="s">
        <v>413</v>
      </c>
      <c r="Z362" s="264">
        <v>0</v>
      </c>
      <c r="AA362" s="210">
        <v>34000</v>
      </c>
      <c r="AB362" s="210">
        <v>0</v>
      </c>
      <c r="AC362" s="561" t="s">
        <v>413</v>
      </c>
    </row>
    <row r="363" spans="1:29" ht="55.9" customHeight="1" x14ac:dyDescent="0.3">
      <c r="A363" s="159" t="s">
        <v>414</v>
      </c>
      <c r="B363" s="160" t="s">
        <v>16</v>
      </c>
      <c r="C363" s="160"/>
      <c r="D363" s="160"/>
      <c r="E363" s="139"/>
      <c r="F363" s="160"/>
      <c r="G363" s="160"/>
      <c r="H363" s="160"/>
      <c r="I363" s="160"/>
      <c r="J363" s="160"/>
      <c r="K363" s="160"/>
      <c r="L363" s="160"/>
      <c r="M363" s="160"/>
      <c r="N363" s="160"/>
      <c r="O363" s="160"/>
      <c r="P363" s="160"/>
      <c r="Q363" s="160"/>
      <c r="R363" s="160"/>
      <c r="S363" s="160"/>
      <c r="T363" s="160"/>
      <c r="U363" s="160"/>
      <c r="V363" s="212"/>
      <c r="W363" s="212"/>
      <c r="X363" s="212"/>
      <c r="Y363" s="159" t="s">
        <v>414</v>
      </c>
      <c r="Z363" s="581">
        <f>Z367+Z590+Z463+Z565+Z434+Z427+Z450+Z583</f>
        <v>83936022.860000014</v>
      </c>
      <c r="AA363" s="213">
        <f>AA367+AA590+AA383+AA463+AA565+AA434+AA364</f>
        <v>38986151.269999996</v>
      </c>
      <c r="AB363" s="213">
        <f>AB367+AB590+AB383+AB463+AB565+AB434+AB364</f>
        <v>43680144.529999994</v>
      </c>
      <c r="AC363" s="288" t="s">
        <v>414</v>
      </c>
    </row>
    <row r="364" spans="1:29" ht="18.75" customHeight="1" x14ac:dyDescent="0.3">
      <c r="A364" s="159" t="s">
        <v>501</v>
      </c>
      <c r="B364" s="160" t="s">
        <v>16</v>
      </c>
      <c r="C364" s="160" t="s">
        <v>133</v>
      </c>
      <c r="D364" s="160" t="s">
        <v>133</v>
      </c>
      <c r="E364" s="139"/>
      <c r="F364" s="160"/>
      <c r="G364" s="160"/>
      <c r="H364" s="160"/>
      <c r="I364" s="160"/>
      <c r="J364" s="160"/>
      <c r="K364" s="160"/>
      <c r="L364" s="160"/>
      <c r="M364" s="160"/>
      <c r="N364" s="160"/>
      <c r="O364" s="160"/>
      <c r="P364" s="160"/>
      <c r="Q364" s="160"/>
      <c r="R364" s="160"/>
      <c r="S364" s="160"/>
      <c r="T364" s="160"/>
      <c r="U364" s="160"/>
      <c r="V364" s="212"/>
      <c r="W364" s="212"/>
      <c r="X364" s="212"/>
      <c r="Y364" s="159"/>
      <c r="Z364" s="581">
        <v>0</v>
      </c>
      <c r="AA364" s="213">
        <f>AA365</f>
        <v>4420012.5</v>
      </c>
      <c r="AB364" s="213">
        <f>AB365</f>
        <v>9094467.7599999998</v>
      </c>
      <c r="AC364" s="288"/>
    </row>
    <row r="365" spans="1:29" ht="16.5" customHeight="1" x14ac:dyDescent="0.3">
      <c r="A365" s="159" t="s">
        <v>1343</v>
      </c>
      <c r="B365" s="160" t="s">
        <v>16</v>
      </c>
      <c r="C365" s="160" t="s">
        <v>133</v>
      </c>
      <c r="D365" s="160" t="s">
        <v>133</v>
      </c>
      <c r="E365" s="139" t="s">
        <v>719</v>
      </c>
      <c r="F365" s="160"/>
      <c r="G365" s="160"/>
      <c r="H365" s="160"/>
      <c r="I365" s="160"/>
      <c r="J365" s="160"/>
      <c r="K365" s="160"/>
      <c r="L365" s="160"/>
      <c r="M365" s="160"/>
      <c r="N365" s="160"/>
      <c r="O365" s="160"/>
      <c r="P365" s="160"/>
      <c r="Q365" s="160"/>
      <c r="R365" s="160"/>
      <c r="S365" s="160"/>
      <c r="T365" s="160"/>
      <c r="U365" s="160"/>
      <c r="V365" s="212"/>
      <c r="W365" s="212"/>
      <c r="X365" s="212"/>
      <c r="Y365" s="159"/>
      <c r="Z365" s="581">
        <v>0</v>
      </c>
      <c r="AA365" s="213">
        <v>4420012.5</v>
      </c>
      <c r="AB365" s="213">
        <v>9094467.7599999998</v>
      </c>
      <c r="AC365" s="288"/>
    </row>
    <row r="366" spans="1:29" ht="27" customHeight="1" x14ac:dyDescent="0.3">
      <c r="A366" s="159" t="s">
        <v>501</v>
      </c>
      <c r="B366" s="160" t="s">
        <v>16</v>
      </c>
      <c r="C366" s="160" t="s">
        <v>133</v>
      </c>
      <c r="D366" s="160" t="s">
        <v>133</v>
      </c>
      <c r="E366" s="139" t="s">
        <v>719</v>
      </c>
      <c r="F366" s="160"/>
      <c r="G366" s="160"/>
      <c r="H366" s="160"/>
      <c r="I366" s="160"/>
      <c r="J366" s="160"/>
      <c r="K366" s="160"/>
      <c r="L366" s="160"/>
      <c r="M366" s="160"/>
      <c r="N366" s="160"/>
      <c r="O366" s="160"/>
      <c r="P366" s="160"/>
      <c r="Q366" s="160"/>
      <c r="R366" s="160"/>
      <c r="S366" s="160"/>
      <c r="T366" s="160" t="s">
        <v>502</v>
      </c>
      <c r="U366" s="160"/>
      <c r="V366" s="212"/>
      <c r="W366" s="212"/>
      <c r="X366" s="212"/>
      <c r="Y366" s="159"/>
      <c r="Z366" s="581">
        <v>0</v>
      </c>
      <c r="AA366" s="213">
        <v>0</v>
      </c>
      <c r="AB366" s="213">
        <v>0</v>
      </c>
      <c r="AC366" s="288"/>
    </row>
    <row r="367" spans="1:29" ht="37.15" customHeight="1" x14ac:dyDescent="0.3">
      <c r="A367" s="159" t="s">
        <v>270</v>
      </c>
      <c r="B367" s="160" t="s">
        <v>16</v>
      </c>
      <c r="C367" s="160" t="s">
        <v>122</v>
      </c>
      <c r="D367" s="160" t="s">
        <v>133</v>
      </c>
      <c r="E367" s="139"/>
      <c r="F367" s="160"/>
      <c r="G367" s="160"/>
      <c r="H367" s="160"/>
      <c r="I367" s="160"/>
      <c r="J367" s="160"/>
      <c r="K367" s="160"/>
      <c r="L367" s="160"/>
      <c r="M367" s="160"/>
      <c r="N367" s="160"/>
      <c r="O367" s="160"/>
      <c r="P367" s="160"/>
      <c r="Q367" s="160"/>
      <c r="R367" s="160"/>
      <c r="S367" s="160"/>
      <c r="T367" s="160"/>
      <c r="U367" s="160"/>
      <c r="V367" s="212"/>
      <c r="W367" s="212"/>
      <c r="X367" s="212"/>
      <c r="Y367" s="159" t="s">
        <v>270</v>
      </c>
      <c r="Z367" s="581">
        <f>Z368+Z383</f>
        <v>30735235.150000002</v>
      </c>
      <c r="AA367" s="213">
        <f>AA368</f>
        <v>12157538.77</v>
      </c>
      <c r="AB367" s="213">
        <f>AB368</f>
        <v>12157776.77</v>
      </c>
      <c r="AC367" s="288" t="s">
        <v>270</v>
      </c>
    </row>
    <row r="368" spans="1:29" ht="78.75" customHeight="1" x14ac:dyDescent="0.3">
      <c r="A368" s="159" t="s">
        <v>250</v>
      </c>
      <c r="B368" s="160" t="s">
        <v>16</v>
      </c>
      <c r="C368" s="160" t="s">
        <v>122</v>
      </c>
      <c r="D368" s="160" t="s">
        <v>125</v>
      </c>
      <c r="E368" s="139"/>
      <c r="F368" s="160"/>
      <c r="G368" s="160"/>
      <c r="H368" s="160"/>
      <c r="I368" s="160"/>
      <c r="J368" s="160"/>
      <c r="K368" s="160"/>
      <c r="L368" s="160"/>
      <c r="M368" s="160"/>
      <c r="N368" s="160"/>
      <c r="O368" s="160"/>
      <c r="P368" s="160"/>
      <c r="Q368" s="160"/>
      <c r="R368" s="160"/>
      <c r="S368" s="160"/>
      <c r="T368" s="160"/>
      <c r="U368" s="160"/>
      <c r="V368" s="212"/>
      <c r="W368" s="212"/>
      <c r="X368" s="212"/>
      <c r="Y368" s="159" t="s">
        <v>250</v>
      </c>
      <c r="Z368" s="213">
        <f>Z369+Z377+Z375+Z373+Z379</f>
        <v>13977833.170000002</v>
      </c>
      <c r="AA368" s="213">
        <f t="shared" ref="AA368:AB368" si="14">AA369+AA377+AA375+AA373+AA379</f>
        <v>12157538.77</v>
      </c>
      <c r="AB368" s="213">
        <f t="shared" si="14"/>
        <v>12157776.77</v>
      </c>
      <c r="AC368" s="288" t="s">
        <v>250</v>
      </c>
    </row>
    <row r="369" spans="1:31" ht="150.6" customHeight="1" x14ac:dyDescent="0.3">
      <c r="A369" s="153" t="s">
        <v>1220</v>
      </c>
      <c r="B369" s="230" t="s">
        <v>16</v>
      </c>
      <c r="C369" s="230" t="s">
        <v>122</v>
      </c>
      <c r="D369" s="230" t="s">
        <v>125</v>
      </c>
      <c r="E369" s="230" t="s">
        <v>619</v>
      </c>
      <c r="F369" s="230"/>
      <c r="G369" s="230"/>
      <c r="H369" s="230"/>
      <c r="I369" s="230"/>
      <c r="J369" s="230"/>
      <c r="K369" s="230"/>
      <c r="L369" s="230"/>
      <c r="M369" s="230"/>
      <c r="N369" s="230"/>
      <c r="O369" s="230"/>
      <c r="P369" s="230"/>
      <c r="Q369" s="230"/>
      <c r="R369" s="230"/>
      <c r="S369" s="230"/>
      <c r="T369" s="230"/>
      <c r="U369" s="161"/>
      <c r="V369" s="204"/>
      <c r="W369" s="204"/>
      <c r="X369" s="204"/>
      <c r="Y369" s="153" t="s">
        <v>415</v>
      </c>
      <c r="Z369" s="235">
        <f>Z370+Z371+Z372</f>
        <v>13020040.640000001</v>
      </c>
      <c r="AA369" s="235">
        <f>AA370+AA371+AA372</f>
        <v>11557451.77</v>
      </c>
      <c r="AB369" s="235">
        <f>AB370+AB371+AB372</f>
        <v>11557451.77</v>
      </c>
      <c r="AC369" s="558" t="s">
        <v>415</v>
      </c>
      <c r="AE369" s="127"/>
    </row>
    <row r="370" spans="1:31" ht="100.9" customHeight="1" x14ac:dyDescent="0.3">
      <c r="A370" s="135" t="s">
        <v>723</v>
      </c>
      <c r="B370" s="140" t="s">
        <v>16</v>
      </c>
      <c r="C370" s="140" t="s">
        <v>122</v>
      </c>
      <c r="D370" s="140" t="s">
        <v>125</v>
      </c>
      <c r="E370" s="230" t="s">
        <v>619</v>
      </c>
      <c r="F370" s="140"/>
      <c r="G370" s="140"/>
      <c r="H370" s="140"/>
      <c r="I370" s="140"/>
      <c r="J370" s="140"/>
      <c r="K370" s="140"/>
      <c r="L370" s="140"/>
      <c r="M370" s="140"/>
      <c r="N370" s="140"/>
      <c r="O370" s="140"/>
      <c r="P370" s="140"/>
      <c r="Q370" s="140"/>
      <c r="R370" s="140"/>
      <c r="S370" s="140"/>
      <c r="T370" s="140" t="s">
        <v>38</v>
      </c>
      <c r="U370" s="136"/>
      <c r="V370" s="137"/>
      <c r="W370" s="137"/>
      <c r="X370" s="137"/>
      <c r="Y370" s="135" t="s">
        <v>416</v>
      </c>
      <c r="Z370" s="210">
        <f>7520736.38+23900+2253142.39+575000+200000+341181+1462588.87-32500</f>
        <v>12344048.640000001</v>
      </c>
      <c r="AA370" s="210">
        <v>10913959.77</v>
      </c>
      <c r="AB370" s="210">
        <v>10913959.77</v>
      </c>
      <c r="AC370" s="211" t="s">
        <v>416</v>
      </c>
      <c r="AE370" s="127"/>
    </row>
    <row r="371" spans="1:31" ht="45.6" customHeight="1" x14ac:dyDescent="0.3">
      <c r="A371" s="135" t="s">
        <v>565</v>
      </c>
      <c r="B371" s="140" t="s">
        <v>16</v>
      </c>
      <c r="C371" s="140" t="s">
        <v>122</v>
      </c>
      <c r="D371" s="140" t="s">
        <v>125</v>
      </c>
      <c r="E371" s="230" t="s">
        <v>619</v>
      </c>
      <c r="F371" s="140"/>
      <c r="G371" s="140"/>
      <c r="H371" s="140"/>
      <c r="I371" s="140"/>
      <c r="J371" s="140"/>
      <c r="K371" s="140"/>
      <c r="L371" s="140"/>
      <c r="M371" s="140"/>
      <c r="N371" s="140"/>
      <c r="O371" s="140"/>
      <c r="P371" s="140"/>
      <c r="Q371" s="140"/>
      <c r="R371" s="140"/>
      <c r="S371" s="140"/>
      <c r="T371" s="140" t="s">
        <v>275</v>
      </c>
      <c r="U371" s="136"/>
      <c r="V371" s="137"/>
      <c r="W371" s="137"/>
      <c r="X371" s="137"/>
      <c r="Y371" s="135" t="s">
        <v>417</v>
      </c>
      <c r="Z371" s="210">
        <f>184200+15000+20000+249700+11000+66800+94792+33800</f>
        <v>675292</v>
      </c>
      <c r="AA371" s="210">
        <f>184200+15000+20000+249700+11000+66800+94792</f>
        <v>641492</v>
      </c>
      <c r="AB371" s="210">
        <f>184200+15000+20000+249700+11000+66800+94792</f>
        <v>641492</v>
      </c>
      <c r="AC371" s="211" t="s">
        <v>417</v>
      </c>
    </row>
    <row r="372" spans="1:31" ht="40.5" customHeight="1" x14ac:dyDescent="0.3">
      <c r="A372" s="135" t="s">
        <v>760</v>
      </c>
      <c r="B372" s="140" t="s">
        <v>16</v>
      </c>
      <c r="C372" s="140" t="s">
        <v>122</v>
      </c>
      <c r="D372" s="140" t="s">
        <v>125</v>
      </c>
      <c r="E372" s="230" t="s">
        <v>619</v>
      </c>
      <c r="F372" s="140"/>
      <c r="G372" s="140"/>
      <c r="H372" s="140"/>
      <c r="I372" s="140"/>
      <c r="J372" s="140"/>
      <c r="K372" s="140"/>
      <c r="L372" s="140"/>
      <c r="M372" s="140"/>
      <c r="N372" s="140"/>
      <c r="O372" s="140"/>
      <c r="P372" s="140"/>
      <c r="Q372" s="140"/>
      <c r="R372" s="140"/>
      <c r="S372" s="140"/>
      <c r="T372" s="140" t="s">
        <v>243</v>
      </c>
      <c r="U372" s="136"/>
      <c r="V372" s="137"/>
      <c r="W372" s="137"/>
      <c r="X372" s="137"/>
      <c r="Y372" s="135" t="s">
        <v>418</v>
      </c>
      <c r="Z372" s="210">
        <f>2000-1300</f>
        <v>700</v>
      </c>
      <c r="AA372" s="210">
        <v>2000</v>
      </c>
      <c r="AB372" s="210">
        <v>2000</v>
      </c>
      <c r="AC372" s="211" t="s">
        <v>418</v>
      </c>
    </row>
    <row r="373" spans="1:31" ht="157.15" customHeight="1" x14ac:dyDescent="0.3">
      <c r="A373" s="153" t="s">
        <v>1486</v>
      </c>
      <c r="B373" s="140" t="s">
        <v>16</v>
      </c>
      <c r="C373" s="140" t="s">
        <v>122</v>
      </c>
      <c r="D373" s="140" t="s">
        <v>125</v>
      </c>
      <c r="E373" s="230" t="s">
        <v>1487</v>
      </c>
      <c r="F373" s="140"/>
      <c r="G373" s="140"/>
      <c r="H373" s="140"/>
      <c r="I373" s="140"/>
      <c r="J373" s="140"/>
      <c r="K373" s="140"/>
      <c r="L373" s="140"/>
      <c r="M373" s="140"/>
      <c r="N373" s="140"/>
      <c r="O373" s="140"/>
      <c r="P373" s="140"/>
      <c r="Q373" s="140"/>
      <c r="R373" s="140"/>
      <c r="S373" s="140"/>
      <c r="T373" s="140"/>
      <c r="U373" s="136"/>
      <c r="V373" s="137"/>
      <c r="W373" s="137"/>
      <c r="X373" s="137"/>
      <c r="Y373" s="135"/>
      <c r="Z373" s="210">
        <f>Z374</f>
        <v>1000</v>
      </c>
      <c r="AA373" s="210">
        <v>0</v>
      </c>
      <c r="AB373" s="210">
        <v>0</v>
      </c>
      <c r="AC373" s="211"/>
    </row>
    <row r="374" spans="1:31" ht="105" customHeight="1" x14ac:dyDescent="0.3">
      <c r="A374" s="135" t="s">
        <v>1488</v>
      </c>
      <c r="B374" s="140" t="s">
        <v>16</v>
      </c>
      <c r="C374" s="140" t="s">
        <v>122</v>
      </c>
      <c r="D374" s="140" t="s">
        <v>125</v>
      </c>
      <c r="E374" s="230" t="s">
        <v>1487</v>
      </c>
      <c r="F374" s="140"/>
      <c r="G374" s="140"/>
      <c r="H374" s="140"/>
      <c r="I374" s="140"/>
      <c r="J374" s="140"/>
      <c r="K374" s="140"/>
      <c r="L374" s="140"/>
      <c r="M374" s="140"/>
      <c r="N374" s="140"/>
      <c r="O374" s="140"/>
      <c r="P374" s="140"/>
      <c r="Q374" s="140"/>
      <c r="R374" s="140"/>
      <c r="S374" s="140"/>
      <c r="T374" s="140" t="s">
        <v>38</v>
      </c>
      <c r="U374" s="136"/>
      <c r="V374" s="137"/>
      <c r="W374" s="137"/>
      <c r="X374" s="137"/>
      <c r="Y374" s="135"/>
      <c r="Z374" s="210">
        <v>1000</v>
      </c>
      <c r="AA374" s="210">
        <v>0</v>
      </c>
      <c r="AB374" s="210">
        <v>0</v>
      </c>
      <c r="AC374" s="211"/>
    </row>
    <row r="375" spans="1:31" ht="205.15" customHeight="1" x14ac:dyDescent="0.3">
      <c r="A375" s="155" t="s">
        <v>1312</v>
      </c>
      <c r="B375" s="140" t="s">
        <v>16</v>
      </c>
      <c r="C375" s="140" t="s">
        <v>122</v>
      </c>
      <c r="D375" s="140" t="s">
        <v>125</v>
      </c>
      <c r="E375" s="230" t="s">
        <v>1092</v>
      </c>
      <c r="F375" s="140"/>
      <c r="G375" s="140"/>
      <c r="H375" s="140"/>
      <c r="I375" s="140"/>
      <c r="J375" s="140"/>
      <c r="K375" s="140"/>
      <c r="L375" s="140"/>
      <c r="M375" s="140"/>
      <c r="N375" s="140"/>
      <c r="O375" s="140"/>
      <c r="P375" s="140"/>
      <c r="Q375" s="140"/>
      <c r="R375" s="140"/>
      <c r="S375" s="140"/>
      <c r="T375" s="140"/>
      <c r="U375" s="136"/>
      <c r="V375" s="137"/>
      <c r="W375" s="137"/>
      <c r="X375" s="137"/>
      <c r="Y375" s="135"/>
      <c r="Z375" s="210">
        <f>Z376</f>
        <v>23806</v>
      </c>
      <c r="AA375" s="210">
        <f>AA376</f>
        <v>24087</v>
      </c>
      <c r="AB375" s="210">
        <f>AB376</f>
        <v>24325</v>
      </c>
      <c r="AC375" s="211"/>
    </row>
    <row r="376" spans="1:31" ht="102" customHeight="1" x14ac:dyDescent="0.3">
      <c r="A376" s="135" t="s">
        <v>723</v>
      </c>
      <c r="B376" s="140" t="s">
        <v>16</v>
      </c>
      <c r="C376" s="140" t="s">
        <v>122</v>
      </c>
      <c r="D376" s="140" t="s">
        <v>125</v>
      </c>
      <c r="E376" s="230" t="s">
        <v>1092</v>
      </c>
      <c r="F376" s="140"/>
      <c r="G376" s="140"/>
      <c r="H376" s="140"/>
      <c r="I376" s="140"/>
      <c r="J376" s="140"/>
      <c r="K376" s="140"/>
      <c r="L376" s="140"/>
      <c r="M376" s="140"/>
      <c r="N376" s="140"/>
      <c r="O376" s="140"/>
      <c r="P376" s="140"/>
      <c r="Q376" s="140"/>
      <c r="R376" s="140"/>
      <c r="S376" s="140"/>
      <c r="T376" s="140" t="s">
        <v>38</v>
      </c>
      <c r="U376" s="136"/>
      <c r="V376" s="137"/>
      <c r="W376" s="137"/>
      <c r="X376" s="137"/>
      <c r="Y376" s="135"/>
      <c r="Z376" s="210">
        <f>23800+6</f>
        <v>23806</v>
      </c>
      <c r="AA376" s="210">
        <f>24100-13</f>
        <v>24087</v>
      </c>
      <c r="AB376" s="210">
        <f>24300+25</f>
        <v>24325</v>
      </c>
      <c r="AC376" s="211"/>
    </row>
    <row r="377" spans="1:31" ht="209.25" customHeight="1" x14ac:dyDescent="0.3">
      <c r="A377" s="153" t="s">
        <v>1291</v>
      </c>
      <c r="B377" s="230" t="s">
        <v>16</v>
      </c>
      <c r="C377" s="230" t="s">
        <v>122</v>
      </c>
      <c r="D377" s="230" t="s">
        <v>125</v>
      </c>
      <c r="E377" s="230" t="s">
        <v>620</v>
      </c>
      <c r="F377" s="230"/>
      <c r="G377" s="230"/>
      <c r="H377" s="230"/>
      <c r="I377" s="230"/>
      <c r="J377" s="230"/>
      <c r="K377" s="230"/>
      <c r="L377" s="230"/>
      <c r="M377" s="230"/>
      <c r="N377" s="230"/>
      <c r="O377" s="230"/>
      <c r="P377" s="230"/>
      <c r="Q377" s="230"/>
      <c r="R377" s="230"/>
      <c r="S377" s="230"/>
      <c r="T377" s="230"/>
      <c r="U377" s="161"/>
      <c r="V377" s="204"/>
      <c r="W377" s="204"/>
      <c r="X377" s="204"/>
      <c r="Y377" s="153" t="s">
        <v>419</v>
      </c>
      <c r="Z377" s="235">
        <f>Z378</f>
        <v>707638.46</v>
      </c>
      <c r="AA377" s="235">
        <f>AA378</f>
        <v>576000</v>
      </c>
      <c r="AB377" s="235">
        <f>AB378</f>
        <v>576000</v>
      </c>
      <c r="AC377" s="558" t="s">
        <v>419</v>
      </c>
    </row>
    <row r="378" spans="1:31" ht="119.25" customHeight="1" x14ac:dyDescent="0.3">
      <c r="A378" s="1018" t="s">
        <v>723</v>
      </c>
      <c r="B378" s="1014" t="s">
        <v>16</v>
      </c>
      <c r="C378" s="1014" t="s">
        <v>122</v>
      </c>
      <c r="D378" s="1014" t="s">
        <v>125</v>
      </c>
      <c r="E378" s="1015" t="s">
        <v>620</v>
      </c>
      <c r="F378" s="1014"/>
      <c r="G378" s="1014"/>
      <c r="H378" s="1014"/>
      <c r="I378" s="1014"/>
      <c r="J378" s="1014"/>
      <c r="K378" s="1014"/>
      <c r="L378" s="1014"/>
      <c r="M378" s="1014"/>
      <c r="N378" s="1014"/>
      <c r="O378" s="1014"/>
      <c r="P378" s="1014"/>
      <c r="Q378" s="1014"/>
      <c r="R378" s="1014"/>
      <c r="S378" s="1014"/>
      <c r="T378" s="1014" t="s">
        <v>38</v>
      </c>
      <c r="U378" s="1016"/>
      <c r="V378" s="1017"/>
      <c r="W378" s="1017"/>
      <c r="X378" s="1017"/>
      <c r="Y378" s="1018" t="s">
        <v>420</v>
      </c>
      <c r="Z378" s="1019">
        <f>624996+73304+9338.46</f>
        <v>707638.46</v>
      </c>
      <c r="AA378" s="210">
        <v>576000</v>
      </c>
      <c r="AB378" s="210">
        <v>576000</v>
      </c>
      <c r="AC378" s="559" t="s">
        <v>420</v>
      </c>
      <c r="AE378" s="127"/>
    </row>
    <row r="379" spans="1:31" s="18" customFormat="1" ht="134.25" customHeight="1" x14ac:dyDescent="0.3">
      <c r="A379" s="155" t="s">
        <v>1518</v>
      </c>
      <c r="B379" s="230" t="s">
        <v>16</v>
      </c>
      <c r="C379" s="230" t="s">
        <v>122</v>
      </c>
      <c r="D379" s="230" t="s">
        <v>125</v>
      </c>
      <c r="E379" s="230" t="s">
        <v>1519</v>
      </c>
      <c r="F379" s="230"/>
      <c r="G379" s="230"/>
      <c r="H379" s="230"/>
      <c r="I379" s="230"/>
      <c r="J379" s="230"/>
      <c r="K379" s="230"/>
      <c r="L379" s="230"/>
      <c r="M379" s="230"/>
      <c r="N379" s="230"/>
      <c r="O379" s="230"/>
      <c r="P379" s="230"/>
      <c r="Q379" s="230"/>
      <c r="R379" s="230"/>
      <c r="S379" s="230"/>
      <c r="T379" s="230"/>
      <c r="U379" s="161"/>
      <c r="V379" s="204"/>
      <c r="W379" s="204"/>
      <c r="X379" s="204"/>
      <c r="Y379" s="155"/>
      <c r="Z379" s="235">
        <f>Z380+Z381</f>
        <v>225348.07</v>
      </c>
      <c r="AA379" s="235">
        <f t="shared" ref="AA379:AB379" si="15">AA380+AA381</f>
        <v>0</v>
      </c>
      <c r="AB379" s="235">
        <f t="shared" si="15"/>
        <v>0</v>
      </c>
      <c r="AC379" s="563"/>
      <c r="AE379" s="957"/>
    </row>
    <row r="380" spans="1:31" ht="97.5" customHeight="1" x14ac:dyDescent="0.3">
      <c r="A380" s="154" t="s">
        <v>723</v>
      </c>
      <c r="B380" s="140" t="s">
        <v>16</v>
      </c>
      <c r="C380" s="140" t="s">
        <v>122</v>
      </c>
      <c r="D380" s="140" t="s">
        <v>125</v>
      </c>
      <c r="E380" s="230" t="s">
        <v>1519</v>
      </c>
      <c r="F380" s="140"/>
      <c r="G380" s="140"/>
      <c r="H380" s="140"/>
      <c r="I380" s="140"/>
      <c r="J380" s="140"/>
      <c r="K380" s="140"/>
      <c r="L380" s="140"/>
      <c r="M380" s="140"/>
      <c r="N380" s="140"/>
      <c r="O380" s="140"/>
      <c r="P380" s="140"/>
      <c r="Q380" s="140"/>
      <c r="R380" s="140"/>
      <c r="S380" s="140"/>
      <c r="T380" s="140" t="s">
        <v>38</v>
      </c>
      <c r="U380" s="136"/>
      <c r="V380" s="137"/>
      <c r="W380" s="137"/>
      <c r="X380" s="137"/>
      <c r="Y380" s="154"/>
      <c r="Z380" s="210">
        <f>221174.91+3.16</f>
        <v>221178.07</v>
      </c>
      <c r="AA380" s="210">
        <v>0</v>
      </c>
      <c r="AB380" s="210">
        <v>0</v>
      </c>
      <c r="AC380" s="559"/>
      <c r="AE380" s="127"/>
    </row>
    <row r="381" spans="1:31" ht="55.5" customHeight="1" x14ac:dyDescent="0.3">
      <c r="A381" s="154" t="s">
        <v>565</v>
      </c>
      <c r="B381" s="140" t="s">
        <v>16</v>
      </c>
      <c r="C381" s="140" t="s">
        <v>122</v>
      </c>
      <c r="D381" s="140" t="s">
        <v>125</v>
      </c>
      <c r="E381" s="230" t="s">
        <v>1519</v>
      </c>
      <c r="F381" s="140"/>
      <c r="G381" s="140"/>
      <c r="H381" s="140"/>
      <c r="I381" s="140"/>
      <c r="J381" s="140"/>
      <c r="K381" s="140"/>
      <c r="L381" s="140"/>
      <c r="M381" s="140"/>
      <c r="N381" s="140"/>
      <c r="O381" s="140"/>
      <c r="P381" s="140"/>
      <c r="Q381" s="140"/>
      <c r="R381" s="140"/>
      <c r="S381" s="140"/>
      <c r="T381" s="140" t="s">
        <v>275</v>
      </c>
      <c r="U381" s="136"/>
      <c r="V381" s="137"/>
      <c r="W381" s="137"/>
      <c r="X381" s="137"/>
      <c r="Y381" s="154"/>
      <c r="Z381" s="210">
        <f>4173.16-3.16</f>
        <v>4170</v>
      </c>
      <c r="AA381" s="210">
        <v>0</v>
      </c>
      <c r="AB381" s="210">
        <v>0</v>
      </c>
      <c r="AC381" s="559"/>
      <c r="AE381" s="127"/>
    </row>
    <row r="382" spans="1:31" ht="60" customHeight="1" x14ac:dyDescent="0.3">
      <c r="A382" s="159" t="s">
        <v>421</v>
      </c>
      <c r="B382" s="160" t="s">
        <v>16</v>
      </c>
      <c r="C382" s="160" t="s">
        <v>130</v>
      </c>
      <c r="D382" s="160" t="s">
        <v>133</v>
      </c>
      <c r="E382" s="139"/>
      <c r="F382" s="160"/>
      <c r="G382" s="160"/>
      <c r="H382" s="160"/>
      <c r="I382" s="160"/>
      <c r="J382" s="160"/>
      <c r="K382" s="160"/>
      <c r="L382" s="160"/>
      <c r="M382" s="160"/>
      <c r="N382" s="160"/>
      <c r="O382" s="160"/>
      <c r="P382" s="160"/>
      <c r="Q382" s="160"/>
      <c r="R382" s="160"/>
      <c r="S382" s="160"/>
      <c r="T382" s="160"/>
      <c r="U382" s="160"/>
      <c r="V382" s="212"/>
      <c r="W382" s="212"/>
      <c r="X382" s="212"/>
      <c r="Y382" s="159" t="s">
        <v>421</v>
      </c>
      <c r="Z382" s="213">
        <v>0</v>
      </c>
      <c r="AA382" s="213">
        <f t="shared" ref="Z382:AB384" si="16">AA383</f>
        <v>0</v>
      </c>
      <c r="AB382" s="213">
        <f t="shared" si="16"/>
        <v>0</v>
      </c>
      <c r="AC382" s="288" t="s">
        <v>421</v>
      </c>
    </row>
    <row r="383" spans="1:31" ht="30.75" customHeight="1" x14ac:dyDescent="0.3">
      <c r="A383" s="207" t="s">
        <v>141</v>
      </c>
      <c r="B383" s="140" t="s">
        <v>16</v>
      </c>
      <c r="C383" s="140" t="s">
        <v>122</v>
      </c>
      <c r="D383" s="140" t="s">
        <v>130</v>
      </c>
      <c r="E383" s="140"/>
      <c r="F383" s="140"/>
      <c r="G383" s="140"/>
      <c r="H383" s="140"/>
      <c r="I383" s="140"/>
      <c r="J383" s="140"/>
      <c r="K383" s="140"/>
      <c r="L383" s="140"/>
      <c r="M383" s="140"/>
      <c r="N383" s="140"/>
      <c r="O383" s="140"/>
      <c r="P383" s="140"/>
      <c r="Q383" s="140"/>
      <c r="R383" s="140"/>
      <c r="S383" s="140"/>
      <c r="T383" s="140"/>
      <c r="U383" s="160"/>
      <c r="V383" s="212"/>
      <c r="W383" s="212"/>
      <c r="X383" s="212"/>
      <c r="Y383" s="159" t="s">
        <v>421</v>
      </c>
      <c r="Z383" s="213">
        <f>Z405+Z411+Z419+Z415+Z387+Z399+Z392+Z384</f>
        <v>16757401.98</v>
      </c>
      <c r="AA383" s="213">
        <f t="shared" si="16"/>
        <v>0</v>
      </c>
      <c r="AB383" s="213">
        <f t="shared" si="16"/>
        <v>0</v>
      </c>
      <c r="AC383" s="288" t="s">
        <v>255</v>
      </c>
      <c r="AE383" s="127"/>
    </row>
    <row r="384" spans="1:31" ht="81" customHeight="1" x14ac:dyDescent="0.3">
      <c r="A384" s="154" t="s">
        <v>758</v>
      </c>
      <c r="B384" s="140" t="s">
        <v>16</v>
      </c>
      <c r="C384" s="140" t="s">
        <v>122</v>
      </c>
      <c r="D384" s="140" t="s">
        <v>130</v>
      </c>
      <c r="E384" s="230" t="s">
        <v>759</v>
      </c>
      <c r="F384" s="140"/>
      <c r="G384" s="140"/>
      <c r="H384" s="140"/>
      <c r="I384" s="140"/>
      <c r="J384" s="140"/>
      <c r="K384" s="140"/>
      <c r="L384" s="140"/>
      <c r="M384" s="140"/>
      <c r="N384" s="140"/>
      <c r="O384" s="140"/>
      <c r="P384" s="140"/>
      <c r="Q384" s="140"/>
      <c r="R384" s="140"/>
      <c r="S384" s="140"/>
      <c r="T384" s="140"/>
      <c r="U384" s="160"/>
      <c r="V384" s="212"/>
      <c r="W384" s="212"/>
      <c r="X384" s="212"/>
      <c r="Y384" s="159" t="s">
        <v>255</v>
      </c>
      <c r="Z384" s="235">
        <f t="shared" si="16"/>
        <v>0</v>
      </c>
      <c r="AA384" s="235">
        <f t="shared" si="16"/>
        <v>0</v>
      </c>
      <c r="AB384" s="235">
        <f t="shared" si="16"/>
        <v>0</v>
      </c>
      <c r="AC384" s="558" t="s">
        <v>422</v>
      </c>
      <c r="AE384" s="127"/>
    </row>
    <row r="385" spans="1:29" ht="34.5" customHeight="1" x14ac:dyDescent="0.3">
      <c r="A385" s="142" t="s">
        <v>760</v>
      </c>
      <c r="B385" s="140" t="s">
        <v>16</v>
      </c>
      <c r="C385" s="140" t="s">
        <v>122</v>
      </c>
      <c r="D385" s="140" t="s">
        <v>130</v>
      </c>
      <c r="E385" s="230" t="s">
        <v>759</v>
      </c>
      <c r="F385" s="140"/>
      <c r="G385" s="140"/>
      <c r="H385" s="140"/>
      <c r="I385" s="140"/>
      <c r="J385" s="140"/>
      <c r="K385" s="140"/>
      <c r="L385" s="140"/>
      <c r="M385" s="140"/>
      <c r="N385" s="140"/>
      <c r="O385" s="140"/>
      <c r="P385" s="140"/>
      <c r="Q385" s="140"/>
      <c r="R385" s="140"/>
      <c r="S385" s="140"/>
      <c r="T385" s="140" t="s">
        <v>243</v>
      </c>
      <c r="U385" s="161"/>
      <c r="V385" s="204"/>
      <c r="W385" s="204"/>
      <c r="X385" s="204"/>
      <c r="Y385" s="153" t="s">
        <v>422</v>
      </c>
      <c r="Z385" s="235">
        <f>3000000-3000000</f>
        <v>0</v>
      </c>
      <c r="AA385" s="210">
        <v>0</v>
      </c>
      <c r="AB385" s="210">
        <v>0</v>
      </c>
      <c r="AC385" s="211" t="s">
        <v>423</v>
      </c>
    </row>
    <row r="386" spans="1:29" ht="72" hidden="1" customHeight="1" x14ac:dyDescent="0.3">
      <c r="A386" s="811"/>
      <c r="B386" s="140"/>
      <c r="C386" s="140"/>
      <c r="D386" s="140"/>
      <c r="E386" s="230"/>
      <c r="F386" s="140"/>
      <c r="G386" s="140"/>
      <c r="H386" s="140"/>
      <c r="I386" s="140"/>
      <c r="J386" s="140"/>
      <c r="K386" s="140"/>
      <c r="L386" s="140"/>
      <c r="M386" s="140"/>
      <c r="N386" s="140"/>
      <c r="O386" s="140"/>
      <c r="P386" s="140"/>
      <c r="Q386" s="140"/>
      <c r="R386" s="140"/>
      <c r="S386" s="140"/>
      <c r="T386" s="140"/>
      <c r="U386" s="161"/>
      <c r="V386" s="204"/>
      <c r="W386" s="204"/>
      <c r="X386" s="204"/>
      <c r="Y386" s="153"/>
      <c r="Z386" s="235"/>
      <c r="AA386" s="210"/>
      <c r="AB386" s="210"/>
      <c r="AC386" s="211"/>
    </row>
    <row r="387" spans="1:29" ht="164.45" customHeight="1" x14ac:dyDescent="0.3">
      <c r="A387" s="262" t="s">
        <v>1495</v>
      </c>
      <c r="B387" s="745" t="s">
        <v>16</v>
      </c>
      <c r="C387" s="746" t="s">
        <v>122</v>
      </c>
      <c r="D387" s="746" t="s">
        <v>130</v>
      </c>
      <c r="E387" s="244" t="s">
        <v>1494</v>
      </c>
      <c r="F387" s="140"/>
      <c r="G387" s="140"/>
      <c r="H387" s="140"/>
      <c r="I387" s="140"/>
      <c r="J387" s="140"/>
      <c r="K387" s="140"/>
      <c r="L387" s="140"/>
      <c r="M387" s="140"/>
      <c r="N387" s="140"/>
      <c r="O387" s="140"/>
      <c r="P387" s="140"/>
      <c r="Q387" s="140"/>
      <c r="R387" s="140"/>
      <c r="S387" s="140"/>
      <c r="T387" s="140"/>
      <c r="U387" s="161"/>
      <c r="V387" s="204"/>
      <c r="W387" s="204"/>
      <c r="X387" s="204"/>
      <c r="Y387" s="153"/>
      <c r="Z387" s="235">
        <f>Z388</f>
        <v>0</v>
      </c>
      <c r="AA387" s="210">
        <v>0</v>
      </c>
      <c r="AB387" s="210">
        <v>0</v>
      </c>
      <c r="AC387" s="211"/>
    </row>
    <row r="388" spans="1:29" ht="40.5" customHeight="1" x14ac:dyDescent="0.3">
      <c r="A388" s="724" t="s">
        <v>1167</v>
      </c>
      <c r="B388" s="745" t="s">
        <v>16</v>
      </c>
      <c r="C388" s="746" t="s">
        <v>122</v>
      </c>
      <c r="D388" s="746" t="s">
        <v>130</v>
      </c>
      <c r="E388" s="244" t="s">
        <v>1494</v>
      </c>
      <c r="F388" s="746"/>
      <c r="G388" s="746"/>
      <c r="H388" s="746"/>
      <c r="I388" s="746"/>
      <c r="J388" s="746"/>
      <c r="K388" s="746"/>
      <c r="L388" s="746"/>
      <c r="M388" s="746"/>
      <c r="N388" s="746"/>
      <c r="O388" s="746"/>
      <c r="P388" s="746"/>
      <c r="Q388" s="746"/>
      <c r="R388" s="746"/>
      <c r="S388" s="746"/>
      <c r="T388" s="746" t="s">
        <v>427</v>
      </c>
      <c r="U388" s="161"/>
      <c r="V388" s="204"/>
      <c r="W388" s="204"/>
      <c r="X388" s="204"/>
      <c r="Y388" s="153"/>
      <c r="Z388" s="235">
        <f>Z391+Z390</f>
        <v>0</v>
      </c>
      <c r="AA388" s="210">
        <v>0</v>
      </c>
      <c r="AB388" s="210">
        <v>0</v>
      </c>
      <c r="AC388" s="211"/>
    </row>
    <row r="389" spans="1:29" ht="20.25" customHeight="1" x14ac:dyDescent="0.3">
      <c r="A389" s="291" t="s">
        <v>109</v>
      </c>
      <c r="B389" s="790"/>
      <c r="C389" s="140"/>
      <c r="D389" s="140"/>
      <c r="E389" s="230"/>
      <c r="F389" s="140"/>
      <c r="G389" s="140"/>
      <c r="H389" s="140"/>
      <c r="I389" s="140"/>
      <c r="J389" s="140"/>
      <c r="K389" s="140"/>
      <c r="L389" s="140"/>
      <c r="M389" s="140"/>
      <c r="N389" s="140"/>
      <c r="O389" s="140"/>
      <c r="P389" s="140"/>
      <c r="Q389" s="140"/>
      <c r="R389" s="140"/>
      <c r="S389" s="140"/>
      <c r="T389" s="140"/>
      <c r="U389" s="161"/>
      <c r="V389" s="204"/>
      <c r="W389" s="204"/>
      <c r="X389" s="204"/>
      <c r="Y389" s="153"/>
      <c r="Z389" s="235"/>
      <c r="AA389" s="210"/>
      <c r="AB389" s="210"/>
      <c r="AC389" s="211"/>
    </row>
    <row r="390" spans="1:29" ht="21.75" hidden="1" customHeight="1" x14ac:dyDescent="0.3">
      <c r="A390" s="981" t="s">
        <v>788</v>
      </c>
      <c r="B390" s="745" t="s">
        <v>16</v>
      </c>
      <c r="C390" s="746" t="s">
        <v>122</v>
      </c>
      <c r="D390" s="746" t="s">
        <v>130</v>
      </c>
      <c r="E390" s="244" t="s">
        <v>1494</v>
      </c>
      <c r="F390" s="746"/>
      <c r="G390" s="746"/>
      <c r="H390" s="746"/>
      <c r="I390" s="746"/>
      <c r="J390" s="746"/>
      <c r="K390" s="746"/>
      <c r="L390" s="746"/>
      <c r="M390" s="746"/>
      <c r="N390" s="746"/>
      <c r="O390" s="746"/>
      <c r="P390" s="746"/>
      <c r="Q390" s="746"/>
      <c r="R390" s="746"/>
      <c r="S390" s="746"/>
      <c r="T390" s="746" t="s">
        <v>427</v>
      </c>
      <c r="U390" s="503"/>
      <c r="V390" s="859"/>
      <c r="W390" s="859"/>
      <c r="X390" s="859"/>
      <c r="Y390" s="860"/>
      <c r="Z390" s="878">
        <v>0</v>
      </c>
      <c r="AA390" s="528">
        <v>0</v>
      </c>
      <c r="AB390" s="528">
        <v>0</v>
      </c>
      <c r="AC390" s="211"/>
    </row>
    <row r="391" spans="1:29" ht="30" customHeight="1" x14ac:dyDescent="0.3">
      <c r="A391" s="1011" t="s">
        <v>787</v>
      </c>
      <c r="B391" s="837" t="s">
        <v>16</v>
      </c>
      <c r="C391" s="837" t="s">
        <v>122</v>
      </c>
      <c r="D391" s="837" t="s">
        <v>130</v>
      </c>
      <c r="E391" s="987" t="s">
        <v>1494</v>
      </c>
      <c r="F391" s="837"/>
      <c r="G391" s="837"/>
      <c r="H391" s="837"/>
      <c r="I391" s="837"/>
      <c r="J391" s="837"/>
      <c r="K391" s="837"/>
      <c r="L391" s="837"/>
      <c r="M391" s="837"/>
      <c r="N391" s="837"/>
      <c r="O391" s="837"/>
      <c r="P391" s="837"/>
      <c r="Q391" s="837"/>
      <c r="R391" s="837"/>
      <c r="S391" s="837"/>
      <c r="T391" s="837" t="s">
        <v>427</v>
      </c>
      <c r="U391" s="976"/>
      <c r="V391" s="977"/>
      <c r="W391" s="977"/>
      <c r="X391" s="977"/>
      <c r="Y391" s="839"/>
      <c r="Z391" s="978">
        <f>1300000-1300000</f>
        <v>0</v>
      </c>
      <c r="AA391" s="876">
        <v>0</v>
      </c>
      <c r="AB391" s="876">
        <v>0</v>
      </c>
      <c r="AC391" s="980"/>
    </row>
    <row r="392" spans="1:29" ht="195.75" customHeight="1" x14ac:dyDescent="0.3">
      <c r="A392" s="982" t="s">
        <v>1530</v>
      </c>
      <c r="B392" s="151" t="s">
        <v>16</v>
      </c>
      <c r="C392" s="151" t="s">
        <v>122</v>
      </c>
      <c r="D392" s="151" t="s">
        <v>130</v>
      </c>
      <c r="E392" s="284" t="s">
        <v>1531</v>
      </c>
      <c r="F392" s="149"/>
      <c r="G392" s="149"/>
      <c r="H392" s="149"/>
      <c r="I392" s="149"/>
      <c r="J392" s="149"/>
      <c r="K392" s="149"/>
      <c r="L392" s="149"/>
      <c r="M392" s="149"/>
      <c r="N392" s="149"/>
      <c r="O392" s="149"/>
      <c r="P392" s="149"/>
      <c r="Q392" s="149"/>
      <c r="R392" s="149"/>
      <c r="S392" s="149"/>
      <c r="T392" s="149"/>
      <c r="U392" s="983"/>
      <c r="V392" s="984"/>
      <c r="W392" s="984"/>
      <c r="X392" s="984"/>
      <c r="Y392" s="969"/>
      <c r="Z392" s="985">
        <f>Z393</f>
        <v>11000000</v>
      </c>
      <c r="AA392" s="986">
        <v>0</v>
      </c>
      <c r="AB392" s="986">
        <v>0</v>
      </c>
      <c r="AC392" s="968"/>
    </row>
    <row r="393" spans="1:29" ht="37.5" customHeight="1" x14ac:dyDescent="0.3">
      <c r="A393" s="724" t="s">
        <v>1167</v>
      </c>
      <c r="B393" s="140" t="s">
        <v>16</v>
      </c>
      <c r="C393" s="140" t="s">
        <v>122</v>
      </c>
      <c r="D393" s="140" t="s">
        <v>130</v>
      </c>
      <c r="E393" s="230" t="s">
        <v>1531</v>
      </c>
      <c r="F393" s="140"/>
      <c r="G393" s="140"/>
      <c r="H393" s="140"/>
      <c r="I393" s="140"/>
      <c r="J393" s="140"/>
      <c r="K393" s="140"/>
      <c r="L393" s="140"/>
      <c r="M393" s="140"/>
      <c r="N393" s="140"/>
      <c r="O393" s="140"/>
      <c r="P393" s="140"/>
      <c r="Q393" s="140"/>
      <c r="R393" s="140"/>
      <c r="S393" s="140"/>
      <c r="T393" s="140" t="s">
        <v>427</v>
      </c>
      <c r="U393" s="976"/>
      <c r="V393" s="977"/>
      <c r="W393" s="977"/>
      <c r="X393" s="977"/>
      <c r="Y393" s="839"/>
      <c r="Z393" s="978">
        <f>Z395+Z396+Z397+Z398</f>
        <v>11000000</v>
      </c>
      <c r="AA393" s="876">
        <v>0</v>
      </c>
      <c r="AB393" s="876">
        <v>0</v>
      </c>
      <c r="AC393" s="968"/>
    </row>
    <row r="394" spans="1:29" ht="23.25" customHeight="1" x14ac:dyDescent="0.3">
      <c r="A394" s="291" t="s">
        <v>109</v>
      </c>
      <c r="B394" s="148"/>
      <c r="C394" s="148"/>
      <c r="D394" s="148"/>
      <c r="E394" s="233"/>
      <c r="F394" s="148"/>
      <c r="G394" s="148"/>
      <c r="H394" s="148"/>
      <c r="I394" s="148"/>
      <c r="J394" s="148"/>
      <c r="K394" s="148"/>
      <c r="L394" s="148"/>
      <c r="M394" s="148"/>
      <c r="N394" s="148"/>
      <c r="O394" s="148"/>
      <c r="P394" s="148"/>
      <c r="Q394" s="148"/>
      <c r="R394" s="148"/>
      <c r="S394" s="148"/>
      <c r="T394" s="148"/>
      <c r="U394" s="976"/>
      <c r="V394" s="977"/>
      <c r="W394" s="977"/>
      <c r="X394" s="977"/>
      <c r="Y394" s="839"/>
      <c r="Z394" s="978"/>
      <c r="AA394" s="876"/>
      <c r="AB394" s="876"/>
      <c r="AC394" s="968"/>
    </row>
    <row r="395" spans="1:29" ht="29.25" customHeight="1" x14ac:dyDescent="0.3">
      <c r="A395" s="897" t="s">
        <v>785</v>
      </c>
      <c r="B395" s="140" t="s">
        <v>16</v>
      </c>
      <c r="C395" s="140" t="s">
        <v>122</v>
      </c>
      <c r="D395" s="140" t="s">
        <v>130</v>
      </c>
      <c r="E395" s="230" t="s">
        <v>1531</v>
      </c>
      <c r="F395" s="140"/>
      <c r="G395" s="140"/>
      <c r="H395" s="140"/>
      <c r="I395" s="140"/>
      <c r="J395" s="140"/>
      <c r="K395" s="140"/>
      <c r="L395" s="140"/>
      <c r="M395" s="140"/>
      <c r="N395" s="140"/>
      <c r="O395" s="140"/>
      <c r="P395" s="140"/>
      <c r="Q395" s="140"/>
      <c r="R395" s="140"/>
      <c r="S395" s="140"/>
      <c r="T395" s="140" t="s">
        <v>427</v>
      </c>
      <c r="U395" s="976"/>
      <c r="V395" s="977"/>
      <c r="W395" s="977"/>
      <c r="X395" s="977"/>
      <c r="Y395" s="839"/>
      <c r="Z395" s="978">
        <v>1135814</v>
      </c>
      <c r="AA395" s="876">
        <v>0</v>
      </c>
      <c r="AB395" s="876">
        <v>0</v>
      </c>
      <c r="AC395" s="968"/>
    </row>
    <row r="396" spans="1:29" ht="30" customHeight="1" x14ac:dyDescent="0.3">
      <c r="A396" s="1012" t="s">
        <v>786</v>
      </c>
      <c r="B396" s="746" t="s">
        <v>16</v>
      </c>
      <c r="C396" s="746" t="s">
        <v>122</v>
      </c>
      <c r="D396" s="746" t="s">
        <v>130</v>
      </c>
      <c r="E396" s="244" t="s">
        <v>1531</v>
      </c>
      <c r="F396" s="140"/>
      <c r="G396" s="140"/>
      <c r="H396" s="140"/>
      <c r="I396" s="140"/>
      <c r="J396" s="140"/>
      <c r="K396" s="140"/>
      <c r="L396" s="140"/>
      <c r="M396" s="140"/>
      <c r="N396" s="140"/>
      <c r="O396" s="140"/>
      <c r="P396" s="140"/>
      <c r="Q396" s="140"/>
      <c r="R396" s="140"/>
      <c r="S396" s="140"/>
      <c r="T396" s="140" t="s">
        <v>427</v>
      </c>
      <c r="U396" s="976"/>
      <c r="V396" s="977"/>
      <c r="W396" s="977"/>
      <c r="X396" s="977"/>
      <c r="Y396" s="839"/>
      <c r="Z396" s="978">
        <v>2011000</v>
      </c>
      <c r="AA396" s="876">
        <v>0</v>
      </c>
      <c r="AB396" s="876">
        <v>0</v>
      </c>
      <c r="AC396" s="968"/>
    </row>
    <row r="397" spans="1:29" ht="29.25" customHeight="1" x14ac:dyDescent="0.3">
      <c r="A397" s="792" t="s">
        <v>788</v>
      </c>
      <c r="B397" s="746" t="s">
        <v>16</v>
      </c>
      <c r="C397" s="746" t="s">
        <v>122</v>
      </c>
      <c r="D397" s="746" t="s">
        <v>130</v>
      </c>
      <c r="E397" s="244" t="s">
        <v>1531</v>
      </c>
      <c r="F397" s="746"/>
      <c r="G397" s="746"/>
      <c r="H397" s="746"/>
      <c r="I397" s="746"/>
      <c r="J397" s="746"/>
      <c r="K397" s="746"/>
      <c r="L397" s="746"/>
      <c r="M397" s="746"/>
      <c r="N397" s="746"/>
      <c r="O397" s="746"/>
      <c r="P397" s="746"/>
      <c r="Q397" s="746"/>
      <c r="R397" s="746"/>
      <c r="S397" s="746"/>
      <c r="T397" s="746" t="s">
        <v>427</v>
      </c>
      <c r="U397" s="983"/>
      <c r="V397" s="984"/>
      <c r="W397" s="984"/>
      <c r="X397" s="984"/>
      <c r="Y397" s="969"/>
      <c r="Z397" s="985">
        <v>4853186</v>
      </c>
      <c r="AA397" s="986">
        <v>0</v>
      </c>
      <c r="AB397" s="986">
        <v>0</v>
      </c>
      <c r="AC397" s="968"/>
    </row>
    <row r="398" spans="1:29" ht="28.5" customHeight="1" x14ac:dyDescent="0.3">
      <c r="A398" s="875" t="s">
        <v>787</v>
      </c>
      <c r="B398" s="837" t="s">
        <v>16</v>
      </c>
      <c r="C398" s="837" t="s">
        <v>122</v>
      </c>
      <c r="D398" s="837" t="s">
        <v>130</v>
      </c>
      <c r="E398" s="987" t="s">
        <v>1531</v>
      </c>
      <c r="F398" s="837"/>
      <c r="G398" s="837"/>
      <c r="H398" s="837"/>
      <c r="I398" s="837"/>
      <c r="J398" s="837"/>
      <c r="K398" s="837"/>
      <c r="L398" s="837"/>
      <c r="M398" s="837"/>
      <c r="N398" s="837"/>
      <c r="O398" s="837"/>
      <c r="P398" s="837"/>
      <c r="Q398" s="837"/>
      <c r="R398" s="837"/>
      <c r="S398" s="837"/>
      <c r="T398" s="837" t="s">
        <v>427</v>
      </c>
      <c r="U398" s="983"/>
      <c r="V398" s="984"/>
      <c r="W398" s="984"/>
      <c r="X398" s="984"/>
      <c r="Y398" s="969"/>
      <c r="Z398" s="985">
        <v>3000000</v>
      </c>
      <c r="AA398" s="986">
        <v>0</v>
      </c>
      <c r="AB398" s="986">
        <v>0</v>
      </c>
      <c r="AC398" s="968"/>
    </row>
    <row r="399" spans="1:29" ht="167.25" customHeight="1" x14ac:dyDescent="0.3">
      <c r="A399" s="969" t="s">
        <v>1471</v>
      </c>
      <c r="B399" s="970" t="s">
        <v>16</v>
      </c>
      <c r="C399" s="971" t="s">
        <v>122</v>
      </c>
      <c r="D399" s="971" t="s">
        <v>130</v>
      </c>
      <c r="E399" s="972" t="s">
        <v>768</v>
      </c>
      <c r="F399" s="151"/>
      <c r="G399" s="151"/>
      <c r="H399" s="151"/>
      <c r="I399" s="151"/>
      <c r="J399" s="151"/>
      <c r="K399" s="151"/>
      <c r="L399" s="151"/>
      <c r="M399" s="151"/>
      <c r="N399" s="151"/>
      <c r="O399" s="151"/>
      <c r="P399" s="151"/>
      <c r="Q399" s="151"/>
      <c r="R399" s="151"/>
      <c r="S399" s="151"/>
      <c r="T399" s="151"/>
      <c r="U399" s="973"/>
      <c r="V399" s="973"/>
      <c r="W399" s="973"/>
      <c r="X399" s="973"/>
      <c r="Y399" s="973"/>
      <c r="Z399" s="974">
        <f>Z400</f>
        <v>525842.78</v>
      </c>
      <c r="AA399" s="975">
        <v>0</v>
      </c>
      <c r="AB399" s="975">
        <v>0</v>
      </c>
    </row>
    <row r="400" spans="1:29" ht="43.5" customHeight="1" x14ac:dyDescent="0.3">
      <c r="A400" s="724" t="s">
        <v>1167</v>
      </c>
      <c r="B400" s="745" t="s">
        <v>16</v>
      </c>
      <c r="C400" s="746" t="s">
        <v>122</v>
      </c>
      <c r="D400" s="746" t="s">
        <v>130</v>
      </c>
      <c r="E400" s="244" t="s">
        <v>768</v>
      </c>
      <c r="F400" s="746"/>
      <c r="G400" s="746"/>
      <c r="H400" s="746"/>
      <c r="I400" s="746"/>
      <c r="J400" s="746"/>
      <c r="K400" s="746"/>
      <c r="L400" s="746"/>
      <c r="M400" s="746"/>
      <c r="N400" s="746"/>
      <c r="O400" s="746"/>
      <c r="P400" s="746"/>
      <c r="Q400" s="746"/>
      <c r="R400" s="746"/>
      <c r="S400" s="746"/>
      <c r="T400" s="746" t="s">
        <v>427</v>
      </c>
      <c r="U400" s="164"/>
      <c r="V400" s="812"/>
      <c r="W400" s="812"/>
      <c r="X400" s="812"/>
      <c r="Y400" s="158"/>
      <c r="Z400" s="879">
        <f>Z402+Z403+Z404</f>
        <v>525842.78</v>
      </c>
      <c r="AA400" s="813">
        <v>0</v>
      </c>
      <c r="AB400" s="813">
        <v>0</v>
      </c>
      <c r="AC400" s="211"/>
    </row>
    <row r="401" spans="1:31" ht="24.75" customHeight="1" x14ac:dyDescent="0.3">
      <c r="A401" s="584" t="s">
        <v>109</v>
      </c>
      <c r="B401" s="790"/>
      <c r="C401" s="140"/>
      <c r="D401" s="140"/>
      <c r="E401" s="230"/>
      <c r="F401" s="140"/>
      <c r="G401" s="140"/>
      <c r="H401" s="140"/>
      <c r="I401" s="140"/>
      <c r="J401" s="140"/>
      <c r="K401" s="140"/>
      <c r="L401" s="140"/>
      <c r="M401" s="140"/>
      <c r="N401" s="140"/>
      <c r="O401" s="140"/>
      <c r="P401" s="140"/>
      <c r="Q401" s="140"/>
      <c r="R401" s="140"/>
      <c r="S401" s="140"/>
      <c r="T401" s="140"/>
      <c r="U401" s="161"/>
      <c r="V401" s="204"/>
      <c r="W401" s="204"/>
      <c r="X401" s="204"/>
      <c r="Y401" s="153"/>
      <c r="Z401" s="235"/>
      <c r="AA401" s="210"/>
      <c r="AB401" s="210"/>
      <c r="AC401" s="211"/>
    </row>
    <row r="402" spans="1:31" ht="31.5" customHeight="1" x14ac:dyDescent="0.3">
      <c r="A402" s="792" t="s">
        <v>788</v>
      </c>
      <c r="B402" s="745" t="s">
        <v>16</v>
      </c>
      <c r="C402" s="746" t="s">
        <v>122</v>
      </c>
      <c r="D402" s="746" t="s">
        <v>130</v>
      </c>
      <c r="E402" s="244" t="s">
        <v>768</v>
      </c>
      <c r="F402" s="746"/>
      <c r="G402" s="746"/>
      <c r="H402" s="746"/>
      <c r="I402" s="746"/>
      <c r="J402" s="746"/>
      <c r="K402" s="746"/>
      <c r="L402" s="746"/>
      <c r="M402" s="746"/>
      <c r="N402" s="746"/>
      <c r="O402" s="746"/>
      <c r="P402" s="746"/>
      <c r="Q402" s="746"/>
      <c r="R402" s="746"/>
      <c r="S402" s="746"/>
      <c r="T402" s="746" t="s">
        <v>427</v>
      </c>
      <c r="U402" s="161"/>
      <c r="V402" s="204"/>
      <c r="W402" s="204"/>
      <c r="X402" s="204"/>
      <c r="Y402" s="153"/>
      <c r="Z402" s="235">
        <v>197532.26</v>
      </c>
      <c r="AA402" s="210">
        <v>0</v>
      </c>
      <c r="AB402" s="210">
        <v>0</v>
      </c>
      <c r="AC402" s="211"/>
      <c r="AE402" s="127"/>
    </row>
    <row r="403" spans="1:31" ht="31.5" customHeight="1" x14ac:dyDescent="0.3">
      <c r="A403" s="897" t="s">
        <v>785</v>
      </c>
      <c r="B403" s="745" t="s">
        <v>16</v>
      </c>
      <c r="C403" s="746" t="s">
        <v>122</v>
      </c>
      <c r="D403" s="746" t="s">
        <v>130</v>
      </c>
      <c r="E403" s="244" t="s">
        <v>768</v>
      </c>
      <c r="F403" s="746"/>
      <c r="G403" s="746"/>
      <c r="H403" s="746"/>
      <c r="I403" s="746"/>
      <c r="J403" s="746"/>
      <c r="K403" s="746"/>
      <c r="L403" s="746"/>
      <c r="M403" s="746"/>
      <c r="N403" s="746"/>
      <c r="O403" s="746"/>
      <c r="P403" s="746"/>
      <c r="Q403" s="746"/>
      <c r="R403" s="746"/>
      <c r="S403" s="746"/>
      <c r="T403" s="746" t="s">
        <v>427</v>
      </c>
      <c r="U403" s="161"/>
      <c r="V403" s="204"/>
      <c r="W403" s="204"/>
      <c r="X403" s="204"/>
      <c r="Y403" s="153"/>
      <c r="Z403" s="235">
        <v>102245.27</v>
      </c>
      <c r="AA403" s="210">
        <v>0</v>
      </c>
      <c r="AB403" s="210">
        <v>0</v>
      </c>
      <c r="AC403" s="211"/>
      <c r="AE403" s="127"/>
    </row>
    <row r="404" spans="1:31" ht="31.5" customHeight="1" x14ac:dyDescent="0.3">
      <c r="A404" s="1035" t="s">
        <v>787</v>
      </c>
      <c r="B404" s="1036" t="s">
        <v>16</v>
      </c>
      <c r="C404" s="1037" t="s">
        <v>122</v>
      </c>
      <c r="D404" s="1037" t="s">
        <v>130</v>
      </c>
      <c r="E404" s="1038" t="s">
        <v>768</v>
      </c>
      <c r="F404" s="1037"/>
      <c r="G404" s="1037"/>
      <c r="H404" s="1037"/>
      <c r="I404" s="1037"/>
      <c r="J404" s="1037"/>
      <c r="K404" s="1037"/>
      <c r="L404" s="1037"/>
      <c r="M404" s="1037"/>
      <c r="N404" s="1037"/>
      <c r="O404" s="1037"/>
      <c r="P404" s="1037"/>
      <c r="Q404" s="1037"/>
      <c r="R404" s="1037"/>
      <c r="S404" s="1037"/>
      <c r="T404" s="1037" t="s">
        <v>427</v>
      </c>
      <c r="U404" s="221"/>
      <c r="V404" s="222"/>
      <c r="W404" s="222"/>
      <c r="X404" s="222"/>
      <c r="Y404" s="220"/>
      <c r="Z404" s="263">
        <v>226065.25</v>
      </c>
      <c r="AA404" s="210">
        <v>0</v>
      </c>
      <c r="AB404" s="210">
        <v>0</v>
      </c>
      <c r="AC404" s="211"/>
      <c r="AE404" s="127"/>
    </row>
    <row r="405" spans="1:31" ht="165.75" customHeight="1" x14ac:dyDescent="0.3">
      <c r="A405" s="486" t="s">
        <v>1417</v>
      </c>
      <c r="B405" s="140" t="s">
        <v>16</v>
      </c>
      <c r="C405" s="140" t="s">
        <v>122</v>
      </c>
      <c r="D405" s="140" t="s">
        <v>130</v>
      </c>
      <c r="E405" s="230"/>
      <c r="F405" s="140"/>
      <c r="G405" s="140"/>
      <c r="H405" s="140"/>
      <c r="I405" s="140"/>
      <c r="J405" s="140"/>
      <c r="K405" s="140"/>
      <c r="L405" s="140"/>
      <c r="M405" s="140"/>
      <c r="N405" s="140"/>
      <c r="O405" s="140"/>
      <c r="P405" s="140"/>
      <c r="Q405" s="140"/>
      <c r="R405" s="140"/>
      <c r="S405" s="140"/>
      <c r="T405" s="140"/>
      <c r="U405" s="161"/>
      <c r="V405" s="204"/>
      <c r="W405" s="204"/>
      <c r="X405" s="204"/>
      <c r="Y405" s="153"/>
      <c r="Z405" s="235">
        <f>Z406</f>
        <v>3190451.22</v>
      </c>
      <c r="AA405" s="210"/>
      <c r="AB405" s="210"/>
      <c r="AC405" s="211"/>
    </row>
    <row r="406" spans="1:31" ht="44.25" customHeight="1" x14ac:dyDescent="0.3">
      <c r="A406" s="724" t="s">
        <v>1167</v>
      </c>
      <c r="B406" s="140" t="s">
        <v>16</v>
      </c>
      <c r="C406" s="140" t="s">
        <v>122</v>
      </c>
      <c r="D406" s="140" t="s">
        <v>130</v>
      </c>
      <c r="E406" s="230" t="s">
        <v>986</v>
      </c>
      <c r="F406" s="140"/>
      <c r="G406" s="140"/>
      <c r="H406" s="140"/>
      <c r="I406" s="140"/>
      <c r="J406" s="140"/>
      <c r="K406" s="140"/>
      <c r="L406" s="140"/>
      <c r="M406" s="140"/>
      <c r="N406" s="140"/>
      <c r="O406" s="140"/>
      <c r="P406" s="140"/>
      <c r="Q406" s="140"/>
      <c r="R406" s="140"/>
      <c r="S406" s="140"/>
      <c r="T406" s="140" t="s">
        <v>427</v>
      </c>
      <c r="U406" s="161"/>
      <c r="V406" s="204"/>
      <c r="W406" s="204"/>
      <c r="X406" s="204"/>
      <c r="Y406" s="153"/>
      <c r="Z406" s="235">
        <f>Z408+Z410+Z409</f>
        <v>3190451.22</v>
      </c>
      <c r="AA406" s="210">
        <v>0</v>
      </c>
      <c r="AB406" s="210">
        <v>0</v>
      </c>
      <c r="AC406" s="211"/>
    </row>
    <row r="407" spans="1:31" ht="21.6" customHeight="1" x14ac:dyDescent="0.3">
      <c r="A407" s="291" t="s">
        <v>109</v>
      </c>
      <c r="B407" s="140"/>
      <c r="C407" s="140"/>
      <c r="D407" s="140"/>
      <c r="E407" s="230"/>
      <c r="F407" s="140"/>
      <c r="G407" s="140"/>
      <c r="H407" s="140"/>
      <c r="I407" s="140"/>
      <c r="J407" s="140"/>
      <c r="K407" s="140"/>
      <c r="L407" s="140"/>
      <c r="M407" s="140"/>
      <c r="N407" s="140"/>
      <c r="O407" s="140"/>
      <c r="P407" s="140"/>
      <c r="Q407" s="140"/>
      <c r="R407" s="140"/>
      <c r="S407" s="140"/>
      <c r="T407" s="140"/>
      <c r="U407" s="161"/>
      <c r="V407" s="204"/>
      <c r="W407" s="204"/>
      <c r="X407" s="204"/>
      <c r="Y407" s="153"/>
      <c r="Z407" s="235"/>
      <c r="AA407" s="210"/>
      <c r="AB407" s="210"/>
      <c r="AC407" s="211"/>
    </row>
    <row r="408" spans="1:31" ht="27" customHeight="1" x14ac:dyDescent="0.3">
      <c r="A408" s="142" t="s">
        <v>787</v>
      </c>
      <c r="B408" s="140" t="s">
        <v>16</v>
      </c>
      <c r="C408" s="140" t="s">
        <v>122</v>
      </c>
      <c r="D408" s="140" t="s">
        <v>130</v>
      </c>
      <c r="E408" s="230" t="s">
        <v>986</v>
      </c>
      <c r="F408" s="140"/>
      <c r="G408" s="140"/>
      <c r="H408" s="140"/>
      <c r="I408" s="140"/>
      <c r="J408" s="140"/>
      <c r="K408" s="140"/>
      <c r="L408" s="140"/>
      <c r="M408" s="140"/>
      <c r="N408" s="140"/>
      <c r="O408" s="140"/>
      <c r="P408" s="140"/>
      <c r="Q408" s="140"/>
      <c r="R408" s="140"/>
      <c r="S408" s="140"/>
      <c r="T408" s="140" t="s">
        <v>427</v>
      </c>
      <c r="U408" s="161"/>
      <c r="V408" s="204"/>
      <c r="W408" s="204"/>
      <c r="X408" s="204"/>
      <c r="Y408" s="153"/>
      <c r="Z408" s="263">
        <f>370058.64+120391.94+250000</f>
        <v>740450.58000000007</v>
      </c>
      <c r="AA408" s="210">
        <v>0</v>
      </c>
      <c r="AB408" s="210">
        <v>0</v>
      </c>
      <c r="AC408" s="211"/>
    </row>
    <row r="409" spans="1:31" ht="27" customHeight="1" x14ac:dyDescent="0.3">
      <c r="A409" s="792" t="s">
        <v>788</v>
      </c>
      <c r="B409" s="140" t="s">
        <v>16</v>
      </c>
      <c r="C409" s="140" t="s">
        <v>122</v>
      </c>
      <c r="D409" s="140" t="s">
        <v>130</v>
      </c>
      <c r="E409" s="230" t="s">
        <v>986</v>
      </c>
      <c r="F409" s="140"/>
      <c r="G409" s="140"/>
      <c r="H409" s="140"/>
      <c r="I409" s="140"/>
      <c r="J409" s="140"/>
      <c r="K409" s="140"/>
      <c r="L409" s="140"/>
      <c r="M409" s="140"/>
      <c r="N409" s="140"/>
      <c r="O409" s="140"/>
      <c r="P409" s="140"/>
      <c r="Q409" s="140"/>
      <c r="R409" s="140"/>
      <c r="S409" s="140"/>
      <c r="T409" s="140" t="s">
        <v>427</v>
      </c>
      <c r="U409" s="161"/>
      <c r="V409" s="204"/>
      <c r="W409" s="204"/>
      <c r="X409" s="204"/>
      <c r="Y409" s="153"/>
      <c r="Z409" s="263">
        <v>250000</v>
      </c>
      <c r="AA409" s="210">
        <v>0</v>
      </c>
      <c r="AB409" s="210">
        <v>0</v>
      </c>
      <c r="AC409" s="211"/>
    </row>
    <row r="410" spans="1:31" ht="32.25" customHeight="1" x14ac:dyDescent="0.3">
      <c r="A410" s="142" t="s">
        <v>1418</v>
      </c>
      <c r="B410" s="140" t="s">
        <v>16</v>
      </c>
      <c r="C410" s="140" t="s">
        <v>122</v>
      </c>
      <c r="D410" s="140" t="s">
        <v>130</v>
      </c>
      <c r="E410" s="230" t="s">
        <v>986</v>
      </c>
      <c r="F410" s="140"/>
      <c r="G410" s="140"/>
      <c r="H410" s="140"/>
      <c r="I410" s="140"/>
      <c r="J410" s="140"/>
      <c r="K410" s="140"/>
      <c r="L410" s="140"/>
      <c r="M410" s="140"/>
      <c r="N410" s="140"/>
      <c r="O410" s="140"/>
      <c r="P410" s="140"/>
      <c r="Q410" s="140"/>
      <c r="R410" s="140"/>
      <c r="S410" s="140"/>
      <c r="T410" s="140" t="s">
        <v>427</v>
      </c>
      <c r="U410" s="161"/>
      <c r="V410" s="204"/>
      <c r="W410" s="204"/>
      <c r="X410" s="204"/>
      <c r="Y410" s="153"/>
      <c r="Z410" s="235">
        <v>2200000.64</v>
      </c>
      <c r="AA410" s="210">
        <v>0</v>
      </c>
      <c r="AB410" s="210">
        <v>0</v>
      </c>
      <c r="AC410" s="211"/>
    </row>
    <row r="411" spans="1:31" ht="190.9" customHeight="1" x14ac:dyDescent="0.3">
      <c r="A411" s="153" t="s">
        <v>1223</v>
      </c>
      <c r="B411" s="140" t="s">
        <v>16</v>
      </c>
      <c r="C411" s="140" t="s">
        <v>122</v>
      </c>
      <c r="D411" s="140" t="s">
        <v>130</v>
      </c>
      <c r="E411" s="230" t="s">
        <v>640</v>
      </c>
      <c r="F411" s="140"/>
      <c r="G411" s="140"/>
      <c r="H411" s="140"/>
      <c r="I411" s="140"/>
      <c r="J411" s="140"/>
      <c r="K411" s="140"/>
      <c r="L411" s="140"/>
      <c r="M411" s="140"/>
      <c r="N411" s="140"/>
      <c r="O411" s="140"/>
      <c r="P411" s="140"/>
      <c r="Q411" s="140"/>
      <c r="R411" s="140"/>
      <c r="S411" s="140"/>
      <c r="T411" s="140"/>
      <c r="U411" s="161"/>
      <c r="V411" s="204"/>
      <c r="W411" s="204"/>
      <c r="X411" s="204"/>
      <c r="Y411" s="153"/>
      <c r="Z411" s="235">
        <f>Z412</f>
        <v>500000</v>
      </c>
      <c r="AA411" s="210">
        <v>0</v>
      </c>
      <c r="AB411" s="210">
        <v>0</v>
      </c>
      <c r="AC411" s="211"/>
    </row>
    <row r="412" spans="1:31" ht="43.5" customHeight="1" x14ac:dyDescent="0.3">
      <c r="A412" s="724" t="s">
        <v>1167</v>
      </c>
      <c r="B412" s="140" t="s">
        <v>16</v>
      </c>
      <c r="C412" s="140" t="s">
        <v>122</v>
      </c>
      <c r="D412" s="140" t="s">
        <v>130</v>
      </c>
      <c r="E412" s="230" t="s">
        <v>640</v>
      </c>
      <c r="F412" s="140"/>
      <c r="G412" s="140"/>
      <c r="H412" s="140"/>
      <c r="I412" s="140"/>
      <c r="J412" s="140"/>
      <c r="K412" s="140"/>
      <c r="L412" s="140"/>
      <c r="M412" s="140"/>
      <c r="N412" s="140"/>
      <c r="O412" s="140"/>
      <c r="P412" s="140"/>
      <c r="Q412" s="140"/>
      <c r="R412" s="140"/>
      <c r="S412" s="140"/>
      <c r="T412" s="140" t="s">
        <v>427</v>
      </c>
      <c r="U412" s="161"/>
      <c r="V412" s="204"/>
      <c r="W412" s="204"/>
      <c r="X412" s="204"/>
      <c r="Y412" s="153"/>
      <c r="Z412" s="235">
        <f>Z414</f>
        <v>500000</v>
      </c>
      <c r="AA412" s="210">
        <v>0</v>
      </c>
      <c r="AB412" s="210">
        <v>0</v>
      </c>
      <c r="AC412" s="211"/>
    </row>
    <row r="413" spans="1:31" ht="23.25" customHeight="1" x14ac:dyDescent="0.3">
      <c r="A413" s="291" t="s">
        <v>109</v>
      </c>
      <c r="B413" s="140"/>
      <c r="C413" s="140"/>
      <c r="D413" s="140"/>
      <c r="E413" s="230"/>
      <c r="F413" s="140"/>
      <c r="G413" s="140"/>
      <c r="H413" s="140"/>
      <c r="I413" s="140"/>
      <c r="J413" s="140"/>
      <c r="K413" s="140"/>
      <c r="L413" s="140"/>
      <c r="M413" s="140"/>
      <c r="N413" s="140"/>
      <c r="O413" s="140"/>
      <c r="P413" s="140"/>
      <c r="Q413" s="140"/>
      <c r="R413" s="140"/>
      <c r="S413" s="140"/>
      <c r="T413" s="140"/>
      <c r="U413" s="161"/>
      <c r="V413" s="204"/>
      <c r="W413" s="204"/>
      <c r="X413" s="204"/>
      <c r="Y413" s="153"/>
      <c r="Z413" s="235"/>
      <c r="AA413" s="210"/>
      <c r="AB413" s="210"/>
      <c r="AC413" s="211"/>
    </row>
    <row r="414" spans="1:31" ht="31.5" customHeight="1" x14ac:dyDescent="0.3">
      <c r="A414" s="772" t="s">
        <v>1418</v>
      </c>
      <c r="B414" s="140" t="s">
        <v>16</v>
      </c>
      <c r="C414" s="140" t="s">
        <v>122</v>
      </c>
      <c r="D414" s="140" t="s">
        <v>130</v>
      </c>
      <c r="E414" s="230" t="s">
        <v>640</v>
      </c>
      <c r="F414" s="140"/>
      <c r="G414" s="140"/>
      <c r="H414" s="140"/>
      <c r="I414" s="140"/>
      <c r="J414" s="140"/>
      <c r="K414" s="140"/>
      <c r="L414" s="140"/>
      <c r="M414" s="140"/>
      <c r="N414" s="140"/>
      <c r="O414" s="140"/>
      <c r="P414" s="140"/>
      <c r="Q414" s="140"/>
      <c r="R414" s="140"/>
      <c r="S414" s="140"/>
      <c r="T414" s="140" t="s">
        <v>427</v>
      </c>
      <c r="U414" s="161"/>
      <c r="V414" s="204"/>
      <c r="W414" s="204"/>
      <c r="X414" s="204"/>
      <c r="Y414" s="153"/>
      <c r="Z414" s="235">
        <v>500000</v>
      </c>
      <c r="AA414" s="210">
        <v>0</v>
      </c>
      <c r="AB414" s="210">
        <v>0</v>
      </c>
      <c r="AC414" s="211"/>
    </row>
    <row r="415" spans="1:31" s="271" customFormat="1" ht="167.25" hidden="1" customHeight="1" x14ac:dyDescent="0.3">
      <c r="A415" s="779" t="s">
        <v>1471</v>
      </c>
      <c r="B415" s="790" t="s">
        <v>16</v>
      </c>
      <c r="C415" s="140" t="s">
        <v>122</v>
      </c>
      <c r="D415" s="140" t="s">
        <v>130</v>
      </c>
      <c r="E415" s="230" t="s">
        <v>768</v>
      </c>
      <c r="F415" s="140"/>
      <c r="G415" s="140"/>
      <c r="H415" s="140"/>
      <c r="I415" s="140"/>
      <c r="J415" s="140"/>
      <c r="K415" s="140"/>
      <c r="L415" s="140"/>
      <c r="M415" s="140"/>
      <c r="N415" s="140"/>
      <c r="O415" s="140"/>
      <c r="P415" s="140"/>
      <c r="Q415" s="140"/>
      <c r="R415" s="140"/>
      <c r="S415" s="140"/>
      <c r="T415" s="140"/>
      <c r="U415" s="136"/>
      <c r="V415" s="137"/>
      <c r="W415" s="137"/>
      <c r="X415" s="137"/>
      <c r="Y415" s="135"/>
      <c r="Z415" s="210">
        <f>Z416</f>
        <v>0</v>
      </c>
      <c r="AA415" s="210">
        <f t="shared" ref="AA415:AB415" si="17">AA416</f>
        <v>0</v>
      </c>
      <c r="AB415" s="210">
        <f t="shared" si="17"/>
        <v>0</v>
      </c>
      <c r="AC415" s="561"/>
    </row>
    <row r="416" spans="1:31" s="271" customFormat="1" ht="47.25" hidden="1" customHeight="1" x14ac:dyDescent="0.3">
      <c r="A416" s="792" t="s">
        <v>1167</v>
      </c>
      <c r="B416" s="790" t="s">
        <v>16</v>
      </c>
      <c r="C416" s="140" t="s">
        <v>122</v>
      </c>
      <c r="D416" s="140" t="s">
        <v>130</v>
      </c>
      <c r="E416" s="230" t="s">
        <v>768</v>
      </c>
      <c r="F416" s="140"/>
      <c r="G416" s="140"/>
      <c r="H416" s="140"/>
      <c r="I416" s="140"/>
      <c r="J416" s="140"/>
      <c r="K416" s="140"/>
      <c r="L416" s="140"/>
      <c r="M416" s="140"/>
      <c r="N416" s="140"/>
      <c r="O416" s="140"/>
      <c r="P416" s="140"/>
      <c r="Q416" s="140"/>
      <c r="R416" s="140"/>
      <c r="S416" s="140"/>
      <c r="T416" s="140" t="s">
        <v>427</v>
      </c>
      <c r="U416" s="161"/>
      <c r="V416" s="204"/>
      <c r="W416" s="204"/>
      <c r="X416" s="204"/>
      <c r="Y416" s="153"/>
      <c r="Z416" s="235">
        <f>Z418</f>
        <v>0</v>
      </c>
      <c r="AA416" s="235">
        <f t="shared" ref="AA416:AB416" si="18">AA418</f>
        <v>0</v>
      </c>
      <c r="AB416" s="235">
        <f t="shared" si="18"/>
        <v>0</v>
      </c>
      <c r="AC416" s="561"/>
    </row>
    <row r="417" spans="1:31" s="271" customFormat="1" ht="30" hidden="1" customHeight="1" x14ac:dyDescent="0.3">
      <c r="A417" s="793" t="s">
        <v>109</v>
      </c>
      <c r="B417" s="790"/>
      <c r="C417" s="140"/>
      <c r="D417" s="140"/>
      <c r="E417" s="230"/>
      <c r="F417" s="140"/>
      <c r="G417" s="140"/>
      <c r="H417" s="140"/>
      <c r="I417" s="140"/>
      <c r="J417" s="140"/>
      <c r="K417" s="140"/>
      <c r="L417" s="140"/>
      <c r="M417" s="140"/>
      <c r="N417" s="140"/>
      <c r="O417" s="140"/>
      <c r="P417" s="140"/>
      <c r="Q417" s="140"/>
      <c r="R417" s="140"/>
      <c r="S417" s="140"/>
      <c r="T417" s="140"/>
      <c r="U417" s="161"/>
      <c r="V417" s="204"/>
      <c r="W417" s="204"/>
      <c r="X417" s="204"/>
      <c r="Y417" s="153"/>
      <c r="Z417" s="235"/>
      <c r="AA417" s="210"/>
      <c r="AB417" s="210"/>
      <c r="AC417" s="561"/>
    </row>
    <row r="418" spans="1:31" s="271" customFormat="1" ht="30.75" hidden="1" customHeight="1" x14ac:dyDescent="0.3">
      <c r="A418" s="793" t="s">
        <v>1472</v>
      </c>
      <c r="B418" s="270" t="s">
        <v>16</v>
      </c>
      <c r="C418" s="230" t="s">
        <v>122</v>
      </c>
      <c r="D418" s="230" t="s">
        <v>130</v>
      </c>
      <c r="E418" s="230" t="s">
        <v>768</v>
      </c>
      <c r="F418" s="230"/>
      <c r="G418" s="230"/>
      <c r="H418" s="230"/>
      <c r="I418" s="230"/>
      <c r="J418" s="230"/>
      <c r="K418" s="230"/>
      <c r="L418" s="230"/>
      <c r="M418" s="230"/>
      <c r="N418" s="230"/>
      <c r="O418" s="230"/>
      <c r="P418" s="230"/>
      <c r="Q418" s="230"/>
      <c r="R418" s="230"/>
      <c r="S418" s="230"/>
      <c r="T418" s="230" t="s">
        <v>427</v>
      </c>
      <c r="U418" s="161"/>
      <c r="V418" s="204"/>
      <c r="W418" s="204"/>
      <c r="X418" s="204"/>
      <c r="Y418" s="153"/>
      <c r="Z418" s="235">
        <v>0</v>
      </c>
      <c r="AA418" s="235">
        <v>0</v>
      </c>
      <c r="AB418" s="235">
        <v>0</v>
      </c>
      <c r="AC418" s="564"/>
    </row>
    <row r="419" spans="1:31" ht="153" customHeight="1" x14ac:dyDescent="0.3">
      <c r="A419" s="19" t="s">
        <v>1400</v>
      </c>
      <c r="B419" s="790" t="s">
        <v>16</v>
      </c>
      <c r="C419" s="140" t="s">
        <v>122</v>
      </c>
      <c r="D419" s="140" t="s">
        <v>130</v>
      </c>
      <c r="E419" s="230" t="s">
        <v>1401</v>
      </c>
      <c r="F419" s="140"/>
      <c r="G419" s="140"/>
      <c r="H419" s="140"/>
      <c r="I419" s="140"/>
      <c r="J419" s="140"/>
      <c r="K419" s="140"/>
      <c r="L419" s="140"/>
      <c r="M419" s="140"/>
      <c r="N419" s="140"/>
      <c r="O419" s="140"/>
      <c r="P419" s="140"/>
      <c r="Q419" s="140"/>
      <c r="R419" s="140"/>
      <c r="S419" s="140"/>
      <c r="T419" s="140"/>
      <c r="U419" s="161"/>
      <c r="V419" s="204"/>
      <c r="W419" s="204"/>
      <c r="X419" s="204"/>
      <c r="Y419" s="153"/>
      <c r="Z419" s="235">
        <f>Z420</f>
        <v>1541107.98</v>
      </c>
      <c r="AA419" s="210">
        <v>0</v>
      </c>
      <c r="AB419" s="210">
        <v>0</v>
      </c>
      <c r="AC419" s="211"/>
    </row>
    <row r="420" spans="1:31" ht="46.5" customHeight="1" x14ac:dyDescent="0.3">
      <c r="A420" s="791" t="s">
        <v>1167</v>
      </c>
      <c r="B420" s="140" t="s">
        <v>16</v>
      </c>
      <c r="C420" s="140" t="s">
        <v>122</v>
      </c>
      <c r="D420" s="140" t="s">
        <v>130</v>
      </c>
      <c r="E420" s="230" t="s">
        <v>1401</v>
      </c>
      <c r="F420" s="140"/>
      <c r="G420" s="140"/>
      <c r="H420" s="140"/>
      <c r="I420" s="140"/>
      <c r="J420" s="140"/>
      <c r="K420" s="140"/>
      <c r="L420" s="140"/>
      <c r="M420" s="140"/>
      <c r="N420" s="140"/>
      <c r="O420" s="140"/>
      <c r="P420" s="140"/>
      <c r="Q420" s="140"/>
      <c r="R420" s="140"/>
      <c r="S420" s="140"/>
      <c r="T420" s="140" t="s">
        <v>427</v>
      </c>
      <c r="U420" s="161"/>
      <c r="V420" s="204"/>
      <c r="W420" s="204"/>
      <c r="X420" s="204"/>
      <c r="Y420" s="153"/>
      <c r="Z420" s="235">
        <f>Z425+Z424+Z426+Z423+Z422</f>
        <v>1541107.98</v>
      </c>
      <c r="AA420" s="210">
        <v>0</v>
      </c>
      <c r="AB420" s="210">
        <v>0</v>
      </c>
      <c r="AC420" s="211"/>
    </row>
    <row r="421" spans="1:31" ht="27" customHeight="1" x14ac:dyDescent="0.3">
      <c r="A421" s="291" t="s">
        <v>109</v>
      </c>
      <c r="B421" s="140"/>
      <c r="C421" s="140"/>
      <c r="D421" s="140"/>
      <c r="E421" s="230"/>
      <c r="F421" s="140"/>
      <c r="G421" s="140"/>
      <c r="H421" s="140"/>
      <c r="I421" s="140"/>
      <c r="J421" s="140"/>
      <c r="K421" s="140"/>
      <c r="L421" s="140"/>
      <c r="M421" s="140"/>
      <c r="N421" s="140"/>
      <c r="O421" s="140"/>
      <c r="P421" s="140"/>
      <c r="Q421" s="140"/>
      <c r="R421" s="140"/>
      <c r="S421" s="140"/>
      <c r="T421" s="140"/>
      <c r="U421" s="161"/>
      <c r="V421" s="204"/>
      <c r="W421" s="204"/>
      <c r="X421" s="204"/>
      <c r="Y421" s="153"/>
      <c r="Z421" s="235"/>
      <c r="AA421" s="210"/>
      <c r="AB421" s="210"/>
      <c r="AC421" s="211"/>
    </row>
    <row r="422" spans="1:31" ht="27" customHeight="1" x14ac:dyDescent="0.3">
      <c r="A422" s="900" t="s">
        <v>787</v>
      </c>
      <c r="B422" s="230" t="s">
        <v>16</v>
      </c>
      <c r="C422" s="230" t="s">
        <v>122</v>
      </c>
      <c r="D422" s="230" t="s">
        <v>130</v>
      </c>
      <c r="E422" s="230" t="s">
        <v>1401</v>
      </c>
      <c r="F422" s="230"/>
      <c r="G422" s="230"/>
      <c r="H422" s="230"/>
      <c r="I422" s="230"/>
      <c r="J422" s="230"/>
      <c r="K422" s="230"/>
      <c r="L422" s="230"/>
      <c r="M422" s="230"/>
      <c r="N422" s="230"/>
      <c r="O422" s="230"/>
      <c r="P422" s="230"/>
      <c r="Q422" s="230"/>
      <c r="R422" s="230"/>
      <c r="S422" s="230"/>
      <c r="T422" s="230" t="s">
        <v>427</v>
      </c>
      <c r="U422" s="161"/>
      <c r="V422" s="204"/>
      <c r="W422" s="204"/>
      <c r="X422" s="204"/>
      <c r="Y422" s="153"/>
      <c r="Z422" s="235">
        <v>100000</v>
      </c>
      <c r="AA422" s="210">
        <v>0</v>
      </c>
      <c r="AB422" s="210">
        <v>0</v>
      </c>
      <c r="AC422" s="211"/>
    </row>
    <row r="423" spans="1:31" ht="27" customHeight="1" x14ac:dyDescent="0.3">
      <c r="A423" s="1066" t="s">
        <v>786</v>
      </c>
      <c r="B423" s="1015" t="s">
        <v>16</v>
      </c>
      <c r="C423" s="1015" t="s">
        <v>122</v>
      </c>
      <c r="D423" s="1015" t="s">
        <v>130</v>
      </c>
      <c r="E423" s="1015" t="s">
        <v>1401</v>
      </c>
      <c r="F423" s="1015"/>
      <c r="G423" s="1015"/>
      <c r="H423" s="1015"/>
      <c r="I423" s="1015"/>
      <c r="J423" s="1015"/>
      <c r="K423" s="1015"/>
      <c r="L423" s="1015"/>
      <c r="M423" s="1015"/>
      <c r="N423" s="1015"/>
      <c r="O423" s="1015"/>
      <c r="P423" s="1015"/>
      <c r="Q423" s="1015"/>
      <c r="R423" s="1015"/>
      <c r="S423" s="1015"/>
      <c r="T423" s="1015" t="s">
        <v>427</v>
      </c>
      <c r="U423" s="1067"/>
      <c r="V423" s="1068"/>
      <c r="W423" s="1068"/>
      <c r="X423" s="1068"/>
      <c r="Y423" s="224"/>
      <c r="Z423" s="1069">
        <f>245000+18382.06+65198.42</f>
        <v>328580.47999999998</v>
      </c>
      <c r="AA423" s="210">
        <v>0</v>
      </c>
      <c r="AB423" s="210">
        <v>0</v>
      </c>
      <c r="AC423" s="211"/>
    </row>
    <row r="424" spans="1:31" s="271" customFormat="1" ht="27" customHeight="1" x14ac:dyDescent="0.3">
      <c r="A424" s="898" t="s">
        <v>784</v>
      </c>
      <c r="B424" s="230" t="s">
        <v>16</v>
      </c>
      <c r="C424" s="230" t="s">
        <v>122</v>
      </c>
      <c r="D424" s="230" t="s">
        <v>130</v>
      </c>
      <c r="E424" s="230" t="s">
        <v>1401</v>
      </c>
      <c r="F424" s="230"/>
      <c r="G424" s="230"/>
      <c r="H424" s="230"/>
      <c r="I424" s="230"/>
      <c r="J424" s="230"/>
      <c r="K424" s="230"/>
      <c r="L424" s="230"/>
      <c r="M424" s="230"/>
      <c r="N424" s="230"/>
      <c r="O424" s="230"/>
      <c r="P424" s="230"/>
      <c r="Q424" s="230"/>
      <c r="R424" s="230"/>
      <c r="S424" s="230"/>
      <c r="T424" s="230" t="s">
        <v>427</v>
      </c>
      <c r="U424" s="161"/>
      <c r="V424" s="204"/>
      <c r="W424" s="204"/>
      <c r="X424" s="204"/>
      <c r="Y424" s="153"/>
      <c r="Z424" s="235">
        <f>200000+95000</f>
        <v>295000</v>
      </c>
      <c r="AA424" s="210">
        <v>0</v>
      </c>
      <c r="AB424" s="210">
        <v>0</v>
      </c>
      <c r="AC424" s="561"/>
    </row>
    <row r="425" spans="1:31" ht="32.25" customHeight="1" x14ac:dyDescent="0.3">
      <c r="A425" s="142" t="s">
        <v>782</v>
      </c>
      <c r="B425" s="140" t="s">
        <v>16</v>
      </c>
      <c r="C425" s="140" t="s">
        <v>122</v>
      </c>
      <c r="D425" s="140" t="s">
        <v>130</v>
      </c>
      <c r="E425" s="230" t="s">
        <v>1401</v>
      </c>
      <c r="F425" s="140"/>
      <c r="G425" s="140"/>
      <c r="H425" s="140"/>
      <c r="I425" s="140"/>
      <c r="J425" s="140"/>
      <c r="K425" s="140"/>
      <c r="L425" s="140"/>
      <c r="M425" s="140"/>
      <c r="N425" s="140"/>
      <c r="O425" s="140"/>
      <c r="P425" s="140"/>
      <c r="Q425" s="140"/>
      <c r="R425" s="140"/>
      <c r="S425" s="140"/>
      <c r="T425" s="140" t="s">
        <v>427</v>
      </c>
      <c r="U425" s="161"/>
      <c r="V425" s="204"/>
      <c r="W425" s="204"/>
      <c r="X425" s="204"/>
      <c r="Y425" s="153"/>
      <c r="Z425" s="235">
        <f>565000+200000-200000-59760.53</f>
        <v>505239.47</v>
      </c>
      <c r="AA425" s="210">
        <v>0</v>
      </c>
      <c r="AB425" s="210">
        <v>0</v>
      </c>
      <c r="AC425" s="211"/>
    </row>
    <row r="426" spans="1:31" s="271" customFormat="1" ht="32.25" customHeight="1" x14ac:dyDescent="0.3">
      <c r="A426" s="1110" t="s">
        <v>788</v>
      </c>
      <c r="B426" s="1014" t="s">
        <v>16</v>
      </c>
      <c r="C426" s="1014" t="s">
        <v>122</v>
      </c>
      <c r="D426" s="1014" t="s">
        <v>130</v>
      </c>
      <c r="E426" s="1015" t="s">
        <v>1401</v>
      </c>
      <c r="F426" s="1014"/>
      <c r="G426" s="1014"/>
      <c r="H426" s="1014"/>
      <c r="I426" s="1014"/>
      <c r="J426" s="1014"/>
      <c r="K426" s="1014"/>
      <c r="L426" s="1014"/>
      <c r="M426" s="1014"/>
      <c r="N426" s="1014"/>
      <c r="O426" s="1014"/>
      <c r="P426" s="1014"/>
      <c r="Q426" s="1014"/>
      <c r="R426" s="1014"/>
      <c r="S426" s="1014"/>
      <c r="T426" s="1014" t="s">
        <v>427</v>
      </c>
      <c r="U426" s="1067"/>
      <c r="V426" s="1068"/>
      <c r="W426" s="1068"/>
      <c r="X426" s="1068"/>
      <c r="Y426" s="224"/>
      <c r="Z426" s="1069">
        <f>90488.03+49000+172800</f>
        <v>312288.03000000003</v>
      </c>
      <c r="AA426" s="210">
        <v>0</v>
      </c>
      <c r="AB426" s="210">
        <v>0</v>
      </c>
      <c r="AC426" s="561"/>
    </row>
    <row r="427" spans="1:31" ht="53.25" customHeight="1" x14ac:dyDescent="0.3">
      <c r="A427" s="159" t="s">
        <v>297</v>
      </c>
      <c r="B427" s="140" t="s">
        <v>16</v>
      </c>
      <c r="C427" s="140" t="s">
        <v>123</v>
      </c>
      <c r="D427" s="140" t="s">
        <v>133</v>
      </c>
      <c r="E427" s="230"/>
      <c r="F427" s="140"/>
      <c r="G427" s="140"/>
      <c r="H427" s="140"/>
      <c r="I427" s="140"/>
      <c r="J427" s="140"/>
      <c r="K427" s="140"/>
      <c r="L427" s="140"/>
      <c r="M427" s="140"/>
      <c r="N427" s="140"/>
      <c r="O427" s="140"/>
      <c r="P427" s="140"/>
      <c r="Q427" s="140"/>
      <c r="R427" s="140"/>
      <c r="S427" s="140"/>
      <c r="T427" s="140"/>
      <c r="U427" s="161"/>
      <c r="V427" s="204"/>
      <c r="W427" s="204"/>
      <c r="X427" s="204"/>
      <c r="Y427" s="153"/>
      <c r="Z427" s="235">
        <f>Z428</f>
        <v>269931.25</v>
      </c>
      <c r="AA427" s="210">
        <v>0</v>
      </c>
      <c r="AB427" s="210">
        <v>0</v>
      </c>
      <c r="AC427" s="211"/>
    </row>
    <row r="428" spans="1:31" ht="76.5" customHeight="1" x14ac:dyDescent="0.3">
      <c r="A428" s="159" t="s">
        <v>251</v>
      </c>
      <c r="B428" s="140" t="s">
        <v>16</v>
      </c>
      <c r="C428" s="140" t="s">
        <v>123</v>
      </c>
      <c r="D428" s="140" t="s">
        <v>127</v>
      </c>
      <c r="E428" s="230"/>
      <c r="F428" s="140"/>
      <c r="G428" s="140"/>
      <c r="H428" s="140"/>
      <c r="I428" s="140"/>
      <c r="J428" s="140"/>
      <c r="K428" s="140"/>
      <c r="L428" s="140"/>
      <c r="M428" s="140"/>
      <c r="N428" s="140"/>
      <c r="O428" s="140"/>
      <c r="P428" s="140"/>
      <c r="Q428" s="140"/>
      <c r="R428" s="140"/>
      <c r="S428" s="140"/>
      <c r="T428" s="140"/>
      <c r="U428" s="161"/>
      <c r="V428" s="204"/>
      <c r="W428" s="204"/>
      <c r="X428" s="204"/>
      <c r="Y428" s="153"/>
      <c r="Z428" s="235">
        <f>Z429+Z446</f>
        <v>269931.25</v>
      </c>
      <c r="AA428" s="210">
        <v>0</v>
      </c>
      <c r="AB428" s="210">
        <v>0</v>
      </c>
      <c r="AC428" s="211"/>
    </row>
    <row r="429" spans="1:31" ht="102" customHeight="1" x14ac:dyDescent="0.3">
      <c r="A429" s="763" t="s">
        <v>1463</v>
      </c>
      <c r="B429" s="140" t="s">
        <v>16</v>
      </c>
      <c r="C429" s="140" t="s">
        <v>123</v>
      </c>
      <c r="D429" s="140" t="s">
        <v>127</v>
      </c>
      <c r="E429" s="230" t="s">
        <v>537</v>
      </c>
      <c r="F429" s="140"/>
      <c r="G429" s="140"/>
      <c r="H429" s="140"/>
      <c r="I429" s="140"/>
      <c r="J429" s="140"/>
      <c r="K429" s="140"/>
      <c r="L429" s="140"/>
      <c r="M429" s="140"/>
      <c r="N429" s="140"/>
      <c r="O429" s="140"/>
      <c r="P429" s="140"/>
      <c r="Q429" s="140"/>
      <c r="R429" s="140"/>
      <c r="S429" s="140"/>
      <c r="T429" s="140"/>
      <c r="U429" s="161"/>
      <c r="V429" s="204"/>
      <c r="W429" s="204"/>
      <c r="X429" s="204"/>
      <c r="Y429" s="153"/>
      <c r="Z429" s="235">
        <f>Z430</f>
        <v>205000</v>
      </c>
      <c r="AA429" s="210">
        <v>0</v>
      </c>
      <c r="AB429" s="210">
        <v>0</v>
      </c>
      <c r="AC429" s="211"/>
    </row>
    <row r="430" spans="1:31" ht="40.5" customHeight="1" x14ac:dyDescent="0.3">
      <c r="A430" s="153" t="s">
        <v>770</v>
      </c>
      <c r="B430" s="140" t="s">
        <v>16</v>
      </c>
      <c r="C430" s="140" t="s">
        <v>123</v>
      </c>
      <c r="D430" s="140" t="s">
        <v>127</v>
      </c>
      <c r="E430" s="230" t="s">
        <v>537</v>
      </c>
      <c r="F430" s="140"/>
      <c r="G430" s="140"/>
      <c r="H430" s="140"/>
      <c r="I430" s="140"/>
      <c r="J430" s="140"/>
      <c r="K430" s="140"/>
      <c r="L430" s="140"/>
      <c r="M430" s="140"/>
      <c r="N430" s="140"/>
      <c r="O430" s="140"/>
      <c r="P430" s="140"/>
      <c r="Q430" s="140"/>
      <c r="R430" s="140"/>
      <c r="S430" s="140"/>
      <c r="T430" s="140" t="s">
        <v>427</v>
      </c>
      <c r="U430" s="161"/>
      <c r="V430" s="204"/>
      <c r="W430" s="204"/>
      <c r="X430" s="204"/>
      <c r="Y430" s="153"/>
      <c r="Z430" s="235">
        <f>Z432+Z433</f>
        <v>205000</v>
      </c>
      <c r="AA430" s="210">
        <v>0</v>
      </c>
      <c r="AB430" s="210">
        <v>0</v>
      </c>
      <c r="AC430" s="211"/>
      <c r="AE430" s="127"/>
    </row>
    <row r="431" spans="1:31" ht="25.5" customHeight="1" x14ac:dyDescent="0.3">
      <c r="A431" s="153" t="s">
        <v>109</v>
      </c>
      <c r="B431" s="140"/>
      <c r="C431" s="140"/>
      <c r="D431" s="140"/>
      <c r="E431" s="230"/>
      <c r="F431" s="140"/>
      <c r="G431" s="140"/>
      <c r="H431" s="140"/>
      <c r="I431" s="140"/>
      <c r="J431" s="140"/>
      <c r="K431" s="140"/>
      <c r="L431" s="140"/>
      <c r="M431" s="140"/>
      <c r="N431" s="140"/>
      <c r="O431" s="140"/>
      <c r="P431" s="140"/>
      <c r="Q431" s="140"/>
      <c r="R431" s="140"/>
      <c r="S431" s="140"/>
      <c r="T431" s="140"/>
      <c r="U431" s="161"/>
      <c r="V431" s="204"/>
      <c r="W431" s="204"/>
      <c r="X431" s="204"/>
      <c r="Y431" s="153"/>
      <c r="Z431" s="235"/>
      <c r="AA431" s="210"/>
      <c r="AB431" s="210"/>
      <c r="AC431" s="211"/>
    </row>
    <row r="432" spans="1:31" ht="30.75" customHeight="1" x14ac:dyDescent="0.3">
      <c r="A432" s="898" t="s">
        <v>786</v>
      </c>
      <c r="B432" s="140" t="s">
        <v>16</v>
      </c>
      <c r="C432" s="140" t="s">
        <v>123</v>
      </c>
      <c r="D432" s="140" t="s">
        <v>127</v>
      </c>
      <c r="E432" s="230" t="s">
        <v>537</v>
      </c>
      <c r="F432" s="140"/>
      <c r="G432" s="140"/>
      <c r="H432" s="140"/>
      <c r="I432" s="140"/>
      <c r="J432" s="140"/>
      <c r="K432" s="140"/>
      <c r="L432" s="140"/>
      <c r="M432" s="140"/>
      <c r="N432" s="140"/>
      <c r="O432" s="140"/>
      <c r="P432" s="140"/>
      <c r="Q432" s="140"/>
      <c r="R432" s="140"/>
      <c r="S432" s="140"/>
      <c r="T432" s="140" t="s">
        <v>427</v>
      </c>
      <c r="U432" s="161"/>
      <c r="V432" s="204"/>
      <c r="W432" s="204"/>
      <c r="X432" s="204"/>
      <c r="Y432" s="153"/>
      <c r="Z432" s="235">
        <f>60000+75000</f>
        <v>135000</v>
      </c>
      <c r="AA432" s="210">
        <v>0</v>
      </c>
      <c r="AB432" s="210">
        <v>0</v>
      </c>
      <c r="AC432" s="211"/>
    </row>
    <row r="433" spans="1:29" ht="36" customHeight="1" x14ac:dyDescent="0.3">
      <c r="A433" s="898" t="s">
        <v>1516</v>
      </c>
      <c r="B433" s="140" t="s">
        <v>16</v>
      </c>
      <c r="C433" s="140" t="s">
        <v>123</v>
      </c>
      <c r="D433" s="140" t="s">
        <v>127</v>
      </c>
      <c r="E433" s="230" t="s">
        <v>537</v>
      </c>
      <c r="F433" s="140"/>
      <c r="G433" s="140"/>
      <c r="H433" s="140"/>
      <c r="I433" s="140"/>
      <c r="J433" s="140"/>
      <c r="K433" s="140"/>
      <c r="L433" s="140"/>
      <c r="M433" s="140"/>
      <c r="N433" s="140"/>
      <c r="O433" s="140"/>
      <c r="P433" s="140"/>
      <c r="Q433" s="140"/>
      <c r="R433" s="140"/>
      <c r="S433" s="140"/>
      <c r="T433" s="140" t="s">
        <v>427</v>
      </c>
      <c r="U433" s="161"/>
      <c r="V433" s="204"/>
      <c r="W433" s="204"/>
      <c r="X433" s="204"/>
      <c r="Y433" s="153"/>
      <c r="Z433" s="235">
        <v>70000</v>
      </c>
      <c r="AA433" s="210">
        <v>0</v>
      </c>
      <c r="AB433" s="210">
        <v>0</v>
      </c>
      <c r="AC433" s="211"/>
    </row>
    <row r="434" spans="1:29" ht="62.25" hidden="1" customHeight="1" x14ac:dyDescent="0.3">
      <c r="A434" s="159" t="s">
        <v>303</v>
      </c>
      <c r="B434" s="140" t="s">
        <v>16</v>
      </c>
      <c r="C434" s="140" t="s">
        <v>136</v>
      </c>
      <c r="D434" s="140" t="s">
        <v>133</v>
      </c>
      <c r="E434" s="230"/>
      <c r="F434" s="140"/>
      <c r="G434" s="140"/>
      <c r="H434" s="140"/>
      <c r="I434" s="140"/>
      <c r="J434" s="140"/>
      <c r="K434" s="140"/>
      <c r="L434" s="140"/>
      <c r="M434" s="140"/>
      <c r="N434" s="140"/>
      <c r="O434" s="140"/>
      <c r="P434" s="140"/>
      <c r="Q434" s="140"/>
      <c r="R434" s="140"/>
      <c r="S434" s="140"/>
      <c r="T434" s="140"/>
      <c r="U434" s="161"/>
      <c r="V434" s="204"/>
      <c r="W434" s="204"/>
      <c r="X434" s="204"/>
      <c r="Y434" s="153"/>
      <c r="Z434" s="235">
        <f>Z435+Z442</f>
        <v>0</v>
      </c>
      <c r="AA434" s="210"/>
      <c r="AB434" s="210"/>
      <c r="AC434" s="211"/>
    </row>
    <row r="435" spans="1:29" ht="0.75" hidden="1" customHeight="1" x14ac:dyDescent="0.3">
      <c r="A435" s="159" t="s">
        <v>605</v>
      </c>
      <c r="B435" s="140" t="s">
        <v>16</v>
      </c>
      <c r="C435" s="140" t="s">
        <v>136</v>
      </c>
      <c r="D435" s="140" t="s">
        <v>127</v>
      </c>
      <c r="E435" s="230"/>
      <c r="F435" s="140"/>
      <c r="G435" s="140"/>
      <c r="H435" s="140"/>
      <c r="I435" s="140"/>
      <c r="J435" s="140"/>
      <c r="K435" s="140"/>
      <c r="L435" s="140"/>
      <c r="M435" s="140"/>
      <c r="N435" s="140"/>
      <c r="O435" s="140"/>
      <c r="P435" s="140"/>
      <c r="Q435" s="140"/>
      <c r="R435" s="140"/>
      <c r="S435" s="140"/>
      <c r="T435" s="140"/>
      <c r="U435" s="161"/>
      <c r="V435" s="204"/>
      <c r="W435" s="204"/>
      <c r="X435" s="204"/>
      <c r="Y435" s="153"/>
      <c r="Z435" s="235">
        <f>Z436</f>
        <v>0</v>
      </c>
      <c r="AA435" s="210">
        <v>0</v>
      </c>
      <c r="AB435" s="210">
        <v>0</v>
      </c>
      <c r="AC435" s="211"/>
    </row>
    <row r="436" spans="1:29" ht="42.75" hidden="1" customHeight="1" x14ac:dyDescent="0.3">
      <c r="A436" s="153" t="s">
        <v>592</v>
      </c>
      <c r="B436" s="140" t="s">
        <v>16</v>
      </c>
      <c r="C436" s="140" t="s">
        <v>136</v>
      </c>
      <c r="D436" s="140" t="s">
        <v>127</v>
      </c>
      <c r="E436" s="230"/>
      <c r="F436" s="140"/>
      <c r="G436" s="140"/>
      <c r="H436" s="140"/>
      <c r="I436" s="140"/>
      <c r="J436" s="140"/>
      <c r="K436" s="140"/>
      <c r="L436" s="140"/>
      <c r="M436" s="140"/>
      <c r="N436" s="140"/>
      <c r="O436" s="140"/>
      <c r="P436" s="140"/>
      <c r="Q436" s="140"/>
      <c r="R436" s="140"/>
      <c r="S436" s="140"/>
      <c r="T436" s="140"/>
      <c r="U436" s="161"/>
      <c r="V436" s="204"/>
      <c r="W436" s="204"/>
      <c r="X436" s="204"/>
      <c r="Y436" s="153"/>
      <c r="Z436" s="235">
        <f>Z437</f>
        <v>0</v>
      </c>
      <c r="AA436" s="210">
        <v>0</v>
      </c>
      <c r="AB436" s="210">
        <v>0</v>
      </c>
      <c r="AC436" s="211"/>
    </row>
    <row r="437" spans="1:29" ht="45.75" hidden="1" customHeight="1" x14ac:dyDescent="0.3">
      <c r="A437" s="153" t="s">
        <v>770</v>
      </c>
      <c r="B437" s="140" t="s">
        <v>16</v>
      </c>
      <c r="C437" s="140" t="s">
        <v>136</v>
      </c>
      <c r="D437" s="140" t="s">
        <v>127</v>
      </c>
      <c r="E437" s="230" t="s">
        <v>558</v>
      </c>
      <c r="F437" s="140"/>
      <c r="G437" s="140"/>
      <c r="H437" s="140"/>
      <c r="I437" s="140"/>
      <c r="J437" s="140"/>
      <c r="K437" s="140"/>
      <c r="L437" s="140"/>
      <c r="M437" s="140"/>
      <c r="N437" s="140"/>
      <c r="O437" s="140"/>
      <c r="P437" s="140"/>
      <c r="Q437" s="140"/>
      <c r="R437" s="140"/>
      <c r="S437" s="140"/>
      <c r="T437" s="140" t="s">
        <v>427</v>
      </c>
      <c r="U437" s="161"/>
      <c r="V437" s="204"/>
      <c r="W437" s="204"/>
      <c r="X437" s="204"/>
      <c r="Y437" s="153"/>
      <c r="Z437" s="235">
        <v>0</v>
      </c>
      <c r="AA437" s="210">
        <v>0</v>
      </c>
      <c r="AB437" s="210">
        <v>0</v>
      </c>
      <c r="AC437" s="211"/>
    </row>
    <row r="438" spans="1:29" ht="48" hidden="1" customHeight="1" x14ac:dyDescent="0.3">
      <c r="A438" s="153" t="s">
        <v>109</v>
      </c>
      <c r="B438" s="140"/>
      <c r="C438" s="140"/>
      <c r="D438" s="140"/>
      <c r="E438" s="230"/>
      <c r="F438" s="140"/>
      <c r="G438" s="140"/>
      <c r="H438" s="140"/>
      <c r="I438" s="140"/>
      <c r="J438" s="140"/>
      <c r="K438" s="140"/>
      <c r="L438" s="140"/>
      <c r="M438" s="140"/>
      <c r="N438" s="140"/>
      <c r="O438" s="140"/>
      <c r="P438" s="140"/>
      <c r="Q438" s="140"/>
      <c r="R438" s="140"/>
      <c r="S438" s="140"/>
      <c r="T438" s="140"/>
      <c r="U438" s="161"/>
      <c r="V438" s="204"/>
      <c r="W438" s="204"/>
      <c r="X438" s="204"/>
      <c r="Y438" s="153"/>
      <c r="Z438" s="235"/>
      <c r="AA438" s="210"/>
      <c r="AB438" s="210"/>
      <c r="AC438" s="211"/>
    </row>
    <row r="439" spans="1:29" ht="24.75" hidden="1" customHeight="1" x14ac:dyDescent="0.3">
      <c r="A439" s="153" t="s">
        <v>789</v>
      </c>
      <c r="B439" s="140" t="s">
        <v>16</v>
      </c>
      <c r="C439" s="140" t="s">
        <v>136</v>
      </c>
      <c r="D439" s="140" t="s">
        <v>127</v>
      </c>
      <c r="E439" s="230" t="s">
        <v>558</v>
      </c>
      <c r="F439" s="140"/>
      <c r="G439" s="140"/>
      <c r="H439" s="140"/>
      <c r="I439" s="140"/>
      <c r="J439" s="140"/>
      <c r="K439" s="140"/>
      <c r="L439" s="140"/>
      <c r="M439" s="140"/>
      <c r="N439" s="140"/>
      <c r="O439" s="140"/>
      <c r="P439" s="140"/>
      <c r="Q439" s="140"/>
      <c r="R439" s="140"/>
      <c r="S439" s="140"/>
      <c r="T439" s="140" t="s">
        <v>427</v>
      </c>
      <c r="U439" s="161"/>
      <c r="V439" s="204"/>
      <c r="W439" s="204"/>
      <c r="X439" s="204"/>
      <c r="Y439" s="153"/>
      <c r="Z439" s="235">
        <v>0</v>
      </c>
      <c r="AA439" s="210">
        <v>0</v>
      </c>
      <c r="AB439" s="210">
        <v>0</v>
      </c>
      <c r="AC439" s="211"/>
    </row>
    <row r="440" spans="1:29" ht="30" hidden="1" customHeight="1" x14ac:dyDescent="0.3">
      <c r="A440" s="153" t="s">
        <v>779</v>
      </c>
      <c r="B440" s="140" t="s">
        <v>16</v>
      </c>
      <c r="C440" s="140" t="s">
        <v>136</v>
      </c>
      <c r="D440" s="140" t="s">
        <v>127</v>
      </c>
      <c r="E440" s="230" t="s">
        <v>558</v>
      </c>
      <c r="F440" s="140"/>
      <c r="G440" s="140"/>
      <c r="H440" s="140"/>
      <c r="I440" s="140"/>
      <c r="J440" s="140"/>
      <c r="K440" s="140"/>
      <c r="L440" s="140"/>
      <c r="M440" s="140"/>
      <c r="N440" s="140"/>
      <c r="O440" s="140"/>
      <c r="P440" s="140"/>
      <c r="Q440" s="140"/>
      <c r="R440" s="140"/>
      <c r="S440" s="140"/>
      <c r="T440" s="140" t="s">
        <v>427</v>
      </c>
      <c r="U440" s="161"/>
      <c r="V440" s="204"/>
      <c r="W440" s="204"/>
      <c r="X440" s="204"/>
      <c r="Y440" s="153"/>
      <c r="Z440" s="235">
        <v>0</v>
      </c>
      <c r="AA440" s="210">
        <v>0</v>
      </c>
      <c r="AB440" s="210">
        <v>0</v>
      </c>
      <c r="AC440" s="211"/>
    </row>
    <row r="441" spans="1:29" ht="26.25" hidden="1" customHeight="1" x14ac:dyDescent="0.3">
      <c r="A441" s="153" t="s">
        <v>771</v>
      </c>
      <c r="B441" s="140" t="s">
        <v>16</v>
      </c>
      <c r="C441" s="140" t="s">
        <v>136</v>
      </c>
      <c r="D441" s="140" t="s">
        <v>127</v>
      </c>
      <c r="E441" s="230" t="s">
        <v>558</v>
      </c>
      <c r="F441" s="140"/>
      <c r="G441" s="140"/>
      <c r="H441" s="140"/>
      <c r="I441" s="140"/>
      <c r="J441" s="140"/>
      <c r="K441" s="140"/>
      <c r="L441" s="140"/>
      <c r="M441" s="140"/>
      <c r="N441" s="140"/>
      <c r="O441" s="140"/>
      <c r="P441" s="140"/>
      <c r="Q441" s="140"/>
      <c r="R441" s="140"/>
      <c r="S441" s="140"/>
      <c r="T441" s="140" t="s">
        <v>427</v>
      </c>
      <c r="U441" s="161"/>
      <c r="V441" s="204"/>
      <c r="W441" s="204"/>
      <c r="X441" s="204"/>
      <c r="Y441" s="153"/>
      <c r="Z441" s="235">
        <v>0</v>
      </c>
      <c r="AA441" s="210">
        <v>0</v>
      </c>
      <c r="AB441" s="210">
        <v>0</v>
      </c>
      <c r="AC441" s="211"/>
    </row>
    <row r="442" spans="1:29" ht="33.75" hidden="1" customHeight="1" x14ac:dyDescent="0.3">
      <c r="A442" s="159" t="s">
        <v>149</v>
      </c>
      <c r="B442" s="140" t="s">
        <v>16</v>
      </c>
      <c r="C442" s="140" t="s">
        <v>136</v>
      </c>
      <c r="D442" s="140" t="s">
        <v>129</v>
      </c>
      <c r="E442" s="230"/>
      <c r="F442" s="140"/>
      <c r="G442" s="140"/>
      <c r="H442" s="140"/>
      <c r="I442" s="140"/>
      <c r="J442" s="140"/>
      <c r="K442" s="140"/>
      <c r="L442" s="140"/>
      <c r="M442" s="140"/>
      <c r="N442" s="140"/>
      <c r="O442" s="140"/>
      <c r="P442" s="140"/>
      <c r="Q442" s="140"/>
      <c r="R442" s="140"/>
      <c r="S442" s="140"/>
      <c r="T442" s="140"/>
      <c r="U442" s="161"/>
      <c r="V442" s="204"/>
      <c r="W442" s="204"/>
      <c r="X442" s="204"/>
      <c r="Y442" s="153"/>
      <c r="Z442" s="235">
        <v>0</v>
      </c>
      <c r="AA442" s="210">
        <v>0</v>
      </c>
      <c r="AB442" s="210">
        <v>0</v>
      </c>
      <c r="AC442" s="211"/>
    </row>
    <row r="443" spans="1:29" ht="34.5" hidden="1" customHeight="1" x14ac:dyDescent="0.3">
      <c r="A443" s="153" t="s">
        <v>893</v>
      </c>
      <c r="B443" s="140" t="s">
        <v>16</v>
      </c>
      <c r="C443" s="140" t="s">
        <v>136</v>
      </c>
      <c r="D443" s="140" t="s">
        <v>129</v>
      </c>
      <c r="E443" s="230"/>
      <c r="F443" s="140"/>
      <c r="G443" s="140"/>
      <c r="H443" s="140"/>
      <c r="I443" s="140"/>
      <c r="J443" s="140"/>
      <c r="K443" s="140"/>
      <c r="L443" s="140"/>
      <c r="M443" s="140"/>
      <c r="N443" s="140"/>
      <c r="O443" s="140"/>
      <c r="P443" s="140"/>
      <c r="Q443" s="140"/>
      <c r="R443" s="140"/>
      <c r="S443" s="140"/>
      <c r="T443" s="140"/>
      <c r="U443" s="161"/>
      <c r="V443" s="204"/>
      <c r="W443" s="204"/>
      <c r="X443" s="204"/>
      <c r="Y443" s="153"/>
      <c r="Z443" s="235">
        <f>Z444</f>
        <v>0</v>
      </c>
      <c r="AA443" s="210">
        <v>0</v>
      </c>
      <c r="AB443" s="210">
        <v>0</v>
      </c>
      <c r="AC443" s="211"/>
    </row>
    <row r="444" spans="1:29" ht="36" hidden="1" customHeight="1" x14ac:dyDescent="0.3">
      <c r="A444" s="153" t="s">
        <v>770</v>
      </c>
      <c r="B444" s="140" t="s">
        <v>16</v>
      </c>
      <c r="C444" s="140" t="s">
        <v>136</v>
      </c>
      <c r="D444" s="140" t="s">
        <v>129</v>
      </c>
      <c r="E444" s="230" t="s">
        <v>892</v>
      </c>
      <c r="F444" s="140"/>
      <c r="G444" s="140"/>
      <c r="H444" s="140"/>
      <c r="I444" s="140"/>
      <c r="J444" s="140"/>
      <c r="K444" s="140"/>
      <c r="L444" s="140"/>
      <c r="M444" s="140"/>
      <c r="N444" s="140"/>
      <c r="O444" s="140"/>
      <c r="P444" s="140"/>
      <c r="Q444" s="140"/>
      <c r="R444" s="140"/>
      <c r="S444" s="140"/>
      <c r="T444" s="140" t="s">
        <v>427</v>
      </c>
      <c r="U444" s="161"/>
      <c r="V444" s="204"/>
      <c r="W444" s="204"/>
      <c r="X444" s="204"/>
      <c r="Y444" s="153"/>
      <c r="Z444" s="235">
        <v>0</v>
      </c>
      <c r="AA444" s="210">
        <v>0</v>
      </c>
      <c r="AB444" s="210">
        <v>0</v>
      </c>
      <c r="AC444" s="211"/>
    </row>
    <row r="445" spans="1:29" ht="48" hidden="1" customHeight="1" x14ac:dyDescent="0.3">
      <c r="A445" s="153" t="s">
        <v>109</v>
      </c>
      <c r="B445" s="140"/>
      <c r="C445" s="140"/>
      <c r="D445" s="140"/>
      <c r="E445" s="230"/>
      <c r="F445" s="140"/>
      <c r="G445" s="140"/>
      <c r="H445" s="140"/>
      <c r="I445" s="140"/>
      <c r="J445" s="140"/>
      <c r="K445" s="140"/>
      <c r="L445" s="140"/>
      <c r="M445" s="140"/>
      <c r="N445" s="140"/>
      <c r="O445" s="140"/>
      <c r="P445" s="140"/>
      <c r="Q445" s="140"/>
      <c r="R445" s="140"/>
      <c r="S445" s="140"/>
      <c r="T445" s="140"/>
      <c r="U445" s="161"/>
      <c r="V445" s="204"/>
      <c r="W445" s="204"/>
      <c r="X445" s="204"/>
      <c r="Y445" s="153"/>
      <c r="Z445" s="235"/>
      <c r="AA445" s="210"/>
      <c r="AB445" s="210"/>
      <c r="AC445" s="211"/>
    </row>
    <row r="446" spans="1:29" ht="228.75" customHeight="1" x14ac:dyDescent="0.3">
      <c r="A446" s="153" t="s">
        <v>1282</v>
      </c>
      <c r="B446" s="136" t="s">
        <v>16</v>
      </c>
      <c r="C446" s="136" t="s">
        <v>123</v>
      </c>
      <c r="D446" s="136" t="s">
        <v>127</v>
      </c>
      <c r="E446" s="230" t="s">
        <v>781</v>
      </c>
      <c r="F446" s="140"/>
      <c r="G446" s="140"/>
      <c r="H446" s="140"/>
      <c r="I446" s="140"/>
      <c r="J446" s="140"/>
      <c r="K446" s="140"/>
      <c r="L446" s="140"/>
      <c r="M446" s="140"/>
      <c r="N446" s="140"/>
      <c r="O446" s="140"/>
      <c r="P446" s="140"/>
      <c r="Q446" s="140"/>
      <c r="R446" s="140"/>
      <c r="S446" s="140"/>
      <c r="T446" s="140"/>
      <c r="U446" s="161"/>
      <c r="V446" s="204"/>
      <c r="W446" s="204"/>
      <c r="X446" s="204"/>
      <c r="Y446" s="153"/>
      <c r="Z446" s="235">
        <f>Z447</f>
        <v>64931.25</v>
      </c>
      <c r="AA446" s="210">
        <v>0</v>
      </c>
      <c r="AB446" s="210">
        <v>0</v>
      </c>
      <c r="AC446" s="211"/>
    </row>
    <row r="447" spans="1:29" ht="36.75" customHeight="1" x14ac:dyDescent="0.3">
      <c r="A447" s="153" t="s">
        <v>770</v>
      </c>
      <c r="B447" s="136" t="s">
        <v>16</v>
      </c>
      <c r="C447" s="136" t="s">
        <v>123</v>
      </c>
      <c r="D447" s="136" t="s">
        <v>127</v>
      </c>
      <c r="E447" s="230" t="s">
        <v>781</v>
      </c>
      <c r="F447" s="140"/>
      <c r="G447" s="140"/>
      <c r="H447" s="140"/>
      <c r="I447" s="140"/>
      <c r="J447" s="140"/>
      <c r="K447" s="140"/>
      <c r="L447" s="140"/>
      <c r="M447" s="140"/>
      <c r="N447" s="140"/>
      <c r="O447" s="140"/>
      <c r="P447" s="140"/>
      <c r="Q447" s="140"/>
      <c r="R447" s="140"/>
      <c r="S447" s="140"/>
      <c r="T447" s="140" t="s">
        <v>427</v>
      </c>
      <c r="U447" s="161"/>
      <c r="V447" s="204"/>
      <c r="W447" s="204"/>
      <c r="X447" s="204"/>
      <c r="Y447" s="153"/>
      <c r="Z447" s="235">
        <f>Z449</f>
        <v>64931.25</v>
      </c>
      <c r="AA447" s="210">
        <v>0</v>
      </c>
      <c r="AB447" s="210">
        <v>0</v>
      </c>
      <c r="AC447" s="211"/>
    </row>
    <row r="448" spans="1:29" ht="19.899999999999999" customHeight="1" x14ac:dyDescent="0.3">
      <c r="A448" s="153" t="s">
        <v>109</v>
      </c>
      <c r="B448" s="140"/>
      <c r="C448" s="140"/>
      <c r="D448" s="140"/>
      <c r="E448" s="230"/>
      <c r="F448" s="140"/>
      <c r="G448" s="140"/>
      <c r="H448" s="140"/>
      <c r="I448" s="140"/>
      <c r="J448" s="140"/>
      <c r="K448" s="140"/>
      <c r="L448" s="140"/>
      <c r="M448" s="140"/>
      <c r="N448" s="140"/>
      <c r="O448" s="140"/>
      <c r="P448" s="140"/>
      <c r="Q448" s="140"/>
      <c r="R448" s="140"/>
      <c r="S448" s="140"/>
      <c r="T448" s="140"/>
      <c r="U448" s="161"/>
      <c r="V448" s="204"/>
      <c r="W448" s="204"/>
      <c r="X448" s="204"/>
      <c r="Y448" s="153"/>
      <c r="Z448" s="235"/>
      <c r="AA448" s="210"/>
      <c r="AB448" s="210"/>
      <c r="AC448" s="211"/>
    </row>
    <row r="449" spans="1:29" ht="30.75" customHeight="1" x14ac:dyDescent="0.3">
      <c r="A449" s="1121" t="s">
        <v>1418</v>
      </c>
      <c r="B449" s="1016" t="s">
        <v>16</v>
      </c>
      <c r="C449" s="1016" t="s">
        <v>123</v>
      </c>
      <c r="D449" s="1016" t="s">
        <v>127</v>
      </c>
      <c r="E449" s="1015" t="s">
        <v>781</v>
      </c>
      <c r="F449" s="1014"/>
      <c r="G449" s="1014"/>
      <c r="H449" s="1014"/>
      <c r="I449" s="1014"/>
      <c r="J449" s="1014"/>
      <c r="K449" s="1014"/>
      <c r="L449" s="1014"/>
      <c r="M449" s="1014"/>
      <c r="N449" s="1014"/>
      <c r="O449" s="1014"/>
      <c r="P449" s="1014"/>
      <c r="Q449" s="1014"/>
      <c r="R449" s="1014"/>
      <c r="S449" s="1014"/>
      <c r="T449" s="1014" t="s">
        <v>427</v>
      </c>
      <c r="U449" s="1067"/>
      <c r="V449" s="1068"/>
      <c r="W449" s="1068"/>
      <c r="X449" s="1068"/>
      <c r="Y449" s="224"/>
      <c r="Z449" s="1069">
        <f>100000+40000-75068.75</f>
        <v>64931.25</v>
      </c>
      <c r="AA449" s="210">
        <v>0</v>
      </c>
      <c r="AB449" s="210">
        <v>0</v>
      </c>
      <c r="AC449" s="211"/>
    </row>
    <row r="450" spans="1:29" ht="27" customHeight="1" x14ac:dyDescent="0.3">
      <c r="A450" s="159" t="s">
        <v>303</v>
      </c>
      <c r="B450" s="140" t="s">
        <v>16</v>
      </c>
      <c r="C450" s="140" t="s">
        <v>136</v>
      </c>
      <c r="D450" s="140" t="s">
        <v>133</v>
      </c>
      <c r="E450" s="230"/>
      <c r="F450" s="140"/>
      <c r="G450" s="140"/>
      <c r="H450" s="140"/>
      <c r="I450" s="140"/>
      <c r="J450" s="140"/>
      <c r="K450" s="140"/>
      <c r="L450" s="140"/>
      <c r="M450" s="140"/>
      <c r="N450" s="140"/>
      <c r="O450" s="140"/>
      <c r="P450" s="140"/>
      <c r="Q450" s="140"/>
      <c r="R450" s="140"/>
      <c r="S450" s="140"/>
      <c r="T450" s="140"/>
      <c r="U450" s="161"/>
      <c r="V450" s="204"/>
      <c r="W450" s="204"/>
      <c r="X450" s="204"/>
      <c r="Y450" s="153"/>
      <c r="Z450" s="235">
        <f>Z451+Z456</f>
        <v>9022999.4000000004</v>
      </c>
      <c r="AA450" s="210">
        <v>0</v>
      </c>
      <c r="AB450" s="210">
        <v>0</v>
      </c>
      <c r="AC450" s="211"/>
    </row>
    <row r="451" spans="1:29" ht="25.15" customHeight="1" x14ac:dyDescent="0.3">
      <c r="A451" s="159" t="s">
        <v>252</v>
      </c>
      <c r="B451" s="140" t="s">
        <v>16</v>
      </c>
      <c r="C451" s="140" t="s">
        <v>136</v>
      </c>
      <c r="D451" s="140" t="s">
        <v>125</v>
      </c>
      <c r="E451" s="230"/>
      <c r="F451" s="140"/>
      <c r="G451" s="140"/>
      <c r="H451" s="140"/>
      <c r="I451" s="140"/>
      <c r="J451" s="140"/>
      <c r="K451" s="140"/>
      <c r="L451" s="140"/>
      <c r="M451" s="140"/>
      <c r="N451" s="140"/>
      <c r="O451" s="140"/>
      <c r="P451" s="140"/>
      <c r="Q451" s="140"/>
      <c r="R451" s="140"/>
      <c r="S451" s="140"/>
      <c r="T451" s="140"/>
      <c r="U451" s="161"/>
      <c r="V451" s="204"/>
      <c r="W451" s="204"/>
      <c r="X451" s="204"/>
      <c r="Y451" s="153"/>
      <c r="Z451" s="235">
        <f>Z452</f>
        <v>72000</v>
      </c>
      <c r="AA451" s="210">
        <v>0</v>
      </c>
      <c r="AB451" s="210">
        <v>0</v>
      </c>
      <c r="AC451" s="211"/>
    </row>
    <row r="452" spans="1:29" ht="135" customHeight="1" x14ac:dyDescent="0.3">
      <c r="A452" s="291" t="s">
        <v>1438</v>
      </c>
      <c r="B452" s="140" t="s">
        <v>16</v>
      </c>
      <c r="C452" s="140" t="s">
        <v>136</v>
      </c>
      <c r="D452" s="140" t="s">
        <v>125</v>
      </c>
      <c r="E452" s="230" t="s">
        <v>980</v>
      </c>
      <c r="F452" s="140"/>
      <c r="G452" s="140"/>
      <c r="H452" s="140"/>
      <c r="I452" s="140"/>
      <c r="J452" s="140"/>
      <c r="K452" s="140"/>
      <c r="L452" s="140"/>
      <c r="M452" s="140"/>
      <c r="N452" s="140"/>
      <c r="O452" s="140"/>
      <c r="P452" s="140"/>
      <c r="Q452" s="140"/>
      <c r="R452" s="140"/>
      <c r="S452" s="140"/>
      <c r="T452" s="140"/>
      <c r="U452" s="161"/>
      <c r="V452" s="204"/>
      <c r="W452" s="204"/>
      <c r="X452" s="204"/>
      <c r="Y452" s="153"/>
      <c r="Z452" s="235">
        <f>Z453</f>
        <v>72000</v>
      </c>
      <c r="AA452" s="210">
        <v>0</v>
      </c>
      <c r="AB452" s="210">
        <v>0</v>
      </c>
      <c r="AC452" s="211"/>
    </row>
    <row r="453" spans="1:29" ht="36.75" customHeight="1" x14ac:dyDescent="0.3">
      <c r="A453" s="724" t="s">
        <v>1167</v>
      </c>
      <c r="B453" s="140" t="s">
        <v>16</v>
      </c>
      <c r="C453" s="140" t="s">
        <v>136</v>
      </c>
      <c r="D453" s="140" t="s">
        <v>125</v>
      </c>
      <c r="E453" s="230" t="s">
        <v>980</v>
      </c>
      <c r="F453" s="140"/>
      <c r="G453" s="140"/>
      <c r="H453" s="140"/>
      <c r="I453" s="140"/>
      <c r="J453" s="140"/>
      <c r="K453" s="140"/>
      <c r="L453" s="140"/>
      <c r="M453" s="140"/>
      <c r="N453" s="140"/>
      <c r="O453" s="140"/>
      <c r="P453" s="140"/>
      <c r="Q453" s="140"/>
      <c r="R453" s="140"/>
      <c r="S453" s="140"/>
      <c r="T453" s="140" t="s">
        <v>427</v>
      </c>
      <c r="U453" s="161"/>
      <c r="V453" s="204"/>
      <c r="W453" s="204"/>
      <c r="X453" s="204"/>
      <c r="Y453" s="153"/>
      <c r="Z453" s="235">
        <f>Z455</f>
        <v>72000</v>
      </c>
      <c r="AA453" s="210">
        <v>0</v>
      </c>
      <c r="AB453" s="210">
        <v>0</v>
      </c>
      <c r="AC453" s="211"/>
    </row>
    <row r="454" spans="1:29" ht="25.5" customHeight="1" x14ac:dyDescent="0.3">
      <c r="A454" s="291" t="s">
        <v>109</v>
      </c>
      <c r="B454" s="140"/>
      <c r="C454" s="140"/>
      <c r="D454" s="140"/>
      <c r="E454" s="230"/>
      <c r="F454" s="140"/>
      <c r="G454" s="140"/>
      <c r="H454" s="140"/>
      <c r="I454" s="140"/>
      <c r="J454" s="140"/>
      <c r="K454" s="140"/>
      <c r="L454" s="140"/>
      <c r="M454" s="140"/>
      <c r="N454" s="140"/>
      <c r="O454" s="140"/>
      <c r="P454" s="140"/>
      <c r="Q454" s="140"/>
      <c r="R454" s="140"/>
      <c r="S454" s="140"/>
      <c r="T454" s="140"/>
      <c r="U454" s="161"/>
      <c r="V454" s="204"/>
      <c r="W454" s="204"/>
      <c r="X454" s="204"/>
      <c r="Y454" s="153"/>
      <c r="Z454" s="235"/>
      <c r="AA454" s="210"/>
      <c r="AB454" s="210"/>
      <c r="AC454" s="211"/>
    </row>
    <row r="455" spans="1:29" ht="26.25" customHeight="1" x14ac:dyDescent="0.3">
      <c r="A455" s="142" t="s">
        <v>1418</v>
      </c>
      <c r="B455" s="140" t="s">
        <v>16</v>
      </c>
      <c r="C455" s="140" t="s">
        <v>136</v>
      </c>
      <c r="D455" s="140" t="s">
        <v>125</v>
      </c>
      <c r="E455" s="230" t="s">
        <v>980</v>
      </c>
      <c r="F455" s="140"/>
      <c r="G455" s="140"/>
      <c r="H455" s="140"/>
      <c r="I455" s="140"/>
      <c r="J455" s="140"/>
      <c r="K455" s="140"/>
      <c r="L455" s="140"/>
      <c r="M455" s="140"/>
      <c r="N455" s="140"/>
      <c r="O455" s="140"/>
      <c r="P455" s="140"/>
      <c r="Q455" s="140"/>
      <c r="R455" s="140"/>
      <c r="S455" s="140"/>
      <c r="T455" s="140" t="s">
        <v>427</v>
      </c>
      <c r="U455" s="161"/>
      <c r="V455" s="204"/>
      <c r="W455" s="204"/>
      <c r="X455" s="204"/>
      <c r="Y455" s="153"/>
      <c r="Z455" s="235">
        <v>72000</v>
      </c>
      <c r="AA455" s="210">
        <v>0</v>
      </c>
      <c r="AB455" s="210">
        <v>0</v>
      </c>
      <c r="AC455" s="211"/>
    </row>
    <row r="456" spans="1:29" ht="33.75" customHeight="1" x14ac:dyDescent="0.3">
      <c r="A456" s="159" t="s">
        <v>605</v>
      </c>
      <c r="B456" s="140" t="s">
        <v>16</v>
      </c>
      <c r="C456" s="140" t="s">
        <v>136</v>
      </c>
      <c r="D456" s="140" t="s">
        <v>127</v>
      </c>
      <c r="E456" s="230"/>
      <c r="F456" s="140"/>
      <c r="G456" s="140"/>
      <c r="H456" s="140"/>
      <c r="I456" s="140"/>
      <c r="J456" s="140"/>
      <c r="K456" s="140"/>
      <c r="L456" s="140"/>
      <c r="M456" s="140"/>
      <c r="N456" s="140"/>
      <c r="O456" s="140"/>
      <c r="P456" s="140"/>
      <c r="Q456" s="140"/>
      <c r="R456" s="140"/>
      <c r="S456" s="140"/>
      <c r="T456" s="140"/>
      <c r="U456" s="161"/>
      <c r="V456" s="204"/>
      <c r="W456" s="204"/>
      <c r="X456" s="204"/>
      <c r="Y456" s="153"/>
      <c r="Z456" s="235">
        <f>Z457</f>
        <v>8950999.4000000004</v>
      </c>
      <c r="AA456" s="210">
        <v>0</v>
      </c>
      <c r="AB456" s="210">
        <v>0</v>
      </c>
      <c r="AC456" s="211"/>
    </row>
    <row r="457" spans="1:29" ht="165.75" customHeight="1" x14ac:dyDescent="0.3">
      <c r="A457" s="153" t="s">
        <v>1238</v>
      </c>
      <c r="B457" s="140" t="s">
        <v>16</v>
      </c>
      <c r="C457" s="140" t="s">
        <v>136</v>
      </c>
      <c r="D457" s="140" t="s">
        <v>127</v>
      </c>
      <c r="E457" s="230" t="s">
        <v>558</v>
      </c>
      <c r="F457" s="140"/>
      <c r="G457" s="140"/>
      <c r="H457" s="140"/>
      <c r="I457" s="140"/>
      <c r="J457" s="140"/>
      <c r="K457" s="140"/>
      <c r="L457" s="140"/>
      <c r="M457" s="140"/>
      <c r="N457" s="140"/>
      <c r="O457" s="140"/>
      <c r="P457" s="140"/>
      <c r="Q457" s="140"/>
      <c r="R457" s="140"/>
      <c r="S457" s="140"/>
      <c r="T457" s="140"/>
      <c r="U457" s="161"/>
      <c r="V457" s="204"/>
      <c r="W457" s="204"/>
      <c r="X457" s="204"/>
      <c r="Y457" s="153"/>
      <c r="Z457" s="235">
        <f>Z458</f>
        <v>8950999.4000000004</v>
      </c>
      <c r="AA457" s="210">
        <v>0</v>
      </c>
      <c r="AB457" s="210">
        <v>0</v>
      </c>
      <c r="AC457" s="211"/>
    </row>
    <row r="458" spans="1:29" ht="43.5" customHeight="1" x14ac:dyDescent="0.3">
      <c r="A458" s="724" t="s">
        <v>1167</v>
      </c>
      <c r="B458" s="140" t="s">
        <v>16</v>
      </c>
      <c r="C458" s="140" t="s">
        <v>136</v>
      </c>
      <c r="D458" s="140" t="s">
        <v>127</v>
      </c>
      <c r="E458" s="230" t="s">
        <v>558</v>
      </c>
      <c r="F458" s="140"/>
      <c r="G458" s="140"/>
      <c r="H458" s="140"/>
      <c r="I458" s="140"/>
      <c r="J458" s="140"/>
      <c r="K458" s="140"/>
      <c r="L458" s="140"/>
      <c r="M458" s="140"/>
      <c r="N458" s="140"/>
      <c r="O458" s="140"/>
      <c r="P458" s="140"/>
      <c r="Q458" s="140"/>
      <c r="R458" s="140"/>
      <c r="S458" s="140"/>
      <c r="T458" s="140" t="s">
        <v>427</v>
      </c>
      <c r="U458" s="161"/>
      <c r="V458" s="204"/>
      <c r="W458" s="204"/>
      <c r="X458" s="204"/>
      <c r="Y458" s="153"/>
      <c r="Z458" s="235">
        <f>Z460+Z461+Z462</f>
        <v>8950999.4000000004</v>
      </c>
      <c r="AA458" s="210">
        <v>0</v>
      </c>
      <c r="AB458" s="210">
        <v>0</v>
      </c>
      <c r="AC458" s="211"/>
    </row>
    <row r="459" spans="1:29" ht="27.75" customHeight="1" x14ac:dyDescent="0.3">
      <c r="A459" s="291" t="s">
        <v>109</v>
      </c>
      <c r="B459" s="140"/>
      <c r="C459" s="140"/>
      <c r="D459" s="140"/>
      <c r="E459" s="230"/>
      <c r="F459" s="140"/>
      <c r="G459" s="140"/>
      <c r="H459" s="140"/>
      <c r="I459" s="140"/>
      <c r="J459" s="140"/>
      <c r="K459" s="140"/>
      <c r="L459" s="140"/>
      <c r="M459" s="140"/>
      <c r="N459" s="140"/>
      <c r="O459" s="140"/>
      <c r="P459" s="140"/>
      <c r="Q459" s="140"/>
      <c r="R459" s="140"/>
      <c r="S459" s="140"/>
      <c r="T459" s="140"/>
      <c r="U459" s="161"/>
      <c r="V459" s="204"/>
      <c r="W459" s="204"/>
      <c r="X459" s="204"/>
      <c r="Y459" s="153"/>
      <c r="Z459" s="235"/>
      <c r="AA459" s="210"/>
      <c r="AB459" s="210"/>
      <c r="AC459" s="211"/>
    </row>
    <row r="460" spans="1:29" ht="33.75" customHeight="1" x14ac:dyDescent="0.3">
      <c r="A460" s="900" t="s">
        <v>1418</v>
      </c>
      <c r="B460" s="140" t="s">
        <v>16</v>
      </c>
      <c r="C460" s="140" t="s">
        <v>136</v>
      </c>
      <c r="D460" s="140" t="s">
        <v>127</v>
      </c>
      <c r="E460" s="230" t="s">
        <v>558</v>
      </c>
      <c r="F460" s="140"/>
      <c r="G460" s="140"/>
      <c r="H460" s="140"/>
      <c r="I460" s="140"/>
      <c r="J460" s="140"/>
      <c r="K460" s="140"/>
      <c r="L460" s="140"/>
      <c r="M460" s="140"/>
      <c r="N460" s="140"/>
      <c r="O460" s="140"/>
      <c r="P460" s="140"/>
      <c r="Q460" s="140"/>
      <c r="R460" s="140"/>
      <c r="S460" s="140"/>
      <c r="T460" s="140" t="s">
        <v>427</v>
      </c>
      <c r="U460" s="161"/>
      <c r="V460" s="204"/>
      <c r="W460" s="204"/>
      <c r="X460" s="204"/>
      <c r="Y460" s="153"/>
      <c r="Z460" s="235">
        <v>600000</v>
      </c>
      <c r="AA460" s="210">
        <v>0</v>
      </c>
      <c r="AB460" s="210">
        <v>0</v>
      </c>
      <c r="AC460" s="211"/>
    </row>
    <row r="461" spans="1:29" ht="33.75" customHeight="1" x14ac:dyDescent="0.3">
      <c r="A461" s="900" t="s">
        <v>1465</v>
      </c>
      <c r="B461" s="140" t="s">
        <v>16</v>
      </c>
      <c r="C461" s="140" t="s">
        <v>136</v>
      </c>
      <c r="D461" s="140" t="s">
        <v>127</v>
      </c>
      <c r="E461" s="230" t="s">
        <v>558</v>
      </c>
      <c r="F461" s="140"/>
      <c r="G461" s="140"/>
      <c r="H461" s="140"/>
      <c r="I461" s="140"/>
      <c r="J461" s="140"/>
      <c r="K461" s="140"/>
      <c r="L461" s="140"/>
      <c r="M461" s="140"/>
      <c r="N461" s="140"/>
      <c r="O461" s="140"/>
      <c r="P461" s="140"/>
      <c r="Q461" s="140"/>
      <c r="R461" s="140"/>
      <c r="S461" s="140"/>
      <c r="T461" s="140" t="s">
        <v>427</v>
      </c>
      <c r="U461" s="161"/>
      <c r="V461" s="204"/>
      <c r="W461" s="204"/>
      <c r="X461" s="204"/>
      <c r="Y461" s="153"/>
      <c r="Z461" s="235">
        <f>400000+7600000-0.6</f>
        <v>7999999.4000000004</v>
      </c>
      <c r="AA461" s="210">
        <v>0</v>
      </c>
      <c r="AB461" s="210">
        <v>0</v>
      </c>
      <c r="AC461" s="211"/>
    </row>
    <row r="462" spans="1:29" ht="33.75" customHeight="1" x14ac:dyDescent="0.3">
      <c r="A462" s="900" t="s">
        <v>782</v>
      </c>
      <c r="B462" s="140" t="s">
        <v>16</v>
      </c>
      <c r="C462" s="140" t="s">
        <v>136</v>
      </c>
      <c r="D462" s="140" t="s">
        <v>127</v>
      </c>
      <c r="E462" s="230" t="s">
        <v>558</v>
      </c>
      <c r="F462" s="140"/>
      <c r="G462" s="140"/>
      <c r="H462" s="140"/>
      <c r="I462" s="140"/>
      <c r="J462" s="140"/>
      <c r="K462" s="140"/>
      <c r="L462" s="140"/>
      <c r="M462" s="140"/>
      <c r="N462" s="140"/>
      <c r="O462" s="140"/>
      <c r="P462" s="140"/>
      <c r="Q462" s="140"/>
      <c r="R462" s="140"/>
      <c r="S462" s="140"/>
      <c r="T462" s="140" t="s">
        <v>427</v>
      </c>
      <c r="U462" s="161"/>
      <c r="V462" s="204"/>
      <c r="W462" s="204"/>
      <c r="X462" s="204"/>
      <c r="Y462" s="153"/>
      <c r="Z462" s="235">
        <f>254000+5693000-5596000</f>
        <v>351000</v>
      </c>
      <c r="AA462" s="210">
        <v>0</v>
      </c>
      <c r="AB462" s="210">
        <v>0</v>
      </c>
      <c r="AC462" s="211"/>
    </row>
    <row r="463" spans="1:29" ht="42" customHeight="1" x14ac:dyDescent="0.3">
      <c r="A463" s="159" t="s">
        <v>347</v>
      </c>
      <c r="B463" s="140" t="s">
        <v>16</v>
      </c>
      <c r="C463" s="140" t="s">
        <v>124</v>
      </c>
      <c r="D463" s="140" t="s">
        <v>133</v>
      </c>
      <c r="E463" s="230"/>
      <c r="F463" s="140"/>
      <c r="G463" s="140"/>
      <c r="H463" s="140"/>
      <c r="I463" s="140"/>
      <c r="J463" s="140"/>
      <c r="K463" s="140"/>
      <c r="L463" s="140"/>
      <c r="M463" s="140"/>
      <c r="N463" s="140"/>
      <c r="O463" s="140"/>
      <c r="P463" s="140"/>
      <c r="Q463" s="140"/>
      <c r="R463" s="140"/>
      <c r="S463" s="140"/>
      <c r="T463" s="140"/>
      <c r="U463" s="161"/>
      <c r="V463" s="204"/>
      <c r="W463" s="204"/>
      <c r="X463" s="204"/>
      <c r="Y463" s="153"/>
      <c r="Z463" s="235">
        <f>Z464+Z506+Z485</f>
        <v>16883622.5</v>
      </c>
      <c r="AA463" s="210">
        <v>0</v>
      </c>
      <c r="AB463" s="210">
        <v>0</v>
      </c>
      <c r="AC463" s="211"/>
    </row>
    <row r="464" spans="1:29" ht="24.75" customHeight="1" x14ac:dyDescent="0.3">
      <c r="A464" s="488" t="s">
        <v>150</v>
      </c>
      <c r="B464" s="230" t="s">
        <v>16</v>
      </c>
      <c r="C464" s="230" t="s">
        <v>124</v>
      </c>
      <c r="D464" s="230" t="s">
        <v>122</v>
      </c>
      <c r="E464" s="230"/>
      <c r="F464" s="230"/>
      <c r="G464" s="230"/>
      <c r="H464" s="230"/>
      <c r="I464" s="230"/>
      <c r="J464" s="230"/>
      <c r="K464" s="230"/>
      <c r="L464" s="230"/>
      <c r="M464" s="230"/>
      <c r="N464" s="230"/>
      <c r="O464" s="230"/>
      <c r="P464" s="230"/>
      <c r="Q464" s="230"/>
      <c r="R464" s="230"/>
      <c r="S464" s="230"/>
      <c r="T464" s="230"/>
      <c r="U464" s="161"/>
      <c r="V464" s="204"/>
      <c r="W464" s="204"/>
      <c r="X464" s="204"/>
      <c r="Y464" s="153"/>
      <c r="Z464" s="235">
        <f>Z466+Z475</f>
        <v>2751868.86</v>
      </c>
      <c r="AA464" s="210">
        <v>0</v>
      </c>
      <c r="AB464" s="210">
        <v>0</v>
      </c>
      <c r="AC464" s="211"/>
    </row>
    <row r="465" spans="1:29" ht="0.75" hidden="1" customHeight="1" x14ac:dyDescent="0.3">
      <c r="A465" s="467" t="s">
        <v>734</v>
      </c>
      <c r="B465" s="230" t="s">
        <v>16</v>
      </c>
      <c r="C465" s="230" t="s">
        <v>124</v>
      </c>
      <c r="D465" s="230" t="s">
        <v>122</v>
      </c>
      <c r="E465" s="230" t="s">
        <v>736</v>
      </c>
      <c r="F465" s="230"/>
      <c r="G465" s="230"/>
      <c r="H465" s="230"/>
      <c r="I465" s="230"/>
      <c r="J465" s="230"/>
      <c r="K465" s="230"/>
      <c r="L465" s="230"/>
      <c r="M465" s="230"/>
      <c r="N465" s="230"/>
      <c r="O465" s="230"/>
      <c r="P465" s="230"/>
      <c r="Q465" s="230"/>
      <c r="R465" s="230"/>
      <c r="S465" s="230"/>
      <c r="T465" s="230"/>
      <c r="U465" s="161"/>
      <c r="V465" s="204"/>
      <c r="W465" s="204"/>
      <c r="X465" s="204"/>
      <c r="Y465" s="153"/>
      <c r="Z465" s="235">
        <f>Z466</f>
        <v>0</v>
      </c>
      <c r="AA465" s="210"/>
      <c r="AB465" s="210"/>
      <c r="AC465" s="211"/>
    </row>
    <row r="466" spans="1:29" ht="33.75" hidden="1" customHeight="1" x14ac:dyDescent="0.3">
      <c r="A466" s="291" t="s">
        <v>770</v>
      </c>
      <c r="B466" s="230" t="s">
        <v>16</v>
      </c>
      <c r="C466" s="230" t="s">
        <v>124</v>
      </c>
      <c r="D466" s="230" t="s">
        <v>122</v>
      </c>
      <c r="E466" s="230" t="s">
        <v>736</v>
      </c>
      <c r="F466" s="230"/>
      <c r="G466" s="230"/>
      <c r="H466" s="230"/>
      <c r="I466" s="230"/>
      <c r="J466" s="230"/>
      <c r="K466" s="230"/>
      <c r="L466" s="230"/>
      <c r="M466" s="230"/>
      <c r="N466" s="230"/>
      <c r="O466" s="230"/>
      <c r="P466" s="230"/>
      <c r="Q466" s="230"/>
      <c r="R466" s="230"/>
      <c r="S466" s="230"/>
      <c r="T466" s="230" t="s">
        <v>427</v>
      </c>
      <c r="U466" s="161"/>
      <c r="V466" s="204"/>
      <c r="W466" s="204"/>
      <c r="X466" s="204"/>
      <c r="Y466" s="153"/>
      <c r="Z466" s="235">
        <v>0</v>
      </c>
      <c r="AA466" s="210">
        <v>0</v>
      </c>
      <c r="AB466" s="210">
        <v>0</v>
      </c>
      <c r="AC466" s="211"/>
    </row>
    <row r="467" spans="1:29" ht="36.75" hidden="1" customHeight="1" x14ac:dyDescent="0.3">
      <c r="A467" s="291" t="s">
        <v>109</v>
      </c>
      <c r="B467" s="140"/>
      <c r="C467" s="140"/>
      <c r="D467" s="140"/>
      <c r="E467" s="230"/>
      <c r="F467" s="140"/>
      <c r="G467" s="140"/>
      <c r="H467" s="140"/>
      <c r="I467" s="140"/>
      <c r="J467" s="140"/>
      <c r="K467" s="140"/>
      <c r="L467" s="140"/>
      <c r="M467" s="140"/>
      <c r="N467" s="140"/>
      <c r="O467" s="140"/>
      <c r="P467" s="140"/>
      <c r="Q467" s="140"/>
      <c r="R467" s="140"/>
      <c r="S467" s="140"/>
      <c r="T467" s="140"/>
      <c r="U467" s="161"/>
      <c r="V467" s="204"/>
      <c r="W467" s="204"/>
      <c r="X467" s="204"/>
      <c r="Y467" s="153"/>
      <c r="Z467" s="235"/>
      <c r="AA467" s="210"/>
      <c r="AB467" s="210"/>
      <c r="AC467" s="211"/>
    </row>
    <row r="468" spans="1:29" ht="36" hidden="1" customHeight="1" x14ac:dyDescent="0.3">
      <c r="A468" s="153" t="s">
        <v>771</v>
      </c>
      <c r="B468" s="140" t="s">
        <v>16</v>
      </c>
      <c r="C468" s="140" t="s">
        <v>124</v>
      </c>
      <c r="D468" s="140" t="s">
        <v>122</v>
      </c>
      <c r="E468" s="230" t="s">
        <v>736</v>
      </c>
      <c r="F468" s="140"/>
      <c r="G468" s="140"/>
      <c r="H468" s="140"/>
      <c r="I468" s="140"/>
      <c r="J468" s="140"/>
      <c r="K468" s="140"/>
      <c r="L468" s="140"/>
      <c r="M468" s="140"/>
      <c r="N468" s="140"/>
      <c r="O468" s="140"/>
      <c r="P468" s="140"/>
      <c r="Q468" s="140"/>
      <c r="R468" s="140"/>
      <c r="S468" s="140"/>
      <c r="T468" s="140" t="s">
        <v>427</v>
      </c>
      <c r="U468" s="161"/>
      <c r="V468" s="204"/>
      <c r="W468" s="204"/>
      <c r="X468" s="204"/>
      <c r="Y468" s="153"/>
      <c r="Z468" s="235">
        <f>180000-180000</f>
        <v>0</v>
      </c>
      <c r="AA468" s="210">
        <v>0</v>
      </c>
      <c r="AB468" s="210">
        <v>0</v>
      </c>
      <c r="AC468" s="211"/>
    </row>
    <row r="469" spans="1:29" ht="0.75" hidden="1" customHeight="1" x14ac:dyDescent="0.3">
      <c r="A469" s="153" t="s">
        <v>789</v>
      </c>
      <c r="B469" s="140" t="s">
        <v>16</v>
      </c>
      <c r="C469" s="140" t="s">
        <v>124</v>
      </c>
      <c r="D469" s="140" t="s">
        <v>122</v>
      </c>
      <c r="E469" s="230" t="s">
        <v>736</v>
      </c>
      <c r="F469" s="140"/>
      <c r="G469" s="140"/>
      <c r="H469" s="140"/>
      <c r="I469" s="140"/>
      <c r="J469" s="140"/>
      <c r="K469" s="140"/>
      <c r="L469" s="140"/>
      <c r="M469" s="140"/>
      <c r="N469" s="140"/>
      <c r="O469" s="140"/>
      <c r="P469" s="140"/>
      <c r="Q469" s="140"/>
      <c r="R469" s="140"/>
      <c r="S469" s="140"/>
      <c r="T469" s="140" t="s">
        <v>427</v>
      </c>
      <c r="U469" s="161"/>
      <c r="V469" s="204"/>
      <c r="W469" s="204"/>
      <c r="X469" s="204"/>
      <c r="Y469" s="153"/>
      <c r="Z469" s="235">
        <f>550000-550000</f>
        <v>0</v>
      </c>
      <c r="AA469" s="210">
        <v>0</v>
      </c>
      <c r="AB469" s="210">
        <v>0</v>
      </c>
      <c r="AC469" s="211"/>
    </row>
    <row r="470" spans="1:29" ht="44.25" hidden="1" customHeight="1" x14ac:dyDescent="0.3">
      <c r="A470" s="153" t="s">
        <v>1028</v>
      </c>
      <c r="B470" s="140" t="s">
        <v>16</v>
      </c>
      <c r="C470" s="140" t="s">
        <v>124</v>
      </c>
      <c r="D470" s="140" t="s">
        <v>122</v>
      </c>
      <c r="E470" s="230" t="s">
        <v>736</v>
      </c>
      <c r="F470" s="140"/>
      <c r="G470" s="140"/>
      <c r="H470" s="140"/>
      <c r="I470" s="140"/>
      <c r="J470" s="140"/>
      <c r="K470" s="140"/>
      <c r="L470" s="140"/>
      <c r="M470" s="140"/>
      <c r="N470" s="140"/>
      <c r="O470" s="140"/>
      <c r="P470" s="140"/>
      <c r="Q470" s="140"/>
      <c r="R470" s="140"/>
      <c r="S470" s="140"/>
      <c r="T470" s="140" t="s">
        <v>427</v>
      </c>
      <c r="U470" s="161"/>
      <c r="V470" s="204"/>
      <c r="W470" s="204"/>
      <c r="X470" s="204"/>
      <c r="Y470" s="153"/>
      <c r="Z470" s="235">
        <f>197317.12-197317.12</f>
        <v>0</v>
      </c>
      <c r="AA470" s="210">
        <v>0</v>
      </c>
      <c r="AB470" s="210">
        <v>0</v>
      </c>
      <c r="AC470" s="211"/>
    </row>
    <row r="471" spans="1:29" ht="39.75" hidden="1" customHeight="1" x14ac:dyDescent="0.3">
      <c r="A471" s="467" t="s">
        <v>788</v>
      </c>
      <c r="B471" s="140" t="s">
        <v>16</v>
      </c>
      <c r="C471" s="140" t="s">
        <v>124</v>
      </c>
      <c r="D471" s="140" t="s">
        <v>122</v>
      </c>
      <c r="E471" s="230" t="s">
        <v>736</v>
      </c>
      <c r="F471" s="140"/>
      <c r="G471" s="140"/>
      <c r="H471" s="140"/>
      <c r="I471" s="140"/>
      <c r="J471" s="140"/>
      <c r="K471" s="140"/>
      <c r="L471" s="140"/>
      <c r="M471" s="140"/>
      <c r="N471" s="140"/>
      <c r="O471" s="140"/>
      <c r="P471" s="140"/>
      <c r="Q471" s="140"/>
      <c r="R471" s="140"/>
      <c r="S471" s="140"/>
      <c r="T471" s="140" t="s">
        <v>427</v>
      </c>
      <c r="U471" s="161"/>
      <c r="V471" s="204"/>
      <c r="W471" s="204"/>
      <c r="X471" s="204"/>
      <c r="Y471" s="153"/>
      <c r="Z471" s="235">
        <v>0</v>
      </c>
      <c r="AA471" s="210">
        <v>0</v>
      </c>
      <c r="AB471" s="210">
        <v>0</v>
      </c>
      <c r="AC471" s="211"/>
    </row>
    <row r="472" spans="1:29" ht="38.25" hidden="1" customHeight="1" x14ac:dyDescent="0.3">
      <c r="A472" s="265" t="s">
        <v>782</v>
      </c>
      <c r="B472" s="140" t="s">
        <v>16</v>
      </c>
      <c r="C472" s="140" t="s">
        <v>124</v>
      </c>
      <c r="D472" s="140" t="s">
        <v>122</v>
      </c>
      <c r="E472" s="230" t="s">
        <v>736</v>
      </c>
      <c r="F472" s="140"/>
      <c r="G472" s="140"/>
      <c r="H472" s="140"/>
      <c r="I472" s="140"/>
      <c r="J472" s="140"/>
      <c r="K472" s="140"/>
      <c r="L472" s="140"/>
      <c r="M472" s="140"/>
      <c r="N472" s="140"/>
      <c r="O472" s="140"/>
      <c r="P472" s="140"/>
      <c r="Q472" s="140"/>
      <c r="R472" s="140"/>
      <c r="S472" s="140"/>
      <c r="T472" s="140" t="s">
        <v>427</v>
      </c>
      <c r="U472" s="161"/>
      <c r="V472" s="204"/>
      <c r="W472" s="204"/>
      <c r="X472" s="204"/>
      <c r="Y472" s="153"/>
      <c r="Z472" s="235">
        <f>200000-200000</f>
        <v>0</v>
      </c>
      <c r="AA472" s="210">
        <v>0</v>
      </c>
      <c r="AB472" s="210">
        <v>0</v>
      </c>
      <c r="AC472" s="211"/>
    </row>
    <row r="473" spans="1:29" ht="40.5" hidden="1" customHeight="1" x14ac:dyDescent="0.3">
      <c r="A473" s="504" t="s">
        <v>783</v>
      </c>
      <c r="B473" s="140" t="s">
        <v>16</v>
      </c>
      <c r="C473" s="140" t="s">
        <v>124</v>
      </c>
      <c r="D473" s="140" t="s">
        <v>122</v>
      </c>
      <c r="E473" s="230" t="s">
        <v>736</v>
      </c>
      <c r="F473" s="140"/>
      <c r="G473" s="140"/>
      <c r="H473" s="140"/>
      <c r="I473" s="140"/>
      <c r="J473" s="140"/>
      <c r="K473" s="140"/>
      <c r="L473" s="140"/>
      <c r="M473" s="140"/>
      <c r="N473" s="140"/>
      <c r="O473" s="140"/>
      <c r="P473" s="140"/>
      <c r="Q473" s="140"/>
      <c r="R473" s="140"/>
      <c r="S473" s="140"/>
      <c r="T473" s="140" t="s">
        <v>427</v>
      </c>
      <c r="U473" s="161"/>
      <c r="V473" s="204"/>
      <c r="W473" s="204"/>
      <c r="X473" s="204"/>
      <c r="Y473" s="153"/>
      <c r="Z473" s="235">
        <f>150000-150000</f>
        <v>0</v>
      </c>
      <c r="AA473" s="210"/>
      <c r="AB473" s="210"/>
      <c r="AC473" s="211"/>
    </row>
    <row r="474" spans="1:29" ht="48" hidden="1" customHeight="1" x14ac:dyDescent="0.3">
      <c r="A474" s="153" t="s">
        <v>787</v>
      </c>
      <c r="B474" s="140" t="s">
        <v>16</v>
      </c>
      <c r="C474" s="140" t="s">
        <v>124</v>
      </c>
      <c r="D474" s="140" t="s">
        <v>122</v>
      </c>
      <c r="E474" s="230" t="s">
        <v>736</v>
      </c>
      <c r="F474" s="140"/>
      <c r="G474" s="140"/>
      <c r="H474" s="140"/>
      <c r="I474" s="140"/>
      <c r="J474" s="140"/>
      <c r="K474" s="140"/>
      <c r="L474" s="140"/>
      <c r="M474" s="140"/>
      <c r="N474" s="140"/>
      <c r="O474" s="140"/>
      <c r="P474" s="140"/>
      <c r="Q474" s="140"/>
      <c r="R474" s="140"/>
      <c r="S474" s="140"/>
      <c r="T474" s="140" t="s">
        <v>427</v>
      </c>
      <c r="U474" s="161"/>
      <c r="V474" s="204"/>
      <c r="W474" s="204"/>
      <c r="X474" s="204"/>
      <c r="Y474" s="153"/>
      <c r="Z474" s="235">
        <f>200000-200000</f>
        <v>0</v>
      </c>
      <c r="AA474" s="210">
        <v>0</v>
      </c>
      <c r="AB474" s="210">
        <v>0</v>
      </c>
      <c r="AC474" s="211"/>
    </row>
    <row r="475" spans="1:29" ht="172.5" customHeight="1" x14ac:dyDescent="0.3">
      <c r="A475" s="153" t="s">
        <v>1398</v>
      </c>
      <c r="B475" s="230" t="s">
        <v>16</v>
      </c>
      <c r="C475" s="230" t="s">
        <v>124</v>
      </c>
      <c r="D475" s="230" t="s">
        <v>122</v>
      </c>
      <c r="E475" s="230" t="s">
        <v>1041</v>
      </c>
      <c r="F475" s="140"/>
      <c r="G475" s="140"/>
      <c r="H475" s="140"/>
      <c r="I475" s="140"/>
      <c r="J475" s="140"/>
      <c r="K475" s="140"/>
      <c r="L475" s="140"/>
      <c r="M475" s="140"/>
      <c r="N475" s="140"/>
      <c r="O475" s="140"/>
      <c r="P475" s="140"/>
      <c r="Q475" s="140"/>
      <c r="R475" s="140"/>
      <c r="S475" s="140"/>
      <c r="T475" s="140"/>
      <c r="U475" s="161"/>
      <c r="V475" s="204"/>
      <c r="W475" s="204"/>
      <c r="X475" s="204"/>
      <c r="Y475" s="153"/>
      <c r="Z475" s="235">
        <f>Z476</f>
        <v>2751868.86</v>
      </c>
      <c r="AA475" s="210">
        <v>0</v>
      </c>
      <c r="AB475" s="210">
        <v>0</v>
      </c>
      <c r="AC475" s="211"/>
    </row>
    <row r="476" spans="1:29" ht="26.25" customHeight="1" x14ac:dyDescent="0.3">
      <c r="A476" s="291" t="s">
        <v>770</v>
      </c>
      <c r="B476" s="230" t="s">
        <v>16</v>
      </c>
      <c r="C476" s="230" t="s">
        <v>124</v>
      </c>
      <c r="D476" s="230" t="s">
        <v>122</v>
      </c>
      <c r="E476" s="230" t="s">
        <v>1041</v>
      </c>
      <c r="F476" s="230"/>
      <c r="G476" s="230"/>
      <c r="H476" s="230"/>
      <c r="I476" s="230"/>
      <c r="J476" s="230"/>
      <c r="K476" s="230"/>
      <c r="L476" s="230"/>
      <c r="M476" s="230"/>
      <c r="N476" s="230"/>
      <c r="O476" s="230"/>
      <c r="P476" s="230"/>
      <c r="Q476" s="230"/>
      <c r="R476" s="230"/>
      <c r="S476" s="230"/>
      <c r="T476" s="230" t="s">
        <v>427</v>
      </c>
      <c r="U476" s="161"/>
      <c r="V476" s="204"/>
      <c r="W476" s="204"/>
      <c r="X476" s="204"/>
      <c r="Y476" s="153"/>
      <c r="Z476" s="235">
        <f>Z481+Z478+Z479+Z480+Z482+Z483+Z484</f>
        <v>2751868.86</v>
      </c>
      <c r="AA476" s="210">
        <v>0</v>
      </c>
      <c r="AB476" s="210">
        <v>0</v>
      </c>
      <c r="AC476" s="211"/>
    </row>
    <row r="477" spans="1:29" ht="22.5" customHeight="1" x14ac:dyDescent="0.3">
      <c r="A477" s="291" t="s">
        <v>109</v>
      </c>
      <c r="B477" s="140"/>
      <c r="C477" s="140"/>
      <c r="D477" s="140"/>
      <c r="E477" s="230"/>
      <c r="F477" s="140"/>
      <c r="G477" s="140"/>
      <c r="H477" s="140"/>
      <c r="I477" s="140"/>
      <c r="J477" s="140"/>
      <c r="K477" s="140"/>
      <c r="L477" s="140"/>
      <c r="M477" s="140"/>
      <c r="N477" s="140"/>
      <c r="O477" s="140"/>
      <c r="P477" s="140"/>
      <c r="Q477" s="140"/>
      <c r="R477" s="140"/>
      <c r="S477" s="140"/>
      <c r="T477" s="140"/>
      <c r="U477" s="161"/>
      <c r="V477" s="204"/>
      <c r="W477" s="204"/>
      <c r="X477" s="204"/>
      <c r="Y477" s="153"/>
      <c r="Z477" s="235"/>
      <c r="AA477" s="210"/>
      <c r="AB477" s="210"/>
      <c r="AC477" s="211"/>
    </row>
    <row r="478" spans="1:29" ht="18.75" x14ac:dyDescent="0.3">
      <c r="A478" s="900" t="s">
        <v>771</v>
      </c>
      <c r="B478" s="140" t="s">
        <v>16</v>
      </c>
      <c r="C478" s="140" t="s">
        <v>124</v>
      </c>
      <c r="D478" s="140" t="s">
        <v>122</v>
      </c>
      <c r="E478" s="230" t="s">
        <v>1041</v>
      </c>
      <c r="F478" s="140"/>
      <c r="G478" s="140"/>
      <c r="H478" s="140"/>
      <c r="I478" s="140"/>
      <c r="J478" s="140"/>
      <c r="K478" s="140"/>
      <c r="L478" s="140"/>
      <c r="M478" s="140"/>
      <c r="N478" s="140"/>
      <c r="O478" s="140"/>
      <c r="P478" s="140"/>
      <c r="Q478" s="140"/>
      <c r="R478" s="140"/>
      <c r="S478" s="140"/>
      <c r="T478" s="140" t="s">
        <v>427</v>
      </c>
      <c r="U478" s="161"/>
      <c r="V478" s="204"/>
      <c r="W478" s="204"/>
      <c r="X478" s="204"/>
      <c r="Y478" s="153"/>
      <c r="Z478" s="235">
        <f>300000+95000-95000-11713.83</f>
        <v>288286.17</v>
      </c>
      <c r="AA478" s="210">
        <v>0</v>
      </c>
      <c r="AB478" s="210">
        <v>0</v>
      </c>
      <c r="AC478" s="211"/>
    </row>
    <row r="479" spans="1:29" ht="18.75" x14ac:dyDescent="0.3">
      <c r="A479" s="900" t="s">
        <v>789</v>
      </c>
      <c r="B479" s="140" t="s">
        <v>16</v>
      </c>
      <c r="C479" s="140" t="s">
        <v>124</v>
      </c>
      <c r="D479" s="140" t="s">
        <v>122</v>
      </c>
      <c r="E479" s="230" t="s">
        <v>1041</v>
      </c>
      <c r="F479" s="140"/>
      <c r="G479" s="140"/>
      <c r="H479" s="140"/>
      <c r="I479" s="140"/>
      <c r="J479" s="140"/>
      <c r="K479" s="140"/>
      <c r="L479" s="140"/>
      <c r="M479" s="140"/>
      <c r="N479" s="140"/>
      <c r="O479" s="140"/>
      <c r="P479" s="140"/>
      <c r="Q479" s="140"/>
      <c r="R479" s="140"/>
      <c r="S479" s="140"/>
      <c r="T479" s="140" t="s">
        <v>427</v>
      </c>
      <c r="U479" s="161"/>
      <c r="V479" s="204"/>
      <c r="W479" s="204"/>
      <c r="X479" s="204"/>
      <c r="Y479" s="153"/>
      <c r="Z479" s="235">
        <f>500000+500000</f>
        <v>1000000</v>
      </c>
      <c r="AA479" s="210">
        <v>0</v>
      </c>
      <c r="AB479" s="210">
        <v>0</v>
      </c>
      <c r="AC479" s="211"/>
    </row>
    <row r="480" spans="1:29" ht="18.75" x14ac:dyDescent="0.3">
      <c r="A480" s="900" t="s">
        <v>1028</v>
      </c>
      <c r="B480" s="140" t="s">
        <v>16</v>
      </c>
      <c r="C480" s="140" t="s">
        <v>124</v>
      </c>
      <c r="D480" s="140" t="s">
        <v>122</v>
      </c>
      <c r="E480" s="230" t="s">
        <v>1041</v>
      </c>
      <c r="F480" s="140"/>
      <c r="G480" s="140"/>
      <c r="H480" s="140"/>
      <c r="I480" s="140"/>
      <c r="J480" s="140"/>
      <c r="K480" s="140"/>
      <c r="L480" s="140"/>
      <c r="M480" s="140"/>
      <c r="N480" s="140"/>
      <c r="O480" s="140"/>
      <c r="P480" s="140"/>
      <c r="Q480" s="140"/>
      <c r="R480" s="140"/>
      <c r="S480" s="140"/>
      <c r="T480" s="140" t="s">
        <v>427</v>
      </c>
      <c r="U480" s="161"/>
      <c r="V480" s="204"/>
      <c r="W480" s="204"/>
      <c r="X480" s="204"/>
      <c r="Y480" s="153"/>
      <c r="Z480" s="235">
        <v>200000</v>
      </c>
      <c r="AA480" s="210">
        <v>0</v>
      </c>
      <c r="AB480" s="210">
        <v>0</v>
      </c>
      <c r="AC480" s="211"/>
    </row>
    <row r="481" spans="1:29" ht="18.75" x14ac:dyDescent="0.3">
      <c r="A481" s="899" t="s">
        <v>788</v>
      </c>
      <c r="B481" s="140" t="s">
        <v>16</v>
      </c>
      <c r="C481" s="140" t="s">
        <v>124</v>
      </c>
      <c r="D481" s="140" t="s">
        <v>122</v>
      </c>
      <c r="E481" s="230" t="s">
        <v>1041</v>
      </c>
      <c r="F481" s="140"/>
      <c r="G481" s="140"/>
      <c r="H481" s="140"/>
      <c r="I481" s="140"/>
      <c r="J481" s="140"/>
      <c r="K481" s="140"/>
      <c r="L481" s="140"/>
      <c r="M481" s="140"/>
      <c r="N481" s="140"/>
      <c r="O481" s="140"/>
      <c r="P481" s="140"/>
      <c r="Q481" s="140"/>
      <c r="R481" s="140"/>
      <c r="S481" s="140"/>
      <c r="T481" s="140" t="s">
        <v>427</v>
      </c>
      <c r="U481" s="161"/>
      <c r="V481" s="204"/>
      <c r="W481" s="204"/>
      <c r="X481" s="204"/>
      <c r="Y481" s="153"/>
      <c r="Z481" s="235">
        <f>339882.69+200000</f>
        <v>539882.68999999994</v>
      </c>
      <c r="AA481" s="210">
        <v>0</v>
      </c>
      <c r="AB481" s="210">
        <v>0</v>
      </c>
      <c r="AC481" s="211"/>
    </row>
    <row r="482" spans="1:29" ht="18.75" x14ac:dyDescent="0.3">
      <c r="A482" s="1109" t="s">
        <v>782</v>
      </c>
      <c r="B482" s="1014" t="s">
        <v>16</v>
      </c>
      <c r="C482" s="1014" t="s">
        <v>124</v>
      </c>
      <c r="D482" s="1014" t="s">
        <v>122</v>
      </c>
      <c r="E482" s="1015" t="s">
        <v>1041</v>
      </c>
      <c r="F482" s="1014"/>
      <c r="G482" s="1014"/>
      <c r="H482" s="1014"/>
      <c r="I482" s="1014"/>
      <c r="J482" s="1014"/>
      <c r="K482" s="1014"/>
      <c r="L482" s="1014"/>
      <c r="M482" s="1014"/>
      <c r="N482" s="1014"/>
      <c r="O482" s="1014"/>
      <c r="P482" s="1014"/>
      <c r="Q482" s="1014"/>
      <c r="R482" s="1014"/>
      <c r="S482" s="1014"/>
      <c r="T482" s="1014" t="s">
        <v>427</v>
      </c>
      <c r="U482" s="1067"/>
      <c r="V482" s="1068"/>
      <c r="W482" s="1068"/>
      <c r="X482" s="1068"/>
      <c r="Y482" s="224"/>
      <c r="Z482" s="1069">
        <f>300000-67800-8500</f>
        <v>223700</v>
      </c>
      <c r="AA482" s="210">
        <v>0</v>
      </c>
      <c r="AB482" s="210">
        <v>0</v>
      </c>
      <c r="AC482" s="211"/>
    </row>
    <row r="483" spans="1:29" ht="18.75" x14ac:dyDescent="0.3">
      <c r="A483" s="898" t="s">
        <v>783</v>
      </c>
      <c r="B483" s="140" t="s">
        <v>16</v>
      </c>
      <c r="C483" s="140" t="s">
        <v>124</v>
      </c>
      <c r="D483" s="140" t="s">
        <v>122</v>
      </c>
      <c r="E483" s="230" t="s">
        <v>1041</v>
      </c>
      <c r="F483" s="140"/>
      <c r="G483" s="140"/>
      <c r="H483" s="140"/>
      <c r="I483" s="140"/>
      <c r="J483" s="140"/>
      <c r="K483" s="140"/>
      <c r="L483" s="140"/>
      <c r="M483" s="140"/>
      <c r="N483" s="140"/>
      <c r="O483" s="140"/>
      <c r="P483" s="140"/>
      <c r="Q483" s="140"/>
      <c r="R483" s="140"/>
      <c r="S483" s="140"/>
      <c r="T483" s="140" t="s">
        <v>427</v>
      </c>
      <c r="U483" s="161"/>
      <c r="V483" s="204"/>
      <c r="W483" s="204"/>
      <c r="X483" s="204"/>
      <c r="Y483" s="153"/>
      <c r="Z483" s="235">
        <v>200000</v>
      </c>
      <c r="AA483" s="210">
        <v>0</v>
      </c>
      <c r="AB483" s="210">
        <v>0</v>
      </c>
      <c r="AC483" s="211"/>
    </row>
    <row r="484" spans="1:29" ht="18.75" x14ac:dyDescent="0.3">
      <c r="A484" s="900" t="s">
        <v>787</v>
      </c>
      <c r="B484" s="140" t="s">
        <v>16</v>
      </c>
      <c r="C484" s="140" t="s">
        <v>124</v>
      </c>
      <c r="D484" s="140" t="s">
        <v>122</v>
      </c>
      <c r="E484" s="230" t="s">
        <v>1041</v>
      </c>
      <c r="F484" s="140"/>
      <c r="G484" s="140"/>
      <c r="H484" s="140"/>
      <c r="I484" s="140"/>
      <c r="J484" s="140"/>
      <c r="K484" s="140"/>
      <c r="L484" s="140"/>
      <c r="M484" s="140"/>
      <c r="N484" s="140"/>
      <c r="O484" s="140"/>
      <c r="P484" s="140"/>
      <c r="Q484" s="140"/>
      <c r="R484" s="140"/>
      <c r="S484" s="140"/>
      <c r="T484" s="140" t="s">
        <v>427</v>
      </c>
      <c r="U484" s="161"/>
      <c r="V484" s="204"/>
      <c r="W484" s="204"/>
      <c r="X484" s="204"/>
      <c r="Y484" s="153"/>
      <c r="Z484" s="235">
        <f>200000+100000</f>
        <v>300000</v>
      </c>
      <c r="AA484" s="210">
        <v>0</v>
      </c>
      <c r="AB484" s="210">
        <v>0</v>
      </c>
      <c r="AC484" s="211"/>
    </row>
    <row r="485" spans="1:29" ht="27.75" customHeight="1" x14ac:dyDescent="0.3">
      <c r="A485" s="240" t="s">
        <v>151</v>
      </c>
      <c r="B485" s="140" t="s">
        <v>16</v>
      </c>
      <c r="C485" s="140" t="s">
        <v>124</v>
      </c>
      <c r="D485" s="140" t="s">
        <v>132</v>
      </c>
      <c r="E485" s="230"/>
      <c r="F485" s="140"/>
      <c r="G485" s="140"/>
      <c r="H485" s="140"/>
      <c r="I485" s="140"/>
      <c r="J485" s="140"/>
      <c r="K485" s="140"/>
      <c r="L485" s="140"/>
      <c r="M485" s="140"/>
      <c r="N485" s="140"/>
      <c r="O485" s="140"/>
      <c r="P485" s="140"/>
      <c r="Q485" s="140"/>
      <c r="R485" s="140"/>
      <c r="S485" s="140"/>
      <c r="T485" s="140"/>
      <c r="U485" s="161"/>
      <c r="V485" s="204"/>
      <c r="W485" s="204"/>
      <c r="X485" s="204"/>
      <c r="Y485" s="153"/>
      <c r="Z485" s="235">
        <f>Z486+Z497+Z502</f>
        <v>6531193.8999999994</v>
      </c>
      <c r="AA485" s="210">
        <v>0</v>
      </c>
      <c r="AB485" s="210">
        <v>0</v>
      </c>
      <c r="AC485" s="211"/>
    </row>
    <row r="486" spans="1:29" s="271" customFormat="1" ht="195.75" customHeight="1" x14ac:dyDescent="0.3">
      <c r="A486" s="153" t="s">
        <v>1284</v>
      </c>
      <c r="B486" s="140" t="s">
        <v>16</v>
      </c>
      <c r="C486" s="140" t="s">
        <v>124</v>
      </c>
      <c r="D486" s="140" t="s">
        <v>132</v>
      </c>
      <c r="E486" s="230" t="s">
        <v>567</v>
      </c>
      <c r="F486" s="140"/>
      <c r="G486" s="140"/>
      <c r="H486" s="140"/>
      <c r="I486" s="140"/>
      <c r="J486" s="140"/>
      <c r="K486" s="140"/>
      <c r="L486" s="140"/>
      <c r="M486" s="140"/>
      <c r="N486" s="140"/>
      <c r="O486" s="140"/>
      <c r="P486" s="140"/>
      <c r="Q486" s="140"/>
      <c r="R486" s="140"/>
      <c r="S486" s="140"/>
      <c r="T486" s="140"/>
      <c r="U486" s="161"/>
      <c r="V486" s="204"/>
      <c r="W486" s="204"/>
      <c r="X486" s="204"/>
      <c r="Y486" s="153"/>
      <c r="Z486" s="235">
        <f>Z487</f>
        <v>6436193.8999999994</v>
      </c>
      <c r="AA486" s="210">
        <v>0</v>
      </c>
      <c r="AB486" s="210">
        <v>0</v>
      </c>
      <c r="AC486" s="561"/>
    </row>
    <row r="487" spans="1:29" s="271" customFormat="1" ht="32.25" customHeight="1" x14ac:dyDescent="0.3">
      <c r="A487" s="153" t="s">
        <v>770</v>
      </c>
      <c r="B487" s="140" t="s">
        <v>16</v>
      </c>
      <c r="C487" s="140" t="s">
        <v>124</v>
      </c>
      <c r="D487" s="140" t="s">
        <v>132</v>
      </c>
      <c r="E487" s="230" t="s">
        <v>567</v>
      </c>
      <c r="F487" s="140"/>
      <c r="G487" s="140"/>
      <c r="H487" s="140"/>
      <c r="I487" s="140"/>
      <c r="J487" s="140"/>
      <c r="K487" s="140"/>
      <c r="L487" s="140"/>
      <c r="M487" s="140"/>
      <c r="N487" s="140"/>
      <c r="O487" s="140"/>
      <c r="P487" s="140"/>
      <c r="Q487" s="140"/>
      <c r="R487" s="140"/>
      <c r="S487" s="140"/>
      <c r="T487" s="140" t="s">
        <v>427</v>
      </c>
      <c r="U487" s="161"/>
      <c r="V487" s="204"/>
      <c r="W487" s="204"/>
      <c r="X487" s="204"/>
      <c r="Y487" s="153"/>
      <c r="Z487" s="235">
        <f>Z490+Z493+Z494+Z495+Z492+Z491+Z489+Z496</f>
        <v>6436193.8999999994</v>
      </c>
      <c r="AA487" s="210">
        <v>0</v>
      </c>
      <c r="AB487" s="210">
        <v>0</v>
      </c>
      <c r="AC487" s="561"/>
    </row>
    <row r="488" spans="1:29" ht="32.25" customHeight="1" x14ac:dyDescent="0.3">
      <c r="A488" s="153" t="s">
        <v>109</v>
      </c>
      <c r="B488" s="140"/>
      <c r="C488" s="140"/>
      <c r="D488" s="140"/>
      <c r="E488" s="230"/>
      <c r="F488" s="140"/>
      <c r="G488" s="140"/>
      <c r="H488" s="140"/>
      <c r="I488" s="140"/>
      <c r="J488" s="140"/>
      <c r="K488" s="140"/>
      <c r="L488" s="140"/>
      <c r="M488" s="140"/>
      <c r="N488" s="140"/>
      <c r="O488" s="140"/>
      <c r="P488" s="140"/>
      <c r="Q488" s="140"/>
      <c r="R488" s="140"/>
      <c r="S488" s="140"/>
      <c r="T488" s="140"/>
      <c r="U488" s="161"/>
      <c r="V488" s="204"/>
      <c r="W488" s="204"/>
      <c r="X488" s="204"/>
      <c r="Y488" s="153"/>
      <c r="Z488" s="235"/>
      <c r="AA488" s="210"/>
      <c r="AB488" s="210"/>
      <c r="AC488" s="211"/>
    </row>
    <row r="489" spans="1:29" ht="32.25" customHeight="1" x14ac:dyDescent="0.3">
      <c r="A489" s="1109" t="s">
        <v>787</v>
      </c>
      <c r="B489" s="1014" t="s">
        <v>16</v>
      </c>
      <c r="C489" s="1014" t="s">
        <v>124</v>
      </c>
      <c r="D489" s="1014" t="s">
        <v>132</v>
      </c>
      <c r="E489" s="1015" t="s">
        <v>567</v>
      </c>
      <c r="F489" s="1014"/>
      <c r="G489" s="1014"/>
      <c r="H489" s="1014"/>
      <c r="I489" s="1014"/>
      <c r="J489" s="1014"/>
      <c r="K489" s="1014"/>
      <c r="L489" s="1014"/>
      <c r="M489" s="1014"/>
      <c r="N489" s="1014"/>
      <c r="O489" s="1014"/>
      <c r="P489" s="1014"/>
      <c r="Q489" s="1014"/>
      <c r="R489" s="1014"/>
      <c r="S489" s="1014"/>
      <c r="T489" s="1014" t="s">
        <v>427</v>
      </c>
      <c r="U489" s="1067"/>
      <c r="V489" s="1068"/>
      <c r="W489" s="1068"/>
      <c r="X489" s="1068"/>
      <c r="Y489" s="224"/>
      <c r="Z489" s="1069">
        <f>250000-250000</f>
        <v>0</v>
      </c>
      <c r="AA489" s="210">
        <v>0</v>
      </c>
      <c r="AB489" s="210">
        <v>0</v>
      </c>
      <c r="AC489" s="211"/>
    </row>
    <row r="490" spans="1:29" s="271" customFormat="1" ht="34.5" customHeight="1" x14ac:dyDescent="0.3">
      <c r="A490" s="1109" t="s">
        <v>771</v>
      </c>
      <c r="B490" s="1014" t="s">
        <v>16</v>
      </c>
      <c r="C490" s="1014" t="s">
        <v>124</v>
      </c>
      <c r="D490" s="1014" t="s">
        <v>132</v>
      </c>
      <c r="E490" s="1015" t="s">
        <v>567</v>
      </c>
      <c r="F490" s="1014"/>
      <c r="G490" s="1014"/>
      <c r="H490" s="1014"/>
      <c r="I490" s="1014"/>
      <c r="J490" s="1014"/>
      <c r="K490" s="1014"/>
      <c r="L490" s="1014"/>
      <c r="M490" s="1014"/>
      <c r="N490" s="1014"/>
      <c r="O490" s="1014"/>
      <c r="P490" s="1014"/>
      <c r="Q490" s="1014"/>
      <c r="R490" s="1014"/>
      <c r="S490" s="1014"/>
      <c r="T490" s="1014" t="s">
        <v>427</v>
      </c>
      <c r="U490" s="1067"/>
      <c r="V490" s="1068"/>
      <c r="W490" s="1068"/>
      <c r="X490" s="1068"/>
      <c r="Y490" s="224"/>
      <c r="Z490" s="1069">
        <f>1013673.27+1500000+342000+737000+142000-269715-37000-25858.6</f>
        <v>3402099.67</v>
      </c>
      <c r="AA490" s="210">
        <v>0</v>
      </c>
      <c r="AB490" s="210">
        <v>0</v>
      </c>
      <c r="AC490" s="561"/>
    </row>
    <row r="491" spans="1:29" s="271" customFormat="1" ht="36.75" hidden="1" customHeight="1" x14ac:dyDescent="0.3">
      <c r="A491" s="900" t="s">
        <v>782</v>
      </c>
      <c r="B491" s="140" t="s">
        <v>16</v>
      </c>
      <c r="C491" s="140" t="s">
        <v>124</v>
      </c>
      <c r="D491" s="140" t="s">
        <v>132</v>
      </c>
      <c r="E491" s="230" t="s">
        <v>567</v>
      </c>
      <c r="F491" s="140"/>
      <c r="G491" s="140"/>
      <c r="H491" s="140"/>
      <c r="I491" s="140"/>
      <c r="J491" s="140"/>
      <c r="K491" s="140"/>
      <c r="L491" s="140"/>
      <c r="M491" s="140"/>
      <c r="N491" s="140"/>
      <c r="O491" s="140"/>
      <c r="P491" s="140"/>
      <c r="Q491" s="140"/>
      <c r="R491" s="140"/>
      <c r="S491" s="140"/>
      <c r="T491" s="140" t="s">
        <v>427</v>
      </c>
      <c r="U491" s="161"/>
      <c r="V491" s="204"/>
      <c r="W491" s="204"/>
      <c r="X491" s="204"/>
      <c r="Y491" s="153"/>
      <c r="Z491" s="235">
        <v>0</v>
      </c>
      <c r="AA491" s="210">
        <v>0</v>
      </c>
      <c r="AB491" s="210">
        <v>0</v>
      </c>
      <c r="AC491" s="561"/>
    </row>
    <row r="492" spans="1:29" s="271" customFormat="1" ht="29.25" customHeight="1" x14ac:dyDescent="0.3">
      <c r="A492" s="1110" t="s">
        <v>1418</v>
      </c>
      <c r="B492" s="1014" t="s">
        <v>16</v>
      </c>
      <c r="C492" s="1014" t="s">
        <v>124</v>
      </c>
      <c r="D492" s="1014" t="s">
        <v>132</v>
      </c>
      <c r="E492" s="1015" t="s">
        <v>862</v>
      </c>
      <c r="F492" s="1014"/>
      <c r="G492" s="1014"/>
      <c r="H492" s="1014"/>
      <c r="I492" s="1014"/>
      <c r="J492" s="1014"/>
      <c r="K492" s="1014"/>
      <c r="L492" s="1014"/>
      <c r="M492" s="1014"/>
      <c r="N492" s="1014"/>
      <c r="O492" s="1014"/>
      <c r="P492" s="1014"/>
      <c r="Q492" s="1014"/>
      <c r="R492" s="1014"/>
      <c r="S492" s="1014"/>
      <c r="T492" s="1014" t="s">
        <v>427</v>
      </c>
      <c r="U492" s="1067"/>
      <c r="V492" s="1068"/>
      <c r="W492" s="1068"/>
      <c r="X492" s="1068"/>
      <c r="Y492" s="224"/>
      <c r="Z492" s="1069">
        <f>500000-500000</f>
        <v>0</v>
      </c>
      <c r="AA492" s="210">
        <v>0</v>
      </c>
      <c r="AB492" s="210">
        <v>0</v>
      </c>
      <c r="AC492" s="561"/>
    </row>
    <row r="493" spans="1:29" ht="36" customHeight="1" x14ac:dyDescent="0.3">
      <c r="A493" s="1122" t="s">
        <v>1474</v>
      </c>
      <c r="B493" s="1014" t="s">
        <v>16</v>
      </c>
      <c r="C493" s="1014" t="s">
        <v>124</v>
      </c>
      <c r="D493" s="1014" t="s">
        <v>132</v>
      </c>
      <c r="E493" s="1015" t="s">
        <v>862</v>
      </c>
      <c r="F493" s="1014"/>
      <c r="G493" s="1014"/>
      <c r="H493" s="1014"/>
      <c r="I493" s="1014"/>
      <c r="J493" s="1014"/>
      <c r="K493" s="1014"/>
      <c r="L493" s="1014"/>
      <c r="M493" s="1014"/>
      <c r="N493" s="1014"/>
      <c r="O493" s="1014"/>
      <c r="P493" s="1014"/>
      <c r="Q493" s="1014"/>
      <c r="R493" s="1014"/>
      <c r="S493" s="1014"/>
      <c r="T493" s="1014" t="s">
        <v>427</v>
      </c>
      <c r="U493" s="1067"/>
      <c r="V493" s="1068"/>
      <c r="W493" s="1068"/>
      <c r="X493" s="1068"/>
      <c r="Y493" s="224"/>
      <c r="Z493" s="1069">
        <f>1500000+200000-49588.31-150001</f>
        <v>1500410.69</v>
      </c>
      <c r="AA493" s="210">
        <v>0</v>
      </c>
      <c r="AB493" s="210">
        <v>0</v>
      </c>
      <c r="AC493" s="211"/>
    </row>
    <row r="494" spans="1:29" s="271" customFormat="1" ht="29.25" customHeight="1" x14ac:dyDescent="0.3">
      <c r="A494" s="900" t="s">
        <v>785</v>
      </c>
      <c r="B494" s="140" t="s">
        <v>16</v>
      </c>
      <c r="C494" s="140" t="s">
        <v>124</v>
      </c>
      <c r="D494" s="140" t="s">
        <v>132</v>
      </c>
      <c r="E494" s="230" t="s">
        <v>567</v>
      </c>
      <c r="F494" s="140"/>
      <c r="G494" s="140"/>
      <c r="H494" s="140"/>
      <c r="I494" s="140"/>
      <c r="J494" s="140"/>
      <c r="K494" s="140"/>
      <c r="L494" s="140"/>
      <c r="M494" s="140"/>
      <c r="N494" s="140"/>
      <c r="O494" s="140"/>
      <c r="P494" s="140"/>
      <c r="Q494" s="140"/>
      <c r="R494" s="140"/>
      <c r="S494" s="140"/>
      <c r="T494" s="140" t="s">
        <v>427</v>
      </c>
      <c r="U494" s="161"/>
      <c r="V494" s="204"/>
      <c r="W494" s="204"/>
      <c r="X494" s="204"/>
      <c r="Y494" s="153"/>
      <c r="Z494" s="235">
        <f>1455000+118000-1455000</f>
        <v>118000</v>
      </c>
      <c r="AA494" s="210">
        <v>0</v>
      </c>
      <c r="AB494" s="210">
        <v>0</v>
      </c>
      <c r="AC494" s="561"/>
    </row>
    <row r="495" spans="1:29" ht="28.5" customHeight="1" x14ac:dyDescent="0.3">
      <c r="A495" s="1109" t="s">
        <v>786</v>
      </c>
      <c r="B495" s="1014" t="s">
        <v>16</v>
      </c>
      <c r="C495" s="1014" t="s">
        <v>124</v>
      </c>
      <c r="D495" s="1014" t="s">
        <v>132</v>
      </c>
      <c r="E495" s="1015" t="s">
        <v>567</v>
      </c>
      <c r="F495" s="1014"/>
      <c r="G495" s="1014"/>
      <c r="H495" s="1014"/>
      <c r="I495" s="1014"/>
      <c r="J495" s="1014"/>
      <c r="K495" s="1014"/>
      <c r="L495" s="1014"/>
      <c r="M495" s="1014"/>
      <c r="N495" s="1014"/>
      <c r="O495" s="1014"/>
      <c r="P495" s="1014"/>
      <c r="Q495" s="1014"/>
      <c r="R495" s="1014"/>
      <c r="S495" s="1014"/>
      <c r="T495" s="1014" t="s">
        <v>427</v>
      </c>
      <c r="U495" s="1067"/>
      <c r="V495" s="1068"/>
      <c r="W495" s="1068"/>
      <c r="X495" s="1068"/>
      <c r="Y495" s="224"/>
      <c r="Z495" s="1069">
        <f>176000+280860.43+288000+194583.11+58800-5000</f>
        <v>993243.53999999992</v>
      </c>
      <c r="AA495" s="210">
        <v>0</v>
      </c>
      <c r="AB495" s="210">
        <v>0</v>
      </c>
      <c r="AC495" s="211"/>
    </row>
    <row r="496" spans="1:29" ht="28.5" customHeight="1" x14ac:dyDescent="0.3">
      <c r="A496" s="1110" t="s">
        <v>788</v>
      </c>
      <c r="B496" s="1014" t="s">
        <v>16</v>
      </c>
      <c r="C496" s="1014" t="s">
        <v>124</v>
      </c>
      <c r="D496" s="1014" t="s">
        <v>132</v>
      </c>
      <c r="E496" s="1015" t="s">
        <v>567</v>
      </c>
      <c r="F496" s="1014"/>
      <c r="G496" s="1014"/>
      <c r="H496" s="1014"/>
      <c r="I496" s="1014"/>
      <c r="J496" s="1014"/>
      <c r="K496" s="1014"/>
      <c r="L496" s="1014"/>
      <c r="M496" s="1014"/>
      <c r="N496" s="1014"/>
      <c r="O496" s="1014"/>
      <c r="P496" s="1014"/>
      <c r="Q496" s="1014"/>
      <c r="R496" s="1014"/>
      <c r="S496" s="1014"/>
      <c r="T496" s="1014" t="s">
        <v>427</v>
      </c>
      <c r="U496" s="1067"/>
      <c r="V496" s="1068"/>
      <c r="W496" s="1068"/>
      <c r="X496" s="1068"/>
      <c r="Y496" s="224"/>
      <c r="Z496" s="1069">
        <f>178000+190000+58000-3560</f>
        <v>422440</v>
      </c>
      <c r="AA496" s="210">
        <v>0</v>
      </c>
      <c r="AB496" s="210">
        <v>0</v>
      </c>
      <c r="AC496" s="211"/>
    </row>
    <row r="497" spans="1:30" ht="209.25" customHeight="1" x14ac:dyDescent="0.3">
      <c r="A497" s="153" t="s">
        <v>1421</v>
      </c>
      <c r="B497" s="140" t="s">
        <v>16</v>
      </c>
      <c r="C497" s="140" t="s">
        <v>124</v>
      </c>
      <c r="D497" s="140" t="s">
        <v>132</v>
      </c>
      <c r="E497" s="230" t="s">
        <v>1036</v>
      </c>
      <c r="F497" s="140"/>
      <c r="G497" s="140"/>
      <c r="H497" s="140"/>
      <c r="I497" s="140"/>
      <c r="J497" s="140"/>
      <c r="K497" s="140"/>
      <c r="L497" s="140"/>
      <c r="M497" s="140"/>
      <c r="N497" s="140"/>
      <c r="O497" s="140"/>
      <c r="P497" s="140"/>
      <c r="Q497" s="140"/>
      <c r="R497" s="140"/>
      <c r="S497" s="140"/>
      <c r="T497" s="140"/>
      <c r="U497" s="161"/>
      <c r="V497" s="204"/>
      <c r="W497" s="204"/>
      <c r="X497" s="204"/>
      <c r="Y497" s="153"/>
      <c r="Z497" s="235">
        <f>Z498</f>
        <v>95000</v>
      </c>
      <c r="AA497" s="210">
        <v>0</v>
      </c>
      <c r="AB497" s="210">
        <v>0</v>
      </c>
      <c r="AC497" s="211"/>
    </row>
    <row r="498" spans="1:30" ht="37.5" customHeight="1" x14ac:dyDescent="0.3">
      <c r="A498" s="153" t="s">
        <v>770</v>
      </c>
      <c r="B498" s="140" t="s">
        <v>16</v>
      </c>
      <c r="C498" s="140" t="s">
        <v>124</v>
      </c>
      <c r="D498" s="140" t="s">
        <v>132</v>
      </c>
      <c r="E498" s="230" t="s">
        <v>1429</v>
      </c>
      <c r="F498" s="140"/>
      <c r="G498" s="140"/>
      <c r="H498" s="140"/>
      <c r="I498" s="140"/>
      <c r="J498" s="140"/>
      <c r="K498" s="140"/>
      <c r="L498" s="140"/>
      <c r="M498" s="140"/>
      <c r="N498" s="140"/>
      <c r="O498" s="140"/>
      <c r="P498" s="140"/>
      <c r="Q498" s="140"/>
      <c r="R498" s="140"/>
      <c r="S498" s="140"/>
      <c r="T498" s="140" t="s">
        <v>427</v>
      </c>
      <c r="U498" s="161"/>
      <c r="V498" s="204"/>
      <c r="W498" s="204"/>
      <c r="X498" s="204"/>
      <c r="Y498" s="153"/>
      <c r="Z498" s="235">
        <f>Z500+Z501</f>
        <v>95000</v>
      </c>
      <c r="AA498" s="210">
        <v>0</v>
      </c>
      <c r="AB498" s="210">
        <v>0</v>
      </c>
      <c r="AC498" s="211"/>
    </row>
    <row r="499" spans="1:30" ht="37.5" customHeight="1" x14ac:dyDescent="0.3">
      <c r="A499" s="153" t="s">
        <v>109</v>
      </c>
      <c r="B499" s="140"/>
      <c r="C499" s="140"/>
      <c r="D499" s="140"/>
      <c r="E499" s="230"/>
      <c r="F499" s="140"/>
      <c r="G499" s="140"/>
      <c r="H499" s="140"/>
      <c r="I499" s="140"/>
      <c r="J499" s="140"/>
      <c r="K499" s="140"/>
      <c r="L499" s="140"/>
      <c r="M499" s="140"/>
      <c r="N499" s="140"/>
      <c r="O499" s="140"/>
      <c r="P499" s="140"/>
      <c r="Q499" s="140"/>
      <c r="R499" s="140"/>
      <c r="S499" s="140"/>
      <c r="T499" s="140"/>
      <c r="U499" s="161"/>
      <c r="V499" s="204"/>
      <c r="W499" s="204"/>
      <c r="X499" s="204"/>
      <c r="Y499" s="153"/>
      <c r="Z499" s="235"/>
      <c r="AA499" s="210"/>
      <c r="AB499" s="210"/>
      <c r="AC499" s="211"/>
    </row>
    <row r="500" spans="1:30" ht="30" customHeight="1" x14ac:dyDescent="0.3">
      <c r="A500" s="900" t="s">
        <v>786</v>
      </c>
      <c r="B500" s="140" t="s">
        <v>16</v>
      </c>
      <c r="C500" s="140" t="s">
        <v>124</v>
      </c>
      <c r="D500" s="140" t="s">
        <v>132</v>
      </c>
      <c r="E500" s="230" t="s">
        <v>1429</v>
      </c>
      <c r="F500" s="140"/>
      <c r="G500" s="140"/>
      <c r="H500" s="140"/>
      <c r="I500" s="140"/>
      <c r="J500" s="140"/>
      <c r="K500" s="140"/>
      <c r="L500" s="140"/>
      <c r="M500" s="140"/>
      <c r="N500" s="140"/>
      <c r="O500" s="140"/>
      <c r="P500" s="140"/>
      <c r="Q500" s="140"/>
      <c r="R500" s="140"/>
      <c r="S500" s="140"/>
      <c r="T500" s="140" t="s">
        <v>427</v>
      </c>
      <c r="U500" s="161"/>
      <c r="V500" s="204"/>
      <c r="W500" s="204"/>
      <c r="X500" s="204"/>
      <c r="Y500" s="153"/>
      <c r="Z500" s="235">
        <v>95000</v>
      </c>
      <c r="AA500" s="210">
        <v>0</v>
      </c>
      <c r="AB500" s="210">
        <v>0</v>
      </c>
      <c r="AC500" s="211"/>
    </row>
    <row r="501" spans="1:30" ht="1.5" hidden="1" customHeight="1" x14ac:dyDescent="0.3">
      <c r="A501" s="666" t="s">
        <v>1474</v>
      </c>
      <c r="B501" s="140" t="s">
        <v>16</v>
      </c>
      <c r="C501" s="140" t="s">
        <v>124</v>
      </c>
      <c r="D501" s="140" t="s">
        <v>132</v>
      </c>
      <c r="E501" s="230" t="s">
        <v>1475</v>
      </c>
      <c r="F501" s="140"/>
      <c r="G501" s="140"/>
      <c r="H501" s="140"/>
      <c r="I501" s="140"/>
      <c r="J501" s="140"/>
      <c r="K501" s="140"/>
      <c r="L501" s="140"/>
      <c r="M501" s="140"/>
      <c r="N501" s="140"/>
      <c r="O501" s="140"/>
      <c r="P501" s="140"/>
      <c r="Q501" s="140"/>
      <c r="R501" s="140"/>
      <c r="S501" s="140"/>
      <c r="T501" s="140" t="s">
        <v>427</v>
      </c>
      <c r="U501" s="161"/>
      <c r="V501" s="204"/>
      <c r="W501" s="204"/>
      <c r="X501" s="204"/>
      <c r="Y501" s="153"/>
      <c r="Z501" s="235">
        <v>0</v>
      </c>
      <c r="AA501" s="210">
        <v>0</v>
      </c>
      <c r="AB501" s="210">
        <v>0</v>
      </c>
      <c r="AC501" s="211"/>
    </row>
    <row r="502" spans="1:30" ht="163.5" hidden="1" customHeight="1" x14ac:dyDescent="0.3">
      <c r="A502" s="19" t="s">
        <v>1398</v>
      </c>
      <c r="B502" s="790" t="s">
        <v>16</v>
      </c>
      <c r="C502" s="140" t="s">
        <v>124</v>
      </c>
      <c r="D502" s="140" t="s">
        <v>132</v>
      </c>
      <c r="E502" s="230" t="s">
        <v>1041</v>
      </c>
      <c r="F502" s="140"/>
      <c r="G502" s="140"/>
      <c r="H502" s="140"/>
      <c r="I502" s="140"/>
      <c r="J502" s="140"/>
      <c r="K502" s="140"/>
      <c r="L502" s="140"/>
      <c r="M502" s="140"/>
      <c r="N502" s="140"/>
      <c r="O502" s="140"/>
      <c r="P502" s="140"/>
      <c r="Q502" s="140"/>
      <c r="R502" s="140"/>
      <c r="S502" s="140"/>
      <c r="T502" s="140"/>
      <c r="U502" s="161"/>
      <c r="V502" s="204"/>
      <c r="W502" s="204"/>
      <c r="X502" s="204"/>
      <c r="Y502" s="153"/>
      <c r="Z502" s="235">
        <f>Z503</f>
        <v>0</v>
      </c>
      <c r="AA502" s="210">
        <v>0</v>
      </c>
      <c r="AB502" s="210">
        <v>0</v>
      </c>
      <c r="AC502" s="211"/>
    </row>
    <row r="503" spans="1:30" ht="38.25" hidden="1" customHeight="1" x14ac:dyDescent="0.3">
      <c r="A503" s="158" t="s">
        <v>770</v>
      </c>
      <c r="B503" s="140" t="s">
        <v>16</v>
      </c>
      <c r="C503" s="140" t="s">
        <v>124</v>
      </c>
      <c r="D503" s="140" t="s">
        <v>132</v>
      </c>
      <c r="E503" s="230" t="s">
        <v>1041</v>
      </c>
      <c r="F503" s="140"/>
      <c r="G503" s="140"/>
      <c r="H503" s="140"/>
      <c r="I503" s="140"/>
      <c r="J503" s="140"/>
      <c r="K503" s="140"/>
      <c r="L503" s="140"/>
      <c r="M503" s="140"/>
      <c r="N503" s="140"/>
      <c r="O503" s="140"/>
      <c r="P503" s="140"/>
      <c r="Q503" s="140"/>
      <c r="R503" s="140"/>
      <c r="S503" s="140"/>
      <c r="T503" s="140" t="s">
        <v>427</v>
      </c>
      <c r="U503" s="161"/>
      <c r="V503" s="204"/>
      <c r="W503" s="204"/>
      <c r="X503" s="204"/>
      <c r="Y503" s="153"/>
      <c r="Z503" s="235">
        <f>Z505</f>
        <v>0</v>
      </c>
      <c r="AA503" s="210">
        <v>0</v>
      </c>
      <c r="AB503" s="210">
        <v>0</v>
      </c>
      <c r="AC503" s="211"/>
    </row>
    <row r="504" spans="1:30" ht="38.25" hidden="1" customHeight="1" x14ac:dyDescent="0.3">
      <c r="A504" s="153" t="s">
        <v>109</v>
      </c>
      <c r="B504" s="140"/>
      <c r="C504" s="140"/>
      <c r="D504" s="140"/>
      <c r="E504" s="230"/>
      <c r="F504" s="140"/>
      <c r="G504" s="140"/>
      <c r="H504" s="140"/>
      <c r="I504" s="140"/>
      <c r="J504" s="140"/>
      <c r="K504" s="140"/>
      <c r="L504" s="140"/>
      <c r="M504" s="140"/>
      <c r="N504" s="140"/>
      <c r="O504" s="140"/>
      <c r="P504" s="140"/>
      <c r="Q504" s="140"/>
      <c r="R504" s="140"/>
      <c r="S504" s="140"/>
      <c r="T504" s="140"/>
      <c r="U504" s="161"/>
      <c r="V504" s="204"/>
      <c r="W504" s="204"/>
      <c r="X504" s="204"/>
      <c r="Y504" s="153"/>
      <c r="Z504" s="235"/>
      <c r="AA504" s="210"/>
      <c r="AB504" s="210"/>
      <c r="AC504" s="211"/>
    </row>
    <row r="505" spans="1:30" ht="30" hidden="1" customHeight="1" x14ac:dyDescent="0.3">
      <c r="A505" s="153" t="s">
        <v>788</v>
      </c>
      <c r="B505" s="140" t="s">
        <v>16</v>
      </c>
      <c r="C505" s="140" t="s">
        <v>124</v>
      </c>
      <c r="D505" s="140" t="s">
        <v>132</v>
      </c>
      <c r="E505" s="230" t="s">
        <v>1041</v>
      </c>
      <c r="F505" s="140"/>
      <c r="G505" s="140"/>
      <c r="H505" s="140"/>
      <c r="I505" s="140"/>
      <c r="J505" s="140"/>
      <c r="K505" s="140"/>
      <c r="L505" s="140"/>
      <c r="M505" s="140"/>
      <c r="N505" s="140"/>
      <c r="O505" s="140"/>
      <c r="P505" s="140"/>
      <c r="Q505" s="140"/>
      <c r="R505" s="140"/>
      <c r="S505" s="140"/>
      <c r="T505" s="140" t="s">
        <v>427</v>
      </c>
      <c r="U505" s="161"/>
      <c r="V505" s="204"/>
      <c r="W505" s="204"/>
      <c r="X505" s="204"/>
      <c r="Y505" s="153"/>
      <c r="Z505" s="235">
        <v>0</v>
      </c>
      <c r="AA505" s="210">
        <v>0</v>
      </c>
      <c r="AB505" s="210">
        <v>0</v>
      </c>
      <c r="AC505" s="211"/>
    </row>
    <row r="506" spans="1:30" ht="24.75" customHeight="1" x14ac:dyDescent="0.3">
      <c r="A506" s="252" t="s">
        <v>152</v>
      </c>
      <c r="B506" s="140" t="s">
        <v>16</v>
      </c>
      <c r="C506" s="140" t="s">
        <v>124</v>
      </c>
      <c r="D506" s="140" t="s">
        <v>123</v>
      </c>
      <c r="E506" s="230"/>
      <c r="F506" s="140"/>
      <c r="G506" s="140"/>
      <c r="H506" s="140"/>
      <c r="I506" s="140"/>
      <c r="J506" s="140"/>
      <c r="K506" s="140"/>
      <c r="L506" s="140"/>
      <c r="M506" s="140"/>
      <c r="N506" s="140"/>
      <c r="O506" s="140"/>
      <c r="P506" s="140"/>
      <c r="Q506" s="140"/>
      <c r="R506" s="140"/>
      <c r="S506" s="140"/>
      <c r="T506" s="140"/>
      <c r="U506" s="161"/>
      <c r="V506" s="204"/>
      <c r="W506" s="204"/>
      <c r="X506" s="204"/>
      <c r="Y506" s="153"/>
      <c r="Z506" s="235">
        <f>Z552+Z536+Z519+Z507+Z540+Z548+Z561</f>
        <v>7600559.7400000002</v>
      </c>
      <c r="AA506" s="210">
        <v>0</v>
      </c>
      <c r="AB506" s="210">
        <v>0</v>
      </c>
      <c r="AC506" s="211"/>
    </row>
    <row r="507" spans="1:30" ht="210.75" customHeight="1" x14ac:dyDescent="0.3">
      <c r="A507" s="152" t="s">
        <v>1491</v>
      </c>
      <c r="B507" s="140" t="s">
        <v>16</v>
      </c>
      <c r="C507" s="140" t="s">
        <v>124</v>
      </c>
      <c r="D507" s="140" t="s">
        <v>123</v>
      </c>
      <c r="E507" s="230" t="s">
        <v>568</v>
      </c>
      <c r="F507" s="140"/>
      <c r="G507" s="140"/>
      <c r="H507" s="140"/>
      <c r="I507" s="140"/>
      <c r="J507" s="140"/>
      <c r="K507" s="140"/>
      <c r="L507" s="140"/>
      <c r="M507" s="140"/>
      <c r="N507" s="140"/>
      <c r="O507" s="140"/>
      <c r="P507" s="140"/>
      <c r="Q507" s="140"/>
      <c r="R507" s="140"/>
      <c r="S507" s="140"/>
      <c r="T507" s="140"/>
      <c r="U507" s="161"/>
      <c r="V507" s="204"/>
      <c r="W507" s="204"/>
      <c r="X507" s="204"/>
      <c r="Y507" s="153"/>
      <c r="Z507" s="235">
        <f>Z508</f>
        <v>715905</v>
      </c>
      <c r="AA507" s="210">
        <v>0</v>
      </c>
      <c r="AB507" s="210">
        <v>0</v>
      </c>
      <c r="AC507" s="211"/>
    </row>
    <row r="508" spans="1:30" ht="31.5" customHeight="1" x14ac:dyDescent="0.3">
      <c r="A508" s="153" t="s">
        <v>770</v>
      </c>
      <c r="B508" s="140" t="s">
        <v>16</v>
      </c>
      <c r="C508" s="140" t="s">
        <v>124</v>
      </c>
      <c r="D508" s="140" t="s">
        <v>123</v>
      </c>
      <c r="E508" s="230" t="s">
        <v>568</v>
      </c>
      <c r="F508" s="140"/>
      <c r="G508" s="140"/>
      <c r="H508" s="140"/>
      <c r="I508" s="140"/>
      <c r="J508" s="140"/>
      <c r="K508" s="140"/>
      <c r="L508" s="140"/>
      <c r="M508" s="140"/>
      <c r="N508" s="140"/>
      <c r="O508" s="140"/>
      <c r="P508" s="140"/>
      <c r="Q508" s="140"/>
      <c r="R508" s="140"/>
      <c r="S508" s="140"/>
      <c r="T508" s="140" t="s">
        <v>427</v>
      </c>
      <c r="U508" s="161"/>
      <c r="V508" s="204"/>
      <c r="W508" s="204"/>
      <c r="X508" s="204"/>
      <c r="Y508" s="153"/>
      <c r="Z508" s="235">
        <f>Z510+Z511+Z512+Z513+Z514+Z515+Z516+Z517+Z518</f>
        <v>715905</v>
      </c>
      <c r="AA508" s="210">
        <v>0</v>
      </c>
      <c r="AB508" s="210">
        <v>0</v>
      </c>
      <c r="AC508" s="211"/>
      <c r="AD508" s="127"/>
    </row>
    <row r="509" spans="1:30" ht="37.5" customHeight="1" x14ac:dyDescent="0.3">
      <c r="A509" s="153" t="s">
        <v>109</v>
      </c>
      <c r="B509" s="140"/>
      <c r="C509" s="140"/>
      <c r="D509" s="140"/>
      <c r="E509" s="230"/>
      <c r="F509" s="140"/>
      <c r="G509" s="140"/>
      <c r="H509" s="140"/>
      <c r="I509" s="140"/>
      <c r="J509" s="140"/>
      <c r="K509" s="140"/>
      <c r="L509" s="140"/>
      <c r="M509" s="140"/>
      <c r="N509" s="140"/>
      <c r="O509" s="140"/>
      <c r="P509" s="140"/>
      <c r="Q509" s="140"/>
      <c r="R509" s="140"/>
      <c r="S509" s="140"/>
      <c r="T509" s="140"/>
      <c r="U509" s="161"/>
      <c r="V509" s="204"/>
      <c r="W509" s="204"/>
      <c r="X509" s="204"/>
      <c r="Y509" s="153"/>
      <c r="Z509" s="235"/>
      <c r="AA509" s="210"/>
      <c r="AB509" s="210"/>
      <c r="AC509" s="211"/>
      <c r="AD509" s="127"/>
    </row>
    <row r="510" spans="1:30" ht="24" customHeight="1" x14ac:dyDescent="0.3">
      <c r="A510" s="900" t="s">
        <v>771</v>
      </c>
      <c r="B510" s="140" t="s">
        <v>16</v>
      </c>
      <c r="C510" s="140" t="s">
        <v>124</v>
      </c>
      <c r="D510" s="140" t="s">
        <v>123</v>
      </c>
      <c r="E510" s="230" t="s">
        <v>568</v>
      </c>
      <c r="F510" s="140"/>
      <c r="G510" s="140"/>
      <c r="H510" s="140"/>
      <c r="I510" s="140"/>
      <c r="J510" s="140"/>
      <c r="K510" s="140"/>
      <c r="L510" s="140"/>
      <c r="M510" s="140"/>
      <c r="N510" s="140"/>
      <c r="O510" s="140"/>
      <c r="P510" s="140"/>
      <c r="Q510" s="140"/>
      <c r="R510" s="140"/>
      <c r="S510" s="140"/>
      <c r="T510" s="140" t="s">
        <v>427</v>
      </c>
      <c r="U510" s="161"/>
      <c r="V510" s="204"/>
      <c r="W510" s="204"/>
      <c r="X510" s="204"/>
      <c r="Y510" s="153"/>
      <c r="Z510" s="235">
        <f>80000+80000</f>
        <v>160000</v>
      </c>
      <c r="AA510" s="210">
        <v>0</v>
      </c>
      <c r="AB510" s="210">
        <v>0</v>
      </c>
      <c r="AC510" s="211"/>
    </row>
    <row r="511" spans="1:30" ht="31.5" customHeight="1" x14ac:dyDescent="0.3">
      <c r="A511" s="900" t="s">
        <v>782</v>
      </c>
      <c r="B511" s="140" t="s">
        <v>16</v>
      </c>
      <c r="C511" s="140" t="s">
        <v>124</v>
      </c>
      <c r="D511" s="140" t="s">
        <v>123</v>
      </c>
      <c r="E511" s="230" t="s">
        <v>568</v>
      </c>
      <c r="F511" s="140"/>
      <c r="G511" s="140"/>
      <c r="H511" s="140"/>
      <c r="I511" s="140"/>
      <c r="J511" s="140"/>
      <c r="K511" s="140"/>
      <c r="L511" s="140"/>
      <c r="M511" s="140"/>
      <c r="N511" s="140"/>
      <c r="O511" s="140"/>
      <c r="P511" s="140"/>
      <c r="Q511" s="140"/>
      <c r="R511" s="140"/>
      <c r="S511" s="140"/>
      <c r="T511" s="140" t="s">
        <v>427</v>
      </c>
      <c r="U511" s="161"/>
      <c r="V511" s="204"/>
      <c r="W511" s="204"/>
      <c r="X511" s="204"/>
      <c r="Y511" s="153"/>
      <c r="Z511" s="235">
        <f>80000+70000</f>
        <v>150000</v>
      </c>
      <c r="AA511" s="210">
        <v>0</v>
      </c>
      <c r="AB511" s="210">
        <v>0</v>
      </c>
      <c r="AC511" s="211"/>
    </row>
    <row r="512" spans="1:30" ht="30" customHeight="1" x14ac:dyDescent="0.3">
      <c r="A512" s="898" t="s">
        <v>783</v>
      </c>
      <c r="B512" s="803" t="s">
        <v>16</v>
      </c>
      <c r="C512" s="803" t="s">
        <v>124</v>
      </c>
      <c r="D512" s="803" t="s">
        <v>123</v>
      </c>
      <c r="E512" s="804" t="s">
        <v>568</v>
      </c>
      <c r="F512" s="803"/>
      <c r="G512" s="803"/>
      <c r="H512" s="803"/>
      <c r="I512" s="803"/>
      <c r="J512" s="803"/>
      <c r="K512" s="803"/>
      <c r="L512" s="803"/>
      <c r="M512" s="803"/>
      <c r="N512" s="803"/>
      <c r="O512" s="803"/>
      <c r="P512" s="803"/>
      <c r="Q512" s="803"/>
      <c r="R512" s="803"/>
      <c r="S512" s="803"/>
      <c r="T512" s="803" t="s">
        <v>427</v>
      </c>
      <c r="U512" s="805"/>
      <c r="V512" s="806"/>
      <c r="W512" s="806"/>
      <c r="X512" s="806"/>
      <c r="Y512" s="807"/>
      <c r="Z512" s="808">
        <f>50000+46000</f>
        <v>96000</v>
      </c>
      <c r="AA512" s="210">
        <v>0</v>
      </c>
      <c r="AB512" s="210">
        <v>0</v>
      </c>
      <c r="AC512" s="211"/>
    </row>
    <row r="513" spans="1:29" ht="29.25" customHeight="1" x14ac:dyDescent="0.3">
      <c r="A513" s="898" t="s">
        <v>784</v>
      </c>
      <c r="B513" s="803" t="s">
        <v>16</v>
      </c>
      <c r="C513" s="803" t="s">
        <v>124</v>
      </c>
      <c r="D513" s="803" t="s">
        <v>123</v>
      </c>
      <c r="E513" s="804" t="s">
        <v>568</v>
      </c>
      <c r="F513" s="803"/>
      <c r="G513" s="803"/>
      <c r="H513" s="803"/>
      <c r="I513" s="803"/>
      <c r="J513" s="803"/>
      <c r="K513" s="803"/>
      <c r="L513" s="803"/>
      <c r="M513" s="803"/>
      <c r="N513" s="803"/>
      <c r="O513" s="803"/>
      <c r="P513" s="803"/>
      <c r="Q513" s="803"/>
      <c r="R513" s="803"/>
      <c r="S513" s="803"/>
      <c r="T513" s="803" t="s">
        <v>427</v>
      </c>
      <c r="U513" s="805"/>
      <c r="V513" s="806"/>
      <c r="W513" s="806"/>
      <c r="X513" s="806"/>
      <c r="Y513" s="807"/>
      <c r="Z513" s="808">
        <f>30000+20000</f>
        <v>50000</v>
      </c>
      <c r="AA513" s="210">
        <v>0</v>
      </c>
      <c r="AB513" s="210">
        <v>0</v>
      </c>
      <c r="AC513" s="211"/>
    </row>
    <row r="514" spans="1:29" ht="29.25" customHeight="1" x14ac:dyDescent="0.3">
      <c r="A514" s="898" t="s">
        <v>785</v>
      </c>
      <c r="B514" s="803" t="s">
        <v>16</v>
      </c>
      <c r="C514" s="803" t="s">
        <v>124</v>
      </c>
      <c r="D514" s="803" t="s">
        <v>123</v>
      </c>
      <c r="E514" s="804" t="s">
        <v>568</v>
      </c>
      <c r="F514" s="803"/>
      <c r="G514" s="803"/>
      <c r="H514" s="803"/>
      <c r="I514" s="803"/>
      <c r="J514" s="803"/>
      <c r="K514" s="803"/>
      <c r="L514" s="803"/>
      <c r="M514" s="803"/>
      <c r="N514" s="803"/>
      <c r="O514" s="803"/>
      <c r="P514" s="803"/>
      <c r="Q514" s="803"/>
      <c r="R514" s="803"/>
      <c r="S514" s="803"/>
      <c r="T514" s="803" t="s">
        <v>427</v>
      </c>
      <c r="U514" s="805"/>
      <c r="V514" s="806"/>
      <c r="W514" s="806"/>
      <c r="X514" s="806"/>
      <c r="Y514" s="807"/>
      <c r="Z514" s="808">
        <f>40000+25000</f>
        <v>65000</v>
      </c>
      <c r="AA514" s="210">
        <v>0</v>
      </c>
      <c r="AB514" s="210">
        <v>0</v>
      </c>
      <c r="AC514" s="211"/>
    </row>
    <row r="515" spans="1:29" ht="30" customHeight="1" x14ac:dyDescent="0.3">
      <c r="A515" s="898" t="s">
        <v>786</v>
      </c>
      <c r="B515" s="803" t="s">
        <v>16</v>
      </c>
      <c r="C515" s="803" t="s">
        <v>124</v>
      </c>
      <c r="D515" s="803" t="s">
        <v>123</v>
      </c>
      <c r="E515" s="804" t="s">
        <v>568</v>
      </c>
      <c r="F515" s="803"/>
      <c r="G515" s="803"/>
      <c r="H515" s="803"/>
      <c r="I515" s="803"/>
      <c r="J515" s="803"/>
      <c r="K515" s="803"/>
      <c r="L515" s="803"/>
      <c r="M515" s="803"/>
      <c r="N515" s="803"/>
      <c r="O515" s="803"/>
      <c r="P515" s="803"/>
      <c r="Q515" s="803"/>
      <c r="R515" s="803"/>
      <c r="S515" s="803"/>
      <c r="T515" s="803" t="s">
        <v>427</v>
      </c>
      <c r="U515" s="805"/>
      <c r="V515" s="806"/>
      <c r="W515" s="806"/>
      <c r="X515" s="806"/>
      <c r="Y515" s="807"/>
      <c r="Z515" s="808">
        <f>40000+25000</f>
        <v>65000</v>
      </c>
      <c r="AA515" s="210">
        <v>0</v>
      </c>
      <c r="AB515" s="210">
        <v>0</v>
      </c>
      <c r="AC515" s="211"/>
    </row>
    <row r="516" spans="1:29" ht="31.5" customHeight="1" x14ac:dyDescent="0.3">
      <c r="A516" s="898" t="s">
        <v>787</v>
      </c>
      <c r="B516" s="803" t="s">
        <v>16</v>
      </c>
      <c r="C516" s="803" t="s">
        <v>124</v>
      </c>
      <c r="D516" s="803" t="s">
        <v>123</v>
      </c>
      <c r="E516" s="804" t="s">
        <v>568</v>
      </c>
      <c r="F516" s="803"/>
      <c r="G516" s="803"/>
      <c r="H516" s="803"/>
      <c r="I516" s="803"/>
      <c r="J516" s="803"/>
      <c r="K516" s="803"/>
      <c r="L516" s="803"/>
      <c r="M516" s="803"/>
      <c r="N516" s="803"/>
      <c r="O516" s="803"/>
      <c r="P516" s="803"/>
      <c r="Q516" s="803"/>
      <c r="R516" s="803"/>
      <c r="S516" s="803"/>
      <c r="T516" s="803" t="s">
        <v>427</v>
      </c>
      <c r="U516" s="805"/>
      <c r="V516" s="806"/>
      <c r="W516" s="806"/>
      <c r="X516" s="806"/>
      <c r="Y516" s="807"/>
      <c r="Z516" s="808">
        <f>40000+25000</f>
        <v>65000</v>
      </c>
      <c r="AA516" s="210">
        <v>0</v>
      </c>
      <c r="AB516" s="210">
        <v>0</v>
      </c>
      <c r="AC516" s="211"/>
    </row>
    <row r="517" spans="1:29" ht="29.25" customHeight="1" x14ac:dyDescent="0.3">
      <c r="A517" s="1066" t="s">
        <v>788</v>
      </c>
      <c r="B517" s="1114" t="s">
        <v>16</v>
      </c>
      <c r="C517" s="1114" t="s">
        <v>124</v>
      </c>
      <c r="D517" s="1114" t="s">
        <v>123</v>
      </c>
      <c r="E517" s="1115" t="s">
        <v>568</v>
      </c>
      <c r="F517" s="1114"/>
      <c r="G517" s="1114"/>
      <c r="H517" s="1114"/>
      <c r="I517" s="1114"/>
      <c r="J517" s="1114"/>
      <c r="K517" s="1114"/>
      <c r="L517" s="1114"/>
      <c r="M517" s="1114"/>
      <c r="N517" s="1114"/>
      <c r="O517" s="1114"/>
      <c r="P517" s="1114"/>
      <c r="Q517" s="1114"/>
      <c r="R517" s="1114"/>
      <c r="S517" s="1114"/>
      <c r="T517" s="1114" t="s">
        <v>427</v>
      </c>
      <c r="U517" s="1116"/>
      <c r="V517" s="1117"/>
      <c r="W517" s="1117"/>
      <c r="X517" s="1117"/>
      <c r="Y517" s="1118"/>
      <c r="Z517" s="1119">
        <f>40000+25000-95</f>
        <v>64905</v>
      </c>
      <c r="AA517" s="210">
        <v>0</v>
      </c>
      <c r="AB517" s="210">
        <v>0</v>
      </c>
      <c r="AC517" s="211"/>
    </row>
    <row r="518" spans="1:29" ht="27" hidden="1" customHeight="1" x14ac:dyDescent="0.3">
      <c r="A518" s="265" t="s">
        <v>789</v>
      </c>
      <c r="B518" s="140" t="s">
        <v>16</v>
      </c>
      <c r="C518" s="140" t="s">
        <v>124</v>
      </c>
      <c r="D518" s="140" t="s">
        <v>123</v>
      </c>
      <c r="E518" s="230" t="s">
        <v>568</v>
      </c>
      <c r="F518" s="140"/>
      <c r="G518" s="140"/>
      <c r="H518" s="140"/>
      <c r="I518" s="140"/>
      <c r="J518" s="140"/>
      <c r="K518" s="140"/>
      <c r="L518" s="140"/>
      <c r="M518" s="140"/>
      <c r="N518" s="140"/>
      <c r="O518" s="140"/>
      <c r="P518" s="140"/>
      <c r="Q518" s="140"/>
      <c r="R518" s="140"/>
      <c r="S518" s="140"/>
      <c r="T518" s="140" t="s">
        <v>427</v>
      </c>
      <c r="U518" s="161"/>
      <c r="V518" s="204"/>
      <c r="W518" s="204"/>
      <c r="X518" s="204"/>
      <c r="Y518" s="153"/>
      <c r="Z518" s="235">
        <f>279864-279864</f>
        <v>0</v>
      </c>
      <c r="AA518" s="210">
        <v>0</v>
      </c>
      <c r="AB518" s="210">
        <v>0</v>
      </c>
      <c r="AC518" s="211"/>
    </row>
    <row r="519" spans="1:29" ht="95.25" customHeight="1" x14ac:dyDescent="0.3">
      <c r="A519" s="153" t="s">
        <v>1244</v>
      </c>
      <c r="B519" s="140" t="s">
        <v>16</v>
      </c>
      <c r="C519" s="140" t="s">
        <v>124</v>
      </c>
      <c r="D519" s="140" t="s">
        <v>123</v>
      </c>
      <c r="E519" s="230"/>
      <c r="F519" s="140"/>
      <c r="G519" s="140"/>
      <c r="H519" s="140"/>
      <c r="I519" s="140"/>
      <c r="J519" s="140"/>
      <c r="K519" s="140"/>
      <c r="L519" s="140"/>
      <c r="M519" s="140"/>
      <c r="N519" s="140"/>
      <c r="O519" s="140"/>
      <c r="P519" s="140"/>
      <c r="Q519" s="140"/>
      <c r="R519" s="140"/>
      <c r="S519" s="140"/>
      <c r="T519" s="140"/>
      <c r="U519" s="161"/>
      <c r="V519" s="204"/>
      <c r="W519" s="204"/>
      <c r="X519" s="204"/>
      <c r="Y519" s="153"/>
      <c r="Z519" s="235">
        <f>Z522+Z523+Z524+Z525+Z526+Z527+Z528+Z529+Z530</f>
        <v>1449150.75</v>
      </c>
      <c r="AA519" s="210">
        <v>0</v>
      </c>
      <c r="AB519" s="210">
        <v>0</v>
      </c>
      <c r="AC519" s="211"/>
    </row>
    <row r="520" spans="1:29" ht="33" customHeight="1" x14ac:dyDescent="0.3">
      <c r="A520" s="153" t="s">
        <v>770</v>
      </c>
      <c r="B520" s="140" t="s">
        <v>16</v>
      </c>
      <c r="C520" s="140" t="s">
        <v>124</v>
      </c>
      <c r="D520" s="140" t="s">
        <v>123</v>
      </c>
      <c r="E520" s="230"/>
      <c r="F520" s="140"/>
      <c r="G520" s="140"/>
      <c r="H520" s="140"/>
      <c r="I520" s="140"/>
      <c r="J520" s="140"/>
      <c r="K520" s="140"/>
      <c r="L520" s="140"/>
      <c r="M520" s="140"/>
      <c r="N520" s="140"/>
      <c r="O520" s="140"/>
      <c r="P520" s="140"/>
      <c r="Q520" s="140"/>
      <c r="R520" s="140"/>
      <c r="S520" s="140"/>
      <c r="T520" s="140"/>
      <c r="U520" s="161"/>
      <c r="V520" s="204"/>
      <c r="W520" s="204"/>
      <c r="X520" s="204"/>
      <c r="Y520" s="153"/>
      <c r="Z520" s="235">
        <f>Z522+Z523+Z524+Z525+Z526+Z527+Z528+Z529+Z530</f>
        <v>1449150.75</v>
      </c>
      <c r="AA520" s="210">
        <v>0</v>
      </c>
      <c r="AB520" s="210">
        <v>0</v>
      </c>
      <c r="AC520" s="211"/>
    </row>
    <row r="521" spans="1:29" ht="26.25" customHeight="1" x14ac:dyDescent="0.3">
      <c r="A521" s="153" t="s">
        <v>109</v>
      </c>
      <c r="B521" s="140"/>
      <c r="C521" s="140"/>
      <c r="D521" s="140"/>
      <c r="E521" s="230"/>
      <c r="F521" s="140"/>
      <c r="G521" s="140"/>
      <c r="H521" s="140"/>
      <c r="I521" s="140"/>
      <c r="J521" s="140"/>
      <c r="K521" s="140"/>
      <c r="L521" s="140"/>
      <c r="M521" s="140"/>
      <c r="N521" s="140"/>
      <c r="O521" s="140"/>
      <c r="P521" s="140"/>
      <c r="Q521" s="140"/>
      <c r="R521" s="140"/>
      <c r="S521" s="140"/>
      <c r="T521" s="140"/>
      <c r="U521" s="161"/>
      <c r="V521" s="204"/>
      <c r="W521" s="204"/>
      <c r="X521" s="204"/>
      <c r="Y521" s="153"/>
      <c r="Z521" s="235"/>
      <c r="AA521" s="210"/>
      <c r="AB521" s="210"/>
      <c r="AC521" s="211"/>
    </row>
    <row r="522" spans="1:29" ht="29.25" customHeight="1" x14ac:dyDescent="0.3">
      <c r="A522" s="1109" t="s">
        <v>771</v>
      </c>
      <c r="B522" s="1014" t="s">
        <v>16</v>
      </c>
      <c r="C522" s="1014" t="s">
        <v>124</v>
      </c>
      <c r="D522" s="1014" t="s">
        <v>123</v>
      </c>
      <c r="E522" s="1015" t="s">
        <v>569</v>
      </c>
      <c r="F522" s="1014"/>
      <c r="G522" s="1014"/>
      <c r="H522" s="1014"/>
      <c r="I522" s="1014"/>
      <c r="J522" s="1014"/>
      <c r="K522" s="1014"/>
      <c r="L522" s="1014"/>
      <c r="M522" s="1014"/>
      <c r="N522" s="1014"/>
      <c r="O522" s="1014"/>
      <c r="P522" s="1014"/>
      <c r="Q522" s="1014"/>
      <c r="R522" s="1014"/>
      <c r="S522" s="1014"/>
      <c r="T522" s="1014" t="s">
        <v>427</v>
      </c>
      <c r="U522" s="1067"/>
      <c r="V522" s="1068"/>
      <c r="W522" s="1068"/>
      <c r="X522" s="1068"/>
      <c r="Y522" s="224"/>
      <c r="Z522" s="1069">
        <f>160000+200000-847.94</f>
        <v>359152.06</v>
      </c>
      <c r="AA522" s="210">
        <v>0</v>
      </c>
      <c r="AB522" s="210">
        <v>0</v>
      </c>
      <c r="AC522" s="211"/>
    </row>
    <row r="523" spans="1:29" ht="38.25" customHeight="1" x14ac:dyDescent="0.3">
      <c r="A523" s="900" t="s">
        <v>782</v>
      </c>
      <c r="B523" s="140" t="s">
        <v>16</v>
      </c>
      <c r="C523" s="140" t="s">
        <v>124</v>
      </c>
      <c r="D523" s="140" t="s">
        <v>123</v>
      </c>
      <c r="E523" s="230" t="s">
        <v>569</v>
      </c>
      <c r="F523" s="140"/>
      <c r="G523" s="140"/>
      <c r="H523" s="140"/>
      <c r="I523" s="140"/>
      <c r="J523" s="140"/>
      <c r="K523" s="140"/>
      <c r="L523" s="140"/>
      <c r="M523" s="140"/>
      <c r="N523" s="140"/>
      <c r="O523" s="140"/>
      <c r="P523" s="140"/>
      <c r="Q523" s="140"/>
      <c r="R523" s="140"/>
      <c r="S523" s="140"/>
      <c r="T523" s="140" t="s">
        <v>427</v>
      </c>
      <c r="U523" s="161"/>
      <c r="V523" s="204"/>
      <c r="W523" s="204"/>
      <c r="X523" s="204"/>
      <c r="Y523" s="153"/>
      <c r="Z523" s="235">
        <v>120000</v>
      </c>
      <c r="AA523" s="210">
        <v>0</v>
      </c>
      <c r="AB523" s="210">
        <v>0</v>
      </c>
      <c r="AC523" s="211"/>
    </row>
    <row r="524" spans="1:29" ht="30" customHeight="1" x14ac:dyDescent="0.3">
      <c r="A524" s="898" t="s">
        <v>783</v>
      </c>
      <c r="B524" s="803" t="s">
        <v>16</v>
      </c>
      <c r="C524" s="803" t="s">
        <v>124</v>
      </c>
      <c r="D524" s="803" t="s">
        <v>123</v>
      </c>
      <c r="E524" s="804" t="s">
        <v>569</v>
      </c>
      <c r="F524" s="803"/>
      <c r="G524" s="803"/>
      <c r="H524" s="803"/>
      <c r="I524" s="803"/>
      <c r="J524" s="803"/>
      <c r="K524" s="803"/>
      <c r="L524" s="803"/>
      <c r="M524" s="803"/>
      <c r="N524" s="803"/>
      <c r="O524" s="803"/>
      <c r="P524" s="803"/>
      <c r="Q524" s="803"/>
      <c r="R524" s="803"/>
      <c r="S524" s="803"/>
      <c r="T524" s="803" t="s">
        <v>427</v>
      </c>
      <c r="U524" s="805"/>
      <c r="V524" s="806"/>
      <c r="W524" s="806"/>
      <c r="X524" s="806"/>
      <c r="Y524" s="807"/>
      <c r="Z524" s="808">
        <v>50000</v>
      </c>
      <c r="AA524" s="210">
        <v>0</v>
      </c>
      <c r="AB524" s="210">
        <v>0</v>
      </c>
      <c r="AC524" s="211"/>
    </row>
    <row r="525" spans="1:29" ht="28.5" customHeight="1" x14ac:dyDescent="0.3">
      <c r="A525" s="898" t="s">
        <v>784</v>
      </c>
      <c r="B525" s="803" t="s">
        <v>16</v>
      </c>
      <c r="C525" s="803" t="s">
        <v>124</v>
      </c>
      <c r="D525" s="803" t="s">
        <v>123</v>
      </c>
      <c r="E525" s="804" t="s">
        <v>569</v>
      </c>
      <c r="F525" s="803"/>
      <c r="G525" s="803"/>
      <c r="H525" s="803"/>
      <c r="I525" s="803"/>
      <c r="J525" s="803"/>
      <c r="K525" s="803"/>
      <c r="L525" s="803"/>
      <c r="M525" s="803"/>
      <c r="N525" s="803"/>
      <c r="O525" s="803"/>
      <c r="P525" s="803"/>
      <c r="Q525" s="803"/>
      <c r="R525" s="803"/>
      <c r="S525" s="803"/>
      <c r="T525" s="803" t="s">
        <v>427</v>
      </c>
      <c r="U525" s="805"/>
      <c r="V525" s="806"/>
      <c r="W525" s="806"/>
      <c r="X525" s="806"/>
      <c r="Y525" s="807"/>
      <c r="Z525" s="808">
        <v>50000</v>
      </c>
      <c r="AA525" s="210">
        <v>0</v>
      </c>
      <c r="AB525" s="210">
        <v>0</v>
      </c>
      <c r="AC525" s="211"/>
    </row>
    <row r="526" spans="1:29" ht="36" customHeight="1" x14ac:dyDescent="0.3">
      <c r="A526" s="898" t="s">
        <v>785</v>
      </c>
      <c r="B526" s="803" t="s">
        <v>16</v>
      </c>
      <c r="C526" s="803" t="s">
        <v>124</v>
      </c>
      <c r="D526" s="803" t="s">
        <v>123</v>
      </c>
      <c r="E526" s="804" t="s">
        <v>569</v>
      </c>
      <c r="F526" s="803"/>
      <c r="G526" s="803"/>
      <c r="H526" s="803"/>
      <c r="I526" s="803"/>
      <c r="J526" s="803"/>
      <c r="K526" s="803"/>
      <c r="L526" s="803"/>
      <c r="M526" s="803"/>
      <c r="N526" s="803"/>
      <c r="O526" s="803"/>
      <c r="P526" s="803"/>
      <c r="Q526" s="803"/>
      <c r="R526" s="803"/>
      <c r="S526" s="803"/>
      <c r="T526" s="803" t="s">
        <v>427</v>
      </c>
      <c r="U526" s="805"/>
      <c r="V526" s="806"/>
      <c r="W526" s="806"/>
      <c r="X526" s="806"/>
      <c r="Y526" s="807"/>
      <c r="Z526" s="808">
        <v>70000</v>
      </c>
      <c r="AA526" s="210">
        <v>0</v>
      </c>
      <c r="AB526" s="210">
        <v>0</v>
      </c>
      <c r="AC526" s="211"/>
    </row>
    <row r="527" spans="1:29" ht="30.75" customHeight="1" x14ac:dyDescent="0.3">
      <c r="A527" s="898" t="s">
        <v>786</v>
      </c>
      <c r="B527" s="803" t="s">
        <v>16</v>
      </c>
      <c r="C527" s="803" t="s">
        <v>124</v>
      </c>
      <c r="D527" s="803" t="s">
        <v>123</v>
      </c>
      <c r="E527" s="804" t="s">
        <v>569</v>
      </c>
      <c r="F527" s="803"/>
      <c r="G527" s="803"/>
      <c r="H527" s="803"/>
      <c r="I527" s="803"/>
      <c r="J527" s="803"/>
      <c r="K527" s="803"/>
      <c r="L527" s="803"/>
      <c r="M527" s="803"/>
      <c r="N527" s="803"/>
      <c r="O527" s="803"/>
      <c r="P527" s="803"/>
      <c r="Q527" s="803"/>
      <c r="R527" s="803"/>
      <c r="S527" s="803"/>
      <c r="T527" s="803" t="s">
        <v>427</v>
      </c>
      <c r="U527" s="805"/>
      <c r="V527" s="806"/>
      <c r="W527" s="806"/>
      <c r="X527" s="806"/>
      <c r="Y527" s="807"/>
      <c r="Z527" s="808">
        <v>100000</v>
      </c>
      <c r="AA527" s="210">
        <v>0</v>
      </c>
      <c r="AB527" s="210">
        <v>0</v>
      </c>
      <c r="AC527" s="211"/>
    </row>
    <row r="528" spans="1:29" ht="36" customHeight="1" x14ac:dyDescent="0.3">
      <c r="A528" s="898" t="s">
        <v>787</v>
      </c>
      <c r="B528" s="803" t="s">
        <v>16</v>
      </c>
      <c r="C528" s="803" t="s">
        <v>124</v>
      </c>
      <c r="D528" s="803" t="s">
        <v>123</v>
      </c>
      <c r="E528" s="804" t="s">
        <v>569</v>
      </c>
      <c r="F528" s="803"/>
      <c r="G528" s="803"/>
      <c r="H528" s="803"/>
      <c r="I528" s="803"/>
      <c r="J528" s="803"/>
      <c r="K528" s="803"/>
      <c r="L528" s="803"/>
      <c r="M528" s="803"/>
      <c r="N528" s="803"/>
      <c r="O528" s="803"/>
      <c r="P528" s="803"/>
      <c r="Q528" s="803"/>
      <c r="R528" s="803"/>
      <c r="S528" s="803"/>
      <c r="T528" s="803" t="s">
        <v>427</v>
      </c>
      <c r="U528" s="805"/>
      <c r="V528" s="806"/>
      <c r="W528" s="806"/>
      <c r="X528" s="806"/>
      <c r="Y528" s="807"/>
      <c r="Z528" s="808">
        <v>80000</v>
      </c>
      <c r="AA528" s="210">
        <v>0</v>
      </c>
      <c r="AB528" s="210">
        <v>0</v>
      </c>
      <c r="AC528" s="211"/>
    </row>
    <row r="529" spans="1:29" ht="36.75" customHeight="1" x14ac:dyDescent="0.3">
      <c r="A529" s="1066" t="s">
        <v>788</v>
      </c>
      <c r="B529" s="1114" t="s">
        <v>16</v>
      </c>
      <c r="C529" s="1114" t="s">
        <v>124</v>
      </c>
      <c r="D529" s="1114" t="s">
        <v>123</v>
      </c>
      <c r="E529" s="1115" t="s">
        <v>569</v>
      </c>
      <c r="F529" s="1114"/>
      <c r="G529" s="1114"/>
      <c r="H529" s="1114"/>
      <c r="I529" s="1114"/>
      <c r="J529" s="1114"/>
      <c r="K529" s="1114"/>
      <c r="L529" s="1114"/>
      <c r="M529" s="1114"/>
      <c r="N529" s="1114"/>
      <c r="O529" s="1114"/>
      <c r="P529" s="1114"/>
      <c r="Q529" s="1114"/>
      <c r="R529" s="1114"/>
      <c r="S529" s="1114"/>
      <c r="T529" s="1114" t="s">
        <v>427</v>
      </c>
      <c r="U529" s="1116"/>
      <c r="V529" s="1117"/>
      <c r="W529" s="1117"/>
      <c r="X529" s="1117"/>
      <c r="Y529" s="1118"/>
      <c r="Z529" s="1119">
        <f>70000-1.31</f>
        <v>69998.69</v>
      </c>
      <c r="AA529" s="210">
        <v>0</v>
      </c>
      <c r="AB529" s="210">
        <v>0</v>
      </c>
      <c r="AC529" s="211"/>
    </row>
    <row r="530" spans="1:29" ht="33.75" customHeight="1" x14ac:dyDescent="0.3">
      <c r="A530" s="900" t="s">
        <v>789</v>
      </c>
      <c r="B530" s="140" t="s">
        <v>16</v>
      </c>
      <c r="C530" s="140" t="s">
        <v>124</v>
      </c>
      <c r="D530" s="140" t="s">
        <v>123</v>
      </c>
      <c r="E530" s="230" t="s">
        <v>569</v>
      </c>
      <c r="F530" s="140"/>
      <c r="G530" s="140"/>
      <c r="H530" s="140"/>
      <c r="I530" s="140"/>
      <c r="J530" s="140"/>
      <c r="K530" s="140"/>
      <c r="L530" s="140"/>
      <c r="M530" s="140"/>
      <c r="N530" s="140"/>
      <c r="O530" s="140"/>
      <c r="P530" s="140"/>
      <c r="Q530" s="140"/>
      <c r="R530" s="140"/>
      <c r="S530" s="140"/>
      <c r="T530" s="140" t="s">
        <v>427</v>
      </c>
      <c r="U530" s="161"/>
      <c r="V530" s="204"/>
      <c r="W530" s="204"/>
      <c r="X530" s="204"/>
      <c r="Y530" s="153"/>
      <c r="Z530" s="235">
        <f>300000+250000</f>
        <v>550000</v>
      </c>
      <c r="AA530" s="210">
        <v>0</v>
      </c>
      <c r="AB530" s="210">
        <v>0</v>
      </c>
      <c r="AC530" s="211"/>
    </row>
    <row r="531" spans="1:29" ht="29.25" hidden="1" customHeight="1" x14ac:dyDescent="0.3">
      <c r="A531" s="153"/>
      <c r="B531" s="140"/>
      <c r="C531" s="140"/>
      <c r="D531" s="140"/>
      <c r="E531" s="230"/>
      <c r="F531" s="140"/>
      <c r="G531" s="140"/>
      <c r="H531" s="140"/>
      <c r="I531" s="140"/>
      <c r="J531" s="140"/>
      <c r="K531" s="140"/>
      <c r="L531" s="140"/>
      <c r="M531" s="140"/>
      <c r="N531" s="140"/>
      <c r="O531" s="140"/>
      <c r="P531" s="140"/>
      <c r="Q531" s="140"/>
      <c r="R531" s="140"/>
      <c r="S531" s="140"/>
      <c r="T531" s="140"/>
      <c r="U531" s="161"/>
      <c r="V531" s="204"/>
      <c r="W531" s="204"/>
      <c r="X531" s="204"/>
      <c r="Y531" s="153"/>
      <c r="Z531" s="235"/>
      <c r="AA531" s="210"/>
      <c r="AB531" s="210"/>
      <c r="AC531" s="211"/>
    </row>
    <row r="532" spans="1:29" ht="27" hidden="1" customHeight="1" x14ac:dyDescent="0.3">
      <c r="A532" s="153"/>
      <c r="B532" s="140"/>
      <c r="C532" s="140"/>
      <c r="D532" s="140"/>
      <c r="E532" s="230"/>
      <c r="F532" s="140"/>
      <c r="G532" s="140"/>
      <c r="H532" s="140"/>
      <c r="I532" s="140"/>
      <c r="J532" s="140"/>
      <c r="K532" s="140"/>
      <c r="L532" s="140"/>
      <c r="M532" s="140"/>
      <c r="N532" s="140"/>
      <c r="O532" s="140"/>
      <c r="P532" s="140"/>
      <c r="Q532" s="140"/>
      <c r="R532" s="140"/>
      <c r="S532" s="140"/>
      <c r="T532" s="140"/>
      <c r="U532" s="161"/>
      <c r="V532" s="204"/>
      <c r="W532" s="204"/>
      <c r="X532" s="204"/>
      <c r="Y532" s="153"/>
      <c r="Z532" s="235"/>
      <c r="AA532" s="210"/>
      <c r="AB532" s="210"/>
      <c r="AC532" s="211"/>
    </row>
    <row r="533" spans="1:29" ht="29.25" hidden="1" customHeight="1" x14ac:dyDescent="0.3">
      <c r="A533" s="153"/>
      <c r="B533" s="140"/>
      <c r="C533" s="140"/>
      <c r="D533" s="140"/>
      <c r="E533" s="230"/>
      <c r="F533" s="140"/>
      <c r="G533" s="140"/>
      <c r="H533" s="140"/>
      <c r="I533" s="140"/>
      <c r="J533" s="140"/>
      <c r="K533" s="140"/>
      <c r="L533" s="140"/>
      <c r="M533" s="140"/>
      <c r="N533" s="140"/>
      <c r="O533" s="140"/>
      <c r="P533" s="140"/>
      <c r="Q533" s="140"/>
      <c r="R533" s="140"/>
      <c r="S533" s="140"/>
      <c r="T533" s="140"/>
      <c r="U533" s="161"/>
      <c r="V533" s="204"/>
      <c r="W533" s="204"/>
      <c r="X533" s="204"/>
      <c r="Y533" s="153"/>
      <c r="Z533" s="235"/>
      <c r="AA533" s="210"/>
      <c r="AB533" s="210"/>
      <c r="AC533" s="211"/>
    </row>
    <row r="534" spans="1:29" ht="34.5" hidden="1" customHeight="1" x14ac:dyDescent="0.3">
      <c r="A534" s="265"/>
      <c r="B534" s="140"/>
      <c r="C534" s="140"/>
      <c r="D534" s="140"/>
      <c r="E534" s="230"/>
      <c r="F534" s="140"/>
      <c r="G534" s="140"/>
      <c r="H534" s="140"/>
      <c r="I534" s="140"/>
      <c r="J534" s="140"/>
      <c r="K534" s="140"/>
      <c r="L534" s="140"/>
      <c r="M534" s="140"/>
      <c r="N534" s="140"/>
      <c r="O534" s="140"/>
      <c r="P534" s="140"/>
      <c r="Q534" s="140"/>
      <c r="R534" s="140"/>
      <c r="S534" s="140"/>
      <c r="T534" s="140"/>
      <c r="U534" s="161"/>
      <c r="V534" s="204"/>
      <c r="W534" s="204"/>
      <c r="X534" s="204"/>
      <c r="Y534" s="153"/>
      <c r="Z534" s="235"/>
      <c r="AA534" s="210"/>
      <c r="AB534" s="210"/>
      <c r="AC534" s="211"/>
    </row>
    <row r="535" spans="1:29" ht="82.5" customHeight="1" x14ac:dyDescent="0.3">
      <c r="A535" s="153" t="s">
        <v>1247</v>
      </c>
      <c r="B535" s="140" t="s">
        <v>16</v>
      </c>
      <c r="C535" s="140" t="s">
        <v>124</v>
      </c>
      <c r="D535" s="140" t="s">
        <v>123</v>
      </c>
      <c r="E535" s="230"/>
      <c r="F535" s="140"/>
      <c r="G535" s="140"/>
      <c r="H535" s="140"/>
      <c r="I535" s="140"/>
      <c r="J535" s="140"/>
      <c r="K535" s="140"/>
      <c r="L535" s="140"/>
      <c r="M535" s="140"/>
      <c r="N535" s="140"/>
      <c r="O535" s="140"/>
      <c r="P535" s="140"/>
      <c r="Q535" s="140"/>
      <c r="R535" s="140"/>
      <c r="S535" s="140"/>
      <c r="T535" s="140"/>
      <c r="U535" s="161"/>
      <c r="V535" s="204"/>
      <c r="W535" s="204"/>
      <c r="X535" s="204"/>
      <c r="Y535" s="153"/>
      <c r="Z535" s="235">
        <f>Z536</f>
        <v>67000</v>
      </c>
      <c r="AA535" s="235">
        <f t="shared" ref="AA535:AB535" si="19">AA536+AA540</f>
        <v>0</v>
      </c>
      <c r="AB535" s="235">
        <f t="shared" si="19"/>
        <v>0</v>
      </c>
      <c r="AC535" s="211"/>
    </row>
    <row r="536" spans="1:29" ht="69" customHeight="1" x14ac:dyDescent="0.3">
      <c r="A536" s="153" t="s">
        <v>1245</v>
      </c>
      <c r="B536" s="140" t="s">
        <v>16</v>
      </c>
      <c r="C536" s="140" t="s">
        <v>124</v>
      </c>
      <c r="D536" s="140" t="s">
        <v>123</v>
      </c>
      <c r="E536" s="230" t="s">
        <v>573</v>
      </c>
      <c r="F536" s="140"/>
      <c r="G536" s="140"/>
      <c r="H536" s="140"/>
      <c r="I536" s="140"/>
      <c r="J536" s="140"/>
      <c r="K536" s="140"/>
      <c r="L536" s="140"/>
      <c r="M536" s="140"/>
      <c r="N536" s="140"/>
      <c r="O536" s="140"/>
      <c r="P536" s="140"/>
      <c r="Q536" s="140"/>
      <c r="R536" s="140"/>
      <c r="S536" s="140"/>
      <c r="T536" s="140"/>
      <c r="U536" s="161"/>
      <c r="V536" s="204"/>
      <c r="W536" s="204"/>
      <c r="X536" s="204"/>
      <c r="Y536" s="153"/>
      <c r="Z536" s="235">
        <f>Z537</f>
        <v>67000</v>
      </c>
      <c r="AA536" s="210"/>
      <c r="AB536" s="210"/>
      <c r="AC536" s="211"/>
    </row>
    <row r="537" spans="1:29" ht="26.25" customHeight="1" x14ac:dyDescent="0.3">
      <c r="A537" s="153" t="s">
        <v>770</v>
      </c>
      <c r="B537" s="140" t="s">
        <v>16</v>
      </c>
      <c r="C537" s="140" t="s">
        <v>124</v>
      </c>
      <c r="D537" s="140" t="s">
        <v>123</v>
      </c>
      <c r="E537" s="230" t="s">
        <v>573</v>
      </c>
      <c r="F537" s="140"/>
      <c r="G537" s="140"/>
      <c r="H537" s="140"/>
      <c r="I537" s="140"/>
      <c r="J537" s="140"/>
      <c r="K537" s="140"/>
      <c r="L537" s="140"/>
      <c r="M537" s="140"/>
      <c r="N537" s="140"/>
      <c r="O537" s="140"/>
      <c r="P537" s="140"/>
      <c r="Q537" s="140"/>
      <c r="R537" s="140"/>
      <c r="S537" s="140"/>
      <c r="T537" s="140" t="s">
        <v>427</v>
      </c>
      <c r="U537" s="161"/>
      <c r="V537" s="204"/>
      <c r="W537" s="204"/>
      <c r="X537" s="204"/>
      <c r="Y537" s="153"/>
      <c r="Z537" s="235">
        <f>Z539</f>
        <v>67000</v>
      </c>
      <c r="AA537" s="210">
        <v>0</v>
      </c>
      <c r="AB537" s="210">
        <v>0</v>
      </c>
      <c r="AC537" s="211"/>
    </row>
    <row r="538" spans="1:29" ht="26.25" customHeight="1" x14ac:dyDescent="0.3">
      <c r="A538" s="153" t="s">
        <v>109</v>
      </c>
      <c r="B538" s="140"/>
      <c r="C538" s="140"/>
      <c r="D538" s="140"/>
      <c r="E538" s="230"/>
      <c r="F538" s="140"/>
      <c r="G538" s="140"/>
      <c r="H538" s="140"/>
      <c r="I538" s="140"/>
      <c r="J538" s="140"/>
      <c r="K538" s="140"/>
      <c r="L538" s="140"/>
      <c r="M538" s="140"/>
      <c r="N538" s="140"/>
      <c r="O538" s="140"/>
      <c r="P538" s="140"/>
      <c r="Q538" s="140"/>
      <c r="R538" s="140"/>
      <c r="S538" s="140"/>
      <c r="T538" s="140"/>
      <c r="U538" s="161"/>
      <c r="V538" s="204"/>
      <c r="W538" s="204"/>
      <c r="X538" s="204"/>
      <c r="Y538" s="153"/>
      <c r="Z538" s="235"/>
      <c r="AA538" s="210"/>
      <c r="AB538" s="210"/>
      <c r="AC538" s="211"/>
    </row>
    <row r="539" spans="1:29" ht="28.5" customHeight="1" x14ac:dyDescent="0.3">
      <c r="A539" s="900" t="s">
        <v>785</v>
      </c>
      <c r="B539" s="140" t="s">
        <v>16</v>
      </c>
      <c r="C539" s="140" t="s">
        <v>124</v>
      </c>
      <c r="D539" s="140" t="s">
        <v>123</v>
      </c>
      <c r="E539" s="230" t="s">
        <v>573</v>
      </c>
      <c r="F539" s="140"/>
      <c r="G539" s="140"/>
      <c r="H539" s="140"/>
      <c r="I539" s="140"/>
      <c r="J539" s="140"/>
      <c r="K539" s="140"/>
      <c r="L539" s="140"/>
      <c r="M539" s="140"/>
      <c r="N539" s="140"/>
      <c r="O539" s="140"/>
      <c r="P539" s="140"/>
      <c r="Q539" s="140"/>
      <c r="R539" s="140"/>
      <c r="S539" s="140"/>
      <c r="T539" s="140" t="s">
        <v>427</v>
      </c>
      <c r="U539" s="161"/>
      <c r="V539" s="204"/>
      <c r="W539" s="204"/>
      <c r="X539" s="204"/>
      <c r="Y539" s="153"/>
      <c r="Z539" s="235">
        <v>67000</v>
      </c>
      <c r="AA539" s="210">
        <v>0</v>
      </c>
      <c r="AB539" s="210">
        <v>0</v>
      </c>
      <c r="AC539" s="211"/>
    </row>
    <row r="540" spans="1:29" ht="73.5" customHeight="1" x14ac:dyDescent="0.3">
      <c r="A540" s="153" t="s">
        <v>1285</v>
      </c>
      <c r="B540" s="140" t="s">
        <v>16</v>
      </c>
      <c r="C540" s="140" t="s">
        <v>124</v>
      </c>
      <c r="D540" s="140" t="s">
        <v>123</v>
      </c>
      <c r="E540" s="230" t="s">
        <v>1493</v>
      </c>
      <c r="F540" s="140"/>
      <c r="G540" s="140"/>
      <c r="H540" s="140"/>
      <c r="I540" s="140"/>
      <c r="J540" s="140"/>
      <c r="K540" s="140"/>
      <c r="L540" s="140"/>
      <c r="M540" s="140"/>
      <c r="N540" s="140"/>
      <c r="O540" s="140"/>
      <c r="P540" s="140"/>
      <c r="Q540" s="140"/>
      <c r="R540" s="140"/>
      <c r="S540" s="140"/>
      <c r="T540" s="140"/>
      <c r="U540" s="161"/>
      <c r="V540" s="204"/>
      <c r="W540" s="204"/>
      <c r="X540" s="204"/>
      <c r="Y540" s="153"/>
      <c r="Z540" s="235">
        <f>Z541</f>
        <v>554704.78</v>
      </c>
      <c r="AA540" s="235">
        <f t="shared" ref="AA540:AB540" si="20">AA541</f>
        <v>0</v>
      </c>
      <c r="AB540" s="235">
        <f t="shared" si="20"/>
        <v>0</v>
      </c>
      <c r="AC540" s="211"/>
    </row>
    <row r="541" spans="1:29" ht="28.5" customHeight="1" x14ac:dyDescent="0.3">
      <c r="A541" s="153" t="s">
        <v>770</v>
      </c>
      <c r="B541" s="140" t="s">
        <v>16</v>
      </c>
      <c r="C541" s="140" t="s">
        <v>124</v>
      </c>
      <c r="D541" s="140" t="s">
        <v>123</v>
      </c>
      <c r="E541" s="230" t="s">
        <v>1493</v>
      </c>
      <c r="F541" s="140"/>
      <c r="G541" s="140"/>
      <c r="H541" s="140"/>
      <c r="I541" s="140"/>
      <c r="J541" s="140"/>
      <c r="K541" s="140"/>
      <c r="L541" s="140"/>
      <c r="M541" s="140"/>
      <c r="N541" s="140"/>
      <c r="O541" s="140"/>
      <c r="P541" s="140"/>
      <c r="Q541" s="140"/>
      <c r="R541" s="140"/>
      <c r="S541" s="140"/>
      <c r="T541" s="140" t="s">
        <v>427</v>
      </c>
      <c r="U541" s="161"/>
      <c r="V541" s="204"/>
      <c r="W541" s="204"/>
      <c r="X541" s="204"/>
      <c r="Y541" s="153"/>
      <c r="Z541" s="235">
        <f>Z543+Z544+Z545+Z547+Z546</f>
        <v>554704.78</v>
      </c>
      <c r="AA541" s="235">
        <f t="shared" ref="AA541:AB541" si="21">AA543+AA544+AA545</f>
        <v>0</v>
      </c>
      <c r="AB541" s="235">
        <f t="shared" si="21"/>
        <v>0</v>
      </c>
      <c r="AC541" s="211"/>
    </row>
    <row r="542" spans="1:29" ht="28.5" customHeight="1" x14ac:dyDescent="0.3">
      <c r="A542" s="153" t="s">
        <v>109</v>
      </c>
      <c r="B542" s="140"/>
      <c r="C542" s="140"/>
      <c r="D542" s="140"/>
      <c r="E542" s="230"/>
      <c r="F542" s="140"/>
      <c r="G542" s="140"/>
      <c r="H542" s="140"/>
      <c r="I542" s="140"/>
      <c r="J542" s="140"/>
      <c r="K542" s="140"/>
      <c r="L542" s="140"/>
      <c r="M542" s="140"/>
      <c r="N542" s="140"/>
      <c r="O542" s="140"/>
      <c r="P542" s="140"/>
      <c r="Q542" s="140"/>
      <c r="R542" s="140"/>
      <c r="S542" s="140"/>
      <c r="T542" s="140"/>
      <c r="U542" s="161"/>
      <c r="V542" s="204"/>
      <c r="W542" s="204"/>
      <c r="X542" s="204"/>
      <c r="Y542" s="153"/>
      <c r="Z542" s="235"/>
      <c r="AA542" s="210"/>
      <c r="AB542" s="210"/>
      <c r="AC542" s="211"/>
    </row>
    <row r="543" spans="1:29" ht="28.5" customHeight="1" x14ac:dyDescent="0.3">
      <c r="A543" s="898" t="s">
        <v>785</v>
      </c>
      <c r="B543" s="140" t="s">
        <v>16</v>
      </c>
      <c r="C543" s="140" t="s">
        <v>124</v>
      </c>
      <c r="D543" s="140" t="s">
        <v>123</v>
      </c>
      <c r="E543" s="230" t="s">
        <v>1493</v>
      </c>
      <c r="F543" s="140"/>
      <c r="G543" s="140"/>
      <c r="H543" s="140"/>
      <c r="I543" s="140"/>
      <c r="J543" s="140"/>
      <c r="K543" s="140"/>
      <c r="L543" s="140"/>
      <c r="M543" s="140"/>
      <c r="N543" s="140"/>
      <c r="O543" s="140"/>
      <c r="P543" s="140"/>
      <c r="Q543" s="140"/>
      <c r="R543" s="140"/>
      <c r="S543" s="140"/>
      <c r="T543" s="140" t="s">
        <v>427</v>
      </c>
      <c r="U543" s="161"/>
      <c r="V543" s="204"/>
      <c r="W543" s="204"/>
      <c r="X543" s="204"/>
      <c r="Y543" s="153"/>
      <c r="Z543" s="235">
        <f>95000-2000</f>
        <v>93000</v>
      </c>
      <c r="AA543" s="210">
        <v>0</v>
      </c>
      <c r="AB543" s="210">
        <v>0</v>
      </c>
      <c r="AC543" s="211"/>
    </row>
    <row r="544" spans="1:29" ht="28.5" customHeight="1" x14ac:dyDescent="0.3">
      <c r="A544" s="898" t="s">
        <v>788</v>
      </c>
      <c r="B544" s="140" t="s">
        <v>16</v>
      </c>
      <c r="C544" s="140" t="s">
        <v>124</v>
      </c>
      <c r="D544" s="140" t="s">
        <v>123</v>
      </c>
      <c r="E544" s="230" t="s">
        <v>1493</v>
      </c>
      <c r="F544" s="140"/>
      <c r="G544" s="140"/>
      <c r="H544" s="140"/>
      <c r="I544" s="140"/>
      <c r="J544" s="140"/>
      <c r="K544" s="140"/>
      <c r="L544" s="140"/>
      <c r="M544" s="140"/>
      <c r="N544" s="140"/>
      <c r="O544" s="140"/>
      <c r="P544" s="140"/>
      <c r="Q544" s="140"/>
      <c r="R544" s="140"/>
      <c r="S544" s="140"/>
      <c r="T544" s="140" t="s">
        <v>427</v>
      </c>
      <c r="U544" s="161"/>
      <c r="V544" s="204"/>
      <c r="W544" s="204"/>
      <c r="X544" s="204"/>
      <c r="Y544" s="153"/>
      <c r="Z544" s="235">
        <v>95000</v>
      </c>
      <c r="AA544" s="210">
        <v>0</v>
      </c>
      <c r="AB544" s="210">
        <v>0</v>
      </c>
      <c r="AC544" s="211"/>
    </row>
    <row r="545" spans="1:29" ht="28.5" customHeight="1" x14ac:dyDescent="0.3">
      <c r="A545" s="898" t="s">
        <v>784</v>
      </c>
      <c r="B545" s="140" t="s">
        <v>16</v>
      </c>
      <c r="C545" s="140" t="s">
        <v>124</v>
      </c>
      <c r="D545" s="140" t="s">
        <v>123</v>
      </c>
      <c r="E545" s="230" t="s">
        <v>1493</v>
      </c>
      <c r="F545" s="140"/>
      <c r="G545" s="140"/>
      <c r="H545" s="140"/>
      <c r="I545" s="140"/>
      <c r="J545" s="140"/>
      <c r="K545" s="140"/>
      <c r="L545" s="140"/>
      <c r="M545" s="140"/>
      <c r="N545" s="140"/>
      <c r="O545" s="140"/>
      <c r="P545" s="140"/>
      <c r="Q545" s="140"/>
      <c r="R545" s="140"/>
      <c r="S545" s="140"/>
      <c r="T545" s="140" t="s">
        <v>427</v>
      </c>
      <c r="U545" s="161"/>
      <c r="V545" s="204"/>
      <c r="W545" s="204"/>
      <c r="X545" s="204"/>
      <c r="Y545" s="153"/>
      <c r="Z545" s="235">
        <f>84000+57000+58000-8983.04</f>
        <v>190016.96</v>
      </c>
      <c r="AA545" s="210">
        <v>0</v>
      </c>
      <c r="AB545" s="210">
        <v>0</v>
      </c>
      <c r="AC545" s="211"/>
    </row>
    <row r="546" spans="1:29" ht="28.5" customHeight="1" x14ac:dyDescent="0.3">
      <c r="A546" s="900" t="s">
        <v>782</v>
      </c>
      <c r="B546" s="140" t="s">
        <v>16</v>
      </c>
      <c r="C546" s="140" t="s">
        <v>124</v>
      </c>
      <c r="D546" s="140" t="s">
        <v>123</v>
      </c>
      <c r="E546" s="230" t="s">
        <v>1493</v>
      </c>
      <c r="F546" s="140"/>
      <c r="G546" s="140"/>
      <c r="H546" s="140"/>
      <c r="I546" s="140"/>
      <c r="J546" s="140"/>
      <c r="K546" s="140"/>
      <c r="L546" s="140"/>
      <c r="M546" s="140"/>
      <c r="N546" s="140"/>
      <c r="O546" s="140"/>
      <c r="P546" s="140"/>
      <c r="Q546" s="140"/>
      <c r="R546" s="140"/>
      <c r="S546" s="140"/>
      <c r="T546" s="140" t="s">
        <v>427</v>
      </c>
      <c r="U546" s="161"/>
      <c r="V546" s="204"/>
      <c r="W546" s="204"/>
      <c r="X546" s="204"/>
      <c r="Y546" s="153"/>
      <c r="Z546" s="235">
        <v>99687.82</v>
      </c>
      <c r="AA546" s="210">
        <v>0</v>
      </c>
      <c r="AB546" s="210">
        <v>0</v>
      </c>
      <c r="AC546" s="211"/>
    </row>
    <row r="547" spans="1:29" ht="28.5" customHeight="1" x14ac:dyDescent="0.3">
      <c r="A547" s="1109" t="s">
        <v>1418</v>
      </c>
      <c r="B547" s="1014" t="s">
        <v>16</v>
      </c>
      <c r="C547" s="1014" t="s">
        <v>124</v>
      </c>
      <c r="D547" s="1014" t="s">
        <v>123</v>
      </c>
      <c r="E547" s="1015" t="s">
        <v>1493</v>
      </c>
      <c r="F547" s="1014"/>
      <c r="G547" s="1014"/>
      <c r="H547" s="1014"/>
      <c r="I547" s="1014"/>
      <c r="J547" s="1014"/>
      <c r="K547" s="1014"/>
      <c r="L547" s="1014"/>
      <c r="M547" s="1014"/>
      <c r="N547" s="1014"/>
      <c r="O547" s="1014"/>
      <c r="P547" s="1014"/>
      <c r="Q547" s="1014"/>
      <c r="R547" s="1014"/>
      <c r="S547" s="1014"/>
      <c r="T547" s="1014" t="s">
        <v>427</v>
      </c>
      <c r="U547" s="1067"/>
      <c r="V547" s="1068"/>
      <c r="W547" s="1068"/>
      <c r="X547" s="1068"/>
      <c r="Y547" s="224"/>
      <c r="Z547" s="1069">
        <f>97000+190000-210000</f>
        <v>77000</v>
      </c>
      <c r="AA547" s="210">
        <v>0</v>
      </c>
      <c r="AB547" s="210">
        <v>0</v>
      </c>
      <c r="AC547" s="211"/>
    </row>
    <row r="548" spans="1:29" ht="67.5" customHeight="1" x14ac:dyDescent="0.3">
      <c r="A548" s="153" t="s">
        <v>1419</v>
      </c>
      <c r="B548" s="140" t="s">
        <v>16</v>
      </c>
      <c r="C548" s="140" t="s">
        <v>124</v>
      </c>
      <c r="D548" s="140" t="s">
        <v>123</v>
      </c>
      <c r="E548" s="230" t="s">
        <v>1420</v>
      </c>
      <c r="F548" s="140"/>
      <c r="G548" s="140"/>
      <c r="H548" s="140"/>
      <c r="I548" s="140"/>
      <c r="J548" s="140"/>
      <c r="K548" s="140"/>
      <c r="L548" s="140"/>
      <c r="M548" s="140"/>
      <c r="N548" s="140"/>
      <c r="O548" s="140"/>
      <c r="P548" s="140"/>
      <c r="Q548" s="140"/>
      <c r="R548" s="140"/>
      <c r="S548" s="140"/>
      <c r="T548" s="140"/>
      <c r="U548" s="161"/>
      <c r="V548" s="204"/>
      <c r="W548" s="204"/>
      <c r="X548" s="204"/>
      <c r="Y548" s="153"/>
      <c r="Z548" s="235">
        <f>Z549</f>
        <v>200000</v>
      </c>
      <c r="AA548" s="210"/>
      <c r="AB548" s="210"/>
      <c r="AC548" s="211"/>
    </row>
    <row r="549" spans="1:29" ht="28.5" customHeight="1" x14ac:dyDescent="0.3">
      <c r="A549" s="153" t="s">
        <v>770</v>
      </c>
      <c r="B549" s="140" t="s">
        <v>16</v>
      </c>
      <c r="C549" s="140" t="s">
        <v>124</v>
      </c>
      <c r="D549" s="140" t="s">
        <v>123</v>
      </c>
      <c r="E549" s="230" t="s">
        <v>1420</v>
      </c>
      <c r="F549" s="140"/>
      <c r="G549" s="140"/>
      <c r="H549" s="140"/>
      <c r="I549" s="140"/>
      <c r="J549" s="140"/>
      <c r="K549" s="140"/>
      <c r="L549" s="140"/>
      <c r="M549" s="140"/>
      <c r="N549" s="140"/>
      <c r="O549" s="140"/>
      <c r="P549" s="140"/>
      <c r="Q549" s="140"/>
      <c r="R549" s="140"/>
      <c r="S549" s="140"/>
      <c r="T549" s="140" t="s">
        <v>427</v>
      </c>
      <c r="U549" s="161"/>
      <c r="V549" s="204"/>
      <c r="W549" s="204"/>
      <c r="X549" s="204"/>
      <c r="Y549" s="153"/>
      <c r="Z549" s="235">
        <f>Z551</f>
        <v>200000</v>
      </c>
      <c r="AA549" s="210">
        <v>0</v>
      </c>
      <c r="AB549" s="210">
        <v>0</v>
      </c>
      <c r="AC549" s="211"/>
    </row>
    <row r="550" spans="1:29" ht="28.5" customHeight="1" x14ac:dyDescent="0.3">
      <c r="A550" s="153" t="s">
        <v>109</v>
      </c>
      <c r="B550" s="140"/>
      <c r="C550" s="140"/>
      <c r="D550" s="140"/>
      <c r="E550" s="230"/>
      <c r="F550" s="140"/>
      <c r="G550" s="140"/>
      <c r="H550" s="140"/>
      <c r="I550" s="140"/>
      <c r="J550" s="140"/>
      <c r="K550" s="140"/>
      <c r="L550" s="140"/>
      <c r="M550" s="140"/>
      <c r="N550" s="140"/>
      <c r="O550" s="140"/>
      <c r="P550" s="140"/>
      <c r="Q550" s="140"/>
      <c r="R550" s="140"/>
      <c r="S550" s="140"/>
      <c r="T550" s="140"/>
      <c r="U550" s="161"/>
      <c r="V550" s="204"/>
      <c r="W550" s="204"/>
      <c r="X550" s="204"/>
      <c r="Y550" s="153"/>
      <c r="Z550" s="235"/>
      <c r="AA550" s="210"/>
      <c r="AB550" s="210"/>
      <c r="AC550" s="211"/>
    </row>
    <row r="551" spans="1:29" ht="28.5" customHeight="1" x14ac:dyDescent="0.3">
      <c r="A551" s="898" t="s">
        <v>788</v>
      </c>
      <c r="B551" s="140" t="s">
        <v>16</v>
      </c>
      <c r="C551" s="140" t="s">
        <v>124</v>
      </c>
      <c r="D551" s="140" t="s">
        <v>123</v>
      </c>
      <c r="E551" s="230" t="s">
        <v>1420</v>
      </c>
      <c r="F551" s="140"/>
      <c r="G551" s="140"/>
      <c r="H551" s="140"/>
      <c r="I551" s="140"/>
      <c r="J551" s="140"/>
      <c r="K551" s="140"/>
      <c r="L551" s="140"/>
      <c r="M551" s="140"/>
      <c r="N551" s="140"/>
      <c r="O551" s="140"/>
      <c r="P551" s="140"/>
      <c r="Q551" s="140"/>
      <c r="R551" s="140"/>
      <c r="S551" s="140"/>
      <c r="T551" s="140" t="s">
        <v>427</v>
      </c>
      <c r="U551" s="161"/>
      <c r="V551" s="204"/>
      <c r="W551" s="204"/>
      <c r="X551" s="204"/>
      <c r="Y551" s="153"/>
      <c r="Z551" s="235">
        <v>200000</v>
      </c>
      <c r="AA551" s="210">
        <v>0</v>
      </c>
      <c r="AB551" s="210">
        <v>0</v>
      </c>
      <c r="AC551" s="211"/>
    </row>
    <row r="552" spans="1:29" ht="84.75" customHeight="1" x14ac:dyDescent="0.3">
      <c r="A552" s="153" t="s">
        <v>1247</v>
      </c>
      <c r="B552" s="140" t="s">
        <v>16</v>
      </c>
      <c r="C552" s="140" t="s">
        <v>124</v>
      </c>
      <c r="D552" s="140" t="s">
        <v>123</v>
      </c>
      <c r="E552" s="230" t="s">
        <v>872</v>
      </c>
      <c r="F552" s="140"/>
      <c r="G552" s="140"/>
      <c r="H552" s="140"/>
      <c r="I552" s="140"/>
      <c r="J552" s="140"/>
      <c r="K552" s="140"/>
      <c r="L552" s="140"/>
      <c r="M552" s="140"/>
      <c r="N552" s="140"/>
      <c r="O552" s="140"/>
      <c r="P552" s="140"/>
      <c r="Q552" s="140"/>
      <c r="R552" s="140"/>
      <c r="S552" s="140"/>
      <c r="T552" s="140"/>
      <c r="U552" s="161"/>
      <c r="V552" s="204"/>
      <c r="W552" s="204"/>
      <c r="X552" s="204"/>
      <c r="Y552" s="153"/>
      <c r="Z552" s="235">
        <f>Z553</f>
        <v>3863799.21</v>
      </c>
      <c r="AA552" s="210">
        <v>0</v>
      </c>
      <c r="AB552" s="210">
        <v>0</v>
      </c>
      <c r="AC552" s="211"/>
    </row>
    <row r="553" spans="1:29" ht="32.25" customHeight="1" x14ac:dyDescent="0.3">
      <c r="A553" s="153" t="s">
        <v>770</v>
      </c>
      <c r="B553" s="140" t="s">
        <v>16</v>
      </c>
      <c r="C553" s="140" t="s">
        <v>124</v>
      </c>
      <c r="D553" s="140" t="s">
        <v>123</v>
      </c>
      <c r="E553" s="230" t="s">
        <v>872</v>
      </c>
      <c r="F553" s="140"/>
      <c r="G553" s="140"/>
      <c r="H553" s="140"/>
      <c r="I553" s="140"/>
      <c r="J553" s="140"/>
      <c r="K553" s="140"/>
      <c r="L553" s="140"/>
      <c r="M553" s="140"/>
      <c r="N553" s="140"/>
      <c r="O553" s="140"/>
      <c r="P553" s="140"/>
      <c r="Q553" s="140"/>
      <c r="R553" s="140"/>
      <c r="S553" s="140"/>
      <c r="T553" s="140" t="s">
        <v>427</v>
      </c>
      <c r="U553" s="161"/>
      <c r="V553" s="204"/>
      <c r="W553" s="204"/>
      <c r="X553" s="204"/>
      <c r="Y553" s="153"/>
      <c r="Z553" s="235">
        <f>Z559+Z560+Z556+Z557+Z558+Z555</f>
        <v>3863799.21</v>
      </c>
      <c r="AA553" s="210">
        <v>0</v>
      </c>
      <c r="AB553" s="210">
        <v>0</v>
      </c>
      <c r="AC553" s="211"/>
    </row>
    <row r="554" spans="1:29" ht="32.25" customHeight="1" x14ac:dyDescent="0.3">
      <c r="A554" s="153" t="s">
        <v>109</v>
      </c>
      <c r="B554" s="140"/>
      <c r="C554" s="140"/>
      <c r="D554" s="140"/>
      <c r="E554" s="230"/>
      <c r="F554" s="140"/>
      <c r="G554" s="140"/>
      <c r="H554" s="140"/>
      <c r="I554" s="140"/>
      <c r="J554" s="140"/>
      <c r="K554" s="140"/>
      <c r="L554" s="140"/>
      <c r="M554" s="140"/>
      <c r="N554" s="140"/>
      <c r="O554" s="140"/>
      <c r="P554" s="140"/>
      <c r="Q554" s="140"/>
      <c r="R554" s="140"/>
      <c r="S554" s="140"/>
      <c r="T554" s="140"/>
      <c r="U554" s="161"/>
      <c r="V554" s="204"/>
      <c r="W554" s="204"/>
      <c r="X554" s="204"/>
      <c r="Y554" s="153"/>
      <c r="Z554" s="235"/>
      <c r="AA554" s="210"/>
      <c r="AB554" s="210"/>
      <c r="AC554" s="211"/>
    </row>
    <row r="555" spans="1:29" ht="32.25" customHeight="1" x14ac:dyDescent="0.3">
      <c r="A555" s="1109" t="s">
        <v>786</v>
      </c>
      <c r="B555" s="1014" t="s">
        <v>16</v>
      </c>
      <c r="C555" s="1014" t="s">
        <v>124</v>
      </c>
      <c r="D555" s="1014" t="s">
        <v>123</v>
      </c>
      <c r="E555" s="1015" t="s">
        <v>872</v>
      </c>
      <c r="F555" s="1014"/>
      <c r="G555" s="1014"/>
      <c r="H555" s="1014"/>
      <c r="I555" s="1014"/>
      <c r="J555" s="1014"/>
      <c r="K555" s="1014"/>
      <c r="L555" s="1014"/>
      <c r="M555" s="1014"/>
      <c r="N555" s="1014"/>
      <c r="O555" s="1014"/>
      <c r="P555" s="1014"/>
      <c r="Q555" s="1014"/>
      <c r="R555" s="1014"/>
      <c r="S555" s="1014"/>
      <c r="T555" s="1014" t="s">
        <v>427</v>
      </c>
      <c r="U555" s="1067"/>
      <c r="V555" s="1068"/>
      <c r="W555" s="1068"/>
      <c r="X555" s="1068"/>
      <c r="Y555" s="224"/>
      <c r="Z555" s="1069">
        <f>90351.74+98000</f>
        <v>188351.74</v>
      </c>
      <c r="AA555" s="210">
        <v>0</v>
      </c>
      <c r="AB555" s="210">
        <v>0</v>
      </c>
      <c r="AC555" s="211"/>
    </row>
    <row r="556" spans="1:29" ht="32.25" customHeight="1" x14ac:dyDescent="0.3">
      <c r="A556" s="900" t="s">
        <v>1418</v>
      </c>
      <c r="B556" s="140" t="s">
        <v>16</v>
      </c>
      <c r="C556" s="140" t="s">
        <v>124</v>
      </c>
      <c r="D556" s="140" t="s">
        <v>123</v>
      </c>
      <c r="E556" s="230" t="s">
        <v>872</v>
      </c>
      <c r="F556" s="140"/>
      <c r="G556" s="140"/>
      <c r="H556" s="140"/>
      <c r="I556" s="140"/>
      <c r="J556" s="140"/>
      <c r="K556" s="140"/>
      <c r="L556" s="140"/>
      <c r="M556" s="140"/>
      <c r="N556" s="140"/>
      <c r="O556" s="140"/>
      <c r="P556" s="140"/>
      <c r="Q556" s="140"/>
      <c r="R556" s="140"/>
      <c r="S556" s="140"/>
      <c r="T556" s="140" t="s">
        <v>427</v>
      </c>
      <c r="U556" s="161"/>
      <c r="V556" s="204"/>
      <c r="W556" s="204"/>
      <c r="X556" s="204"/>
      <c r="Y556" s="153"/>
      <c r="Z556" s="235">
        <v>1000000</v>
      </c>
      <c r="AA556" s="210">
        <v>0</v>
      </c>
      <c r="AB556" s="210">
        <v>0</v>
      </c>
      <c r="AC556" s="211"/>
    </row>
    <row r="557" spans="1:29" ht="32.25" customHeight="1" x14ac:dyDescent="0.3">
      <c r="A557" s="900" t="s">
        <v>782</v>
      </c>
      <c r="B557" s="140" t="s">
        <v>16</v>
      </c>
      <c r="C557" s="140" t="s">
        <v>124</v>
      </c>
      <c r="D557" s="140" t="s">
        <v>123</v>
      </c>
      <c r="E557" s="230" t="s">
        <v>872</v>
      </c>
      <c r="F557" s="140"/>
      <c r="G557" s="140"/>
      <c r="H557" s="140"/>
      <c r="I557" s="140"/>
      <c r="J557" s="140"/>
      <c r="K557" s="140"/>
      <c r="L557" s="140"/>
      <c r="M557" s="140"/>
      <c r="N557" s="140"/>
      <c r="O557" s="140"/>
      <c r="P557" s="140"/>
      <c r="Q557" s="140"/>
      <c r="R557" s="140"/>
      <c r="S557" s="140"/>
      <c r="T557" s="140" t="s">
        <v>427</v>
      </c>
      <c r="U557" s="161"/>
      <c r="V557" s="204"/>
      <c r="W557" s="204"/>
      <c r="X557" s="204"/>
      <c r="Y557" s="153"/>
      <c r="Z557" s="235">
        <f>1500000-1500000</f>
        <v>0</v>
      </c>
      <c r="AA557" s="210">
        <v>0</v>
      </c>
      <c r="AB557" s="210">
        <v>0</v>
      </c>
      <c r="AC557" s="211"/>
    </row>
    <row r="558" spans="1:29" ht="32.25" hidden="1" customHeight="1" x14ac:dyDescent="0.3">
      <c r="A558" s="900" t="s">
        <v>783</v>
      </c>
      <c r="B558" s="140" t="s">
        <v>16</v>
      </c>
      <c r="C558" s="140" t="s">
        <v>124</v>
      </c>
      <c r="D558" s="140" t="s">
        <v>123</v>
      </c>
      <c r="E558" s="230" t="s">
        <v>872</v>
      </c>
      <c r="F558" s="140"/>
      <c r="G558" s="140"/>
      <c r="H558" s="140"/>
      <c r="I558" s="140"/>
      <c r="J558" s="140"/>
      <c r="K558" s="140"/>
      <c r="L558" s="140"/>
      <c r="M558" s="140"/>
      <c r="N558" s="140"/>
      <c r="O558" s="140"/>
      <c r="P558" s="140"/>
      <c r="Q558" s="140"/>
      <c r="R558" s="140"/>
      <c r="S558" s="140"/>
      <c r="T558" s="140" t="s">
        <v>427</v>
      </c>
      <c r="U558" s="161"/>
      <c r="V558" s="204"/>
      <c r="W558" s="204"/>
      <c r="X558" s="204"/>
      <c r="Y558" s="153"/>
      <c r="Z558" s="235">
        <v>0</v>
      </c>
      <c r="AA558" s="210">
        <v>0</v>
      </c>
      <c r="AB558" s="210">
        <v>0</v>
      </c>
      <c r="AC558" s="211"/>
    </row>
    <row r="559" spans="1:29" ht="32.25" customHeight="1" x14ac:dyDescent="0.3">
      <c r="A559" s="1109" t="s">
        <v>783</v>
      </c>
      <c r="B559" s="1014" t="s">
        <v>16</v>
      </c>
      <c r="C559" s="1014" t="s">
        <v>124</v>
      </c>
      <c r="D559" s="1014" t="s">
        <v>123</v>
      </c>
      <c r="E559" s="1015" t="s">
        <v>872</v>
      </c>
      <c r="F559" s="1014"/>
      <c r="G559" s="1014"/>
      <c r="H559" s="1014"/>
      <c r="I559" s="1014"/>
      <c r="J559" s="1014"/>
      <c r="K559" s="1014"/>
      <c r="L559" s="1014"/>
      <c r="M559" s="1014"/>
      <c r="N559" s="1014"/>
      <c r="O559" s="1014"/>
      <c r="P559" s="1014"/>
      <c r="Q559" s="1014"/>
      <c r="R559" s="1014"/>
      <c r="S559" s="1014"/>
      <c r="T559" s="1014" t="s">
        <v>427</v>
      </c>
      <c r="U559" s="1067"/>
      <c r="V559" s="1068"/>
      <c r="W559" s="1068"/>
      <c r="X559" s="1068"/>
      <c r="Y559" s="224"/>
      <c r="Z559" s="1069">
        <f>1500000+1000000-515.62-34586.91</f>
        <v>2464897.4699999997</v>
      </c>
      <c r="AA559" s="210">
        <v>0</v>
      </c>
      <c r="AB559" s="210">
        <v>0</v>
      </c>
      <c r="AC559" s="211"/>
    </row>
    <row r="560" spans="1:29" ht="32.25" customHeight="1" x14ac:dyDescent="0.3">
      <c r="A560" s="900" t="s">
        <v>785</v>
      </c>
      <c r="B560" s="140" t="s">
        <v>16</v>
      </c>
      <c r="C560" s="140" t="s">
        <v>124</v>
      </c>
      <c r="D560" s="140" t="s">
        <v>123</v>
      </c>
      <c r="E560" s="230" t="s">
        <v>872</v>
      </c>
      <c r="F560" s="140"/>
      <c r="G560" s="140"/>
      <c r="H560" s="140"/>
      <c r="I560" s="140"/>
      <c r="J560" s="140"/>
      <c r="K560" s="140"/>
      <c r="L560" s="140"/>
      <c r="M560" s="140"/>
      <c r="N560" s="140"/>
      <c r="O560" s="140"/>
      <c r="P560" s="140"/>
      <c r="Q560" s="140"/>
      <c r="R560" s="140"/>
      <c r="S560" s="140"/>
      <c r="T560" s="140" t="s">
        <v>427</v>
      </c>
      <c r="U560" s="161"/>
      <c r="V560" s="204"/>
      <c r="W560" s="204"/>
      <c r="X560" s="204"/>
      <c r="Y560" s="153"/>
      <c r="Z560" s="235">
        <f>99000+111550</f>
        <v>210550</v>
      </c>
      <c r="AA560" s="210">
        <v>0</v>
      </c>
      <c r="AB560" s="210">
        <v>0</v>
      </c>
      <c r="AC560" s="211"/>
    </row>
    <row r="561" spans="1:29" ht="72" customHeight="1" x14ac:dyDescent="0.3">
      <c r="A561" s="486" t="s">
        <v>1461</v>
      </c>
      <c r="B561" s="140" t="s">
        <v>16</v>
      </c>
      <c r="C561" s="140" t="s">
        <v>124</v>
      </c>
      <c r="D561" s="140" t="s">
        <v>123</v>
      </c>
      <c r="E561" s="230" t="s">
        <v>1462</v>
      </c>
      <c r="F561" s="140"/>
      <c r="G561" s="140"/>
      <c r="H561" s="140"/>
      <c r="I561" s="140"/>
      <c r="J561" s="140"/>
      <c r="K561" s="140"/>
      <c r="L561" s="140"/>
      <c r="M561" s="140"/>
      <c r="N561" s="140"/>
      <c r="O561" s="140"/>
      <c r="P561" s="140"/>
      <c r="Q561" s="140"/>
      <c r="R561" s="140"/>
      <c r="S561" s="140"/>
      <c r="T561" s="140"/>
      <c r="U561" s="161"/>
      <c r="V561" s="204"/>
      <c r="W561" s="204"/>
      <c r="X561" s="204"/>
      <c r="Y561" s="153"/>
      <c r="Z561" s="235">
        <f>Z562</f>
        <v>750000</v>
      </c>
      <c r="AA561" s="210">
        <v>0</v>
      </c>
      <c r="AB561" s="210">
        <v>0</v>
      </c>
      <c r="AC561" s="211"/>
    </row>
    <row r="562" spans="1:29" ht="32.25" customHeight="1" x14ac:dyDescent="0.3">
      <c r="A562" s="153" t="s">
        <v>770</v>
      </c>
      <c r="B562" s="140" t="s">
        <v>16</v>
      </c>
      <c r="C562" s="140" t="s">
        <v>124</v>
      </c>
      <c r="D562" s="140" t="s">
        <v>123</v>
      </c>
      <c r="E562" s="230" t="s">
        <v>1462</v>
      </c>
      <c r="F562" s="140"/>
      <c r="G562" s="140"/>
      <c r="H562" s="140"/>
      <c r="I562" s="140"/>
      <c r="J562" s="140"/>
      <c r="K562" s="140"/>
      <c r="L562" s="140"/>
      <c r="M562" s="140"/>
      <c r="N562" s="140"/>
      <c r="O562" s="140"/>
      <c r="P562" s="140"/>
      <c r="Q562" s="140"/>
      <c r="R562" s="140"/>
      <c r="S562" s="140"/>
      <c r="T562" s="140" t="s">
        <v>427</v>
      </c>
      <c r="U562" s="161"/>
      <c r="V562" s="204"/>
      <c r="W562" s="204"/>
      <c r="X562" s="204"/>
      <c r="Y562" s="153"/>
      <c r="Z562" s="235">
        <f>Z564</f>
        <v>750000</v>
      </c>
      <c r="AA562" s="210">
        <v>0</v>
      </c>
      <c r="AB562" s="210">
        <v>0</v>
      </c>
      <c r="AC562" s="211"/>
    </row>
    <row r="563" spans="1:29" ht="32.25" customHeight="1" x14ac:dyDescent="0.3">
      <c r="A563" s="153" t="s">
        <v>109</v>
      </c>
      <c r="B563" s="140"/>
      <c r="C563" s="140"/>
      <c r="D563" s="140"/>
      <c r="E563" s="230"/>
      <c r="F563" s="140"/>
      <c r="G563" s="140"/>
      <c r="H563" s="140"/>
      <c r="I563" s="140"/>
      <c r="J563" s="140"/>
      <c r="K563" s="140"/>
      <c r="L563" s="140"/>
      <c r="M563" s="140"/>
      <c r="N563" s="140"/>
      <c r="O563" s="140"/>
      <c r="P563" s="140"/>
      <c r="Q563" s="140"/>
      <c r="R563" s="140"/>
      <c r="S563" s="140"/>
      <c r="T563" s="140"/>
      <c r="U563" s="161"/>
      <c r="V563" s="204"/>
      <c r="W563" s="204"/>
      <c r="X563" s="204"/>
      <c r="Y563" s="153"/>
      <c r="Z563" s="235"/>
      <c r="AA563" s="210"/>
      <c r="AB563" s="210"/>
      <c r="AC563" s="211"/>
    </row>
    <row r="564" spans="1:29" ht="32.25" customHeight="1" x14ac:dyDescent="0.3">
      <c r="A564" s="900" t="s">
        <v>1418</v>
      </c>
      <c r="B564" s="140" t="s">
        <v>16</v>
      </c>
      <c r="C564" s="140" t="s">
        <v>124</v>
      </c>
      <c r="D564" s="140" t="s">
        <v>123</v>
      </c>
      <c r="E564" s="230" t="s">
        <v>1462</v>
      </c>
      <c r="F564" s="140"/>
      <c r="G564" s="140"/>
      <c r="H564" s="140"/>
      <c r="I564" s="140"/>
      <c r="J564" s="140"/>
      <c r="K564" s="140"/>
      <c r="L564" s="140"/>
      <c r="M564" s="140"/>
      <c r="N564" s="140"/>
      <c r="O564" s="140"/>
      <c r="P564" s="140"/>
      <c r="Q564" s="140"/>
      <c r="R564" s="140"/>
      <c r="S564" s="140"/>
      <c r="T564" s="140" t="s">
        <v>427</v>
      </c>
      <c r="U564" s="161"/>
      <c r="V564" s="204"/>
      <c r="W564" s="204"/>
      <c r="X564" s="204"/>
      <c r="Y564" s="153"/>
      <c r="Z564" s="235">
        <f>500000+250000</f>
        <v>750000</v>
      </c>
      <c r="AA564" s="210">
        <v>0</v>
      </c>
      <c r="AB564" s="210">
        <v>0</v>
      </c>
      <c r="AC564" s="211"/>
    </row>
    <row r="565" spans="1:29" ht="33.75" customHeight="1" x14ac:dyDescent="0.3">
      <c r="A565" s="159" t="s">
        <v>379</v>
      </c>
      <c r="B565" s="140" t="s">
        <v>16</v>
      </c>
      <c r="C565" s="140" t="s">
        <v>126</v>
      </c>
      <c r="D565" s="140" t="s">
        <v>122</v>
      </c>
      <c r="E565" s="230"/>
      <c r="F565" s="140"/>
      <c r="G565" s="140"/>
      <c r="H565" s="140"/>
      <c r="I565" s="140"/>
      <c r="J565" s="140"/>
      <c r="K565" s="140"/>
      <c r="L565" s="140"/>
      <c r="M565" s="140"/>
      <c r="N565" s="140"/>
      <c r="O565" s="140"/>
      <c r="P565" s="140"/>
      <c r="Q565" s="140"/>
      <c r="R565" s="140"/>
      <c r="S565" s="140"/>
      <c r="T565" s="140"/>
      <c r="U565" s="161"/>
      <c r="V565" s="204"/>
      <c r="W565" s="204"/>
      <c r="X565" s="204"/>
      <c r="Y565" s="153"/>
      <c r="Z565" s="235">
        <f>Z566+Z578</f>
        <v>4942125.46</v>
      </c>
      <c r="AA565" s="210">
        <v>0</v>
      </c>
      <c r="AB565" s="210">
        <v>0</v>
      </c>
      <c r="AC565" s="211"/>
    </row>
    <row r="566" spans="1:29" ht="172.5" customHeight="1" x14ac:dyDescent="0.3">
      <c r="A566" s="153" t="s">
        <v>1267</v>
      </c>
      <c r="B566" s="140" t="s">
        <v>16</v>
      </c>
      <c r="C566" s="140" t="s">
        <v>126</v>
      </c>
      <c r="D566" s="140" t="s">
        <v>122</v>
      </c>
      <c r="E566" s="230" t="s">
        <v>585</v>
      </c>
      <c r="F566" s="140"/>
      <c r="G566" s="140"/>
      <c r="H566" s="140"/>
      <c r="I566" s="140"/>
      <c r="J566" s="140"/>
      <c r="K566" s="140"/>
      <c r="L566" s="140"/>
      <c r="M566" s="140"/>
      <c r="N566" s="140"/>
      <c r="O566" s="140"/>
      <c r="P566" s="140"/>
      <c r="Q566" s="140"/>
      <c r="R566" s="140"/>
      <c r="S566" s="140"/>
      <c r="T566" s="140"/>
      <c r="U566" s="161"/>
      <c r="V566" s="204"/>
      <c r="W566" s="204"/>
      <c r="X566" s="204"/>
      <c r="Y566" s="153"/>
      <c r="Z566" s="235">
        <f>Z567</f>
        <v>4752086.46</v>
      </c>
      <c r="AA566" s="210">
        <v>0</v>
      </c>
      <c r="AB566" s="210">
        <v>0</v>
      </c>
      <c r="AC566" s="211"/>
    </row>
    <row r="567" spans="1:29" ht="29.25" customHeight="1" x14ac:dyDescent="0.3">
      <c r="A567" s="153" t="s">
        <v>770</v>
      </c>
      <c r="B567" s="140" t="s">
        <v>16</v>
      </c>
      <c r="C567" s="140" t="s">
        <v>126</v>
      </c>
      <c r="D567" s="140" t="s">
        <v>122</v>
      </c>
      <c r="E567" s="230" t="s">
        <v>585</v>
      </c>
      <c r="F567" s="140"/>
      <c r="G567" s="140"/>
      <c r="H567" s="140"/>
      <c r="I567" s="140"/>
      <c r="J567" s="140"/>
      <c r="K567" s="140"/>
      <c r="L567" s="140"/>
      <c r="M567" s="140"/>
      <c r="N567" s="140"/>
      <c r="O567" s="140"/>
      <c r="P567" s="140"/>
      <c r="Q567" s="140"/>
      <c r="R567" s="140"/>
      <c r="S567" s="140"/>
      <c r="T567" s="140" t="s">
        <v>427</v>
      </c>
      <c r="U567" s="161"/>
      <c r="V567" s="204"/>
      <c r="W567" s="204"/>
      <c r="X567" s="204"/>
      <c r="Y567" s="153"/>
      <c r="Z567" s="235">
        <f>Z576+Z575+Z572+Z574+Z577+Z573+Z571+Z570+Z569</f>
        <v>4752086.46</v>
      </c>
      <c r="AA567" s="210">
        <v>0</v>
      </c>
      <c r="AB567" s="210">
        <v>0</v>
      </c>
      <c r="AC567" s="211"/>
    </row>
    <row r="568" spans="1:29" ht="23.25" customHeight="1" x14ac:dyDescent="0.3">
      <c r="A568" s="153" t="s">
        <v>109</v>
      </c>
      <c r="B568" s="140"/>
      <c r="C568" s="140"/>
      <c r="D568" s="140"/>
      <c r="E568" s="230"/>
      <c r="F568" s="140"/>
      <c r="G568" s="140"/>
      <c r="H568" s="140"/>
      <c r="I568" s="140"/>
      <c r="J568" s="140"/>
      <c r="K568" s="140"/>
      <c r="L568" s="140"/>
      <c r="M568" s="140"/>
      <c r="N568" s="140"/>
      <c r="O568" s="140"/>
      <c r="P568" s="140"/>
      <c r="Q568" s="140"/>
      <c r="R568" s="140"/>
      <c r="S568" s="140"/>
      <c r="T568" s="140"/>
      <c r="U568" s="161"/>
      <c r="V568" s="204"/>
      <c r="W568" s="204"/>
      <c r="X568" s="204"/>
      <c r="Y568" s="153"/>
      <c r="Z568" s="235"/>
      <c r="AA568" s="210"/>
      <c r="AB568" s="210"/>
      <c r="AC568" s="211"/>
    </row>
    <row r="569" spans="1:29" ht="33" customHeight="1" x14ac:dyDescent="0.3">
      <c r="A569" s="900" t="s">
        <v>1418</v>
      </c>
      <c r="B569" s="140" t="s">
        <v>16</v>
      </c>
      <c r="C569" s="140" t="s">
        <v>126</v>
      </c>
      <c r="D569" s="140" t="s">
        <v>122</v>
      </c>
      <c r="E569" s="230" t="s">
        <v>585</v>
      </c>
      <c r="F569" s="140"/>
      <c r="G569" s="140"/>
      <c r="H569" s="140"/>
      <c r="I569" s="140"/>
      <c r="J569" s="140"/>
      <c r="K569" s="140"/>
      <c r="L569" s="140"/>
      <c r="M569" s="140"/>
      <c r="N569" s="140"/>
      <c r="O569" s="140"/>
      <c r="P569" s="140"/>
      <c r="Q569" s="140"/>
      <c r="R569" s="140"/>
      <c r="S569" s="140"/>
      <c r="T569" s="140" t="s">
        <v>427</v>
      </c>
      <c r="U569" s="161"/>
      <c r="V569" s="204"/>
      <c r="W569" s="204"/>
      <c r="X569" s="204"/>
      <c r="Y569" s="153"/>
      <c r="Z569" s="235">
        <v>235000</v>
      </c>
      <c r="AA569" s="210">
        <v>0</v>
      </c>
      <c r="AB569" s="210">
        <v>0</v>
      </c>
      <c r="AC569" s="211"/>
    </row>
    <row r="570" spans="1:29" ht="31.5" customHeight="1" x14ac:dyDescent="0.3">
      <c r="A570" s="900" t="s">
        <v>783</v>
      </c>
      <c r="B570" s="140" t="s">
        <v>16</v>
      </c>
      <c r="C570" s="140" t="s">
        <v>126</v>
      </c>
      <c r="D570" s="140" t="s">
        <v>122</v>
      </c>
      <c r="E570" s="230" t="s">
        <v>585</v>
      </c>
      <c r="F570" s="140"/>
      <c r="G570" s="140"/>
      <c r="H570" s="140"/>
      <c r="I570" s="140"/>
      <c r="J570" s="140"/>
      <c r="K570" s="140"/>
      <c r="L570" s="140"/>
      <c r="M570" s="140"/>
      <c r="N570" s="140"/>
      <c r="O570" s="140"/>
      <c r="P570" s="140"/>
      <c r="Q570" s="140"/>
      <c r="R570" s="140"/>
      <c r="S570" s="140"/>
      <c r="T570" s="140" t="s">
        <v>427</v>
      </c>
      <c r="U570" s="161"/>
      <c r="V570" s="204"/>
      <c r="W570" s="204"/>
      <c r="X570" s="204"/>
      <c r="Y570" s="153"/>
      <c r="Z570" s="235">
        <v>68600</v>
      </c>
      <c r="AA570" s="210">
        <v>0</v>
      </c>
      <c r="AB570" s="210">
        <v>0</v>
      </c>
      <c r="AC570" s="211"/>
    </row>
    <row r="571" spans="1:29" ht="30" customHeight="1" x14ac:dyDescent="0.3">
      <c r="A571" s="900" t="s">
        <v>782</v>
      </c>
      <c r="B571" s="140" t="s">
        <v>16</v>
      </c>
      <c r="C571" s="140" t="s">
        <v>126</v>
      </c>
      <c r="D571" s="140" t="s">
        <v>122</v>
      </c>
      <c r="E571" s="230" t="s">
        <v>585</v>
      </c>
      <c r="F571" s="140"/>
      <c r="G571" s="140"/>
      <c r="H571" s="140"/>
      <c r="I571" s="140"/>
      <c r="J571" s="140"/>
      <c r="K571" s="140"/>
      <c r="L571" s="140"/>
      <c r="M571" s="140"/>
      <c r="N571" s="140"/>
      <c r="O571" s="140"/>
      <c r="P571" s="140"/>
      <c r="Q571" s="140"/>
      <c r="R571" s="140"/>
      <c r="S571" s="140"/>
      <c r="T571" s="140" t="s">
        <v>427</v>
      </c>
      <c r="U571" s="161"/>
      <c r="V571" s="204"/>
      <c r="W571" s="204"/>
      <c r="X571" s="204"/>
      <c r="Y571" s="153"/>
      <c r="Z571" s="235">
        <v>61000</v>
      </c>
      <c r="AA571" s="210">
        <v>0</v>
      </c>
      <c r="AB571" s="210">
        <v>0</v>
      </c>
      <c r="AC571" s="211"/>
    </row>
    <row r="572" spans="1:29" ht="33" customHeight="1" x14ac:dyDescent="0.3">
      <c r="A572" s="1066" t="s">
        <v>786</v>
      </c>
      <c r="B572" s="1014" t="s">
        <v>16</v>
      </c>
      <c r="C572" s="1014" t="s">
        <v>126</v>
      </c>
      <c r="D572" s="1014" t="s">
        <v>122</v>
      </c>
      <c r="E572" s="1015" t="s">
        <v>585</v>
      </c>
      <c r="F572" s="1014"/>
      <c r="G572" s="1014"/>
      <c r="H572" s="1014"/>
      <c r="I572" s="1014"/>
      <c r="J572" s="1014"/>
      <c r="K572" s="1014"/>
      <c r="L572" s="1014"/>
      <c r="M572" s="1014"/>
      <c r="N572" s="1014"/>
      <c r="O572" s="1014"/>
      <c r="P572" s="1014"/>
      <c r="Q572" s="1014"/>
      <c r="R572" s="1014"/>
      <c r="S572" s="1014"/>
      <c r="T572" s="1014" t="s">
        <v>427</v>
      </c>
      <c r="U572" s="1067"/>
      <c r="V572" s="1068"/>
      <c r="W572" s="1068"/>
      <c r="X572" s="1068"/>
      <c r="Y572" s="224"/>
      <c r="Z572" s="1069">
        <f>89000+68600+14014+79130.69+55074.43</f>
        <v>305819.12</v>
      </c>
      <c r="AA572" s="210">
        <v>0</v>
      </c>
      <c r="AB572" s="210">
        <v>0</v>
      </c>
      <c r="AC572" s="211"/>
    </row>
    <row r="573" spans="1:29" ht="25.15" customHeight="1" x14ac:dyDescent="0.3">
      <c r="A573" s="900" t="s">
        <v>785</v>
      </c>
      <c r="B573" s="140" t="s">
        <v>16</v>
      </c>
      <c r="C573" s="140" t="s">
        <v>126</v>
      </c>
      <c r="D573" s="140" t="s">
        <v>122</v>
      </c>
      <c r="E573" s="230" t="s">
        <v>585</v>
      </c>
      <c r="F573" s="140"/>
      <c r="G573" s="140"/>
      <c r="H573" s="140"/>
      <c r="I573" s="140"/>
      <c r="J573" s="140"/>
      <c r="K573" s="140"/>
      <c r="L573" s="140"/>
      <c r="M573" s="140"/>
      <c r="N573" s="140"/>
      <c r="O573" s="140"/>
      <c r="P573" s="140"/>
      <c r="Q573" s="140"/>
      <c r="R573" s="140"/>
      <c r="S573" s="140"/>
      <c r="T573" s="140" t="s">
        <v>427</v>
      </c>
      <c r="U573" s="161"/>
      <c r="V573" s="204"/>
      <c r="W573" s="204"/>
      <c r="X573" s="204"/>
      <c r="Y573" s="153"/>
      <c r="Z573" s="235">
        <f>250000+27000+77126</f>
        <v>354126</v>
      </c>
      <c r="AA573" s="210">
        <v>0</v>
      </c>
      <c r="AB573" s="210">
        <v>0</v>
      </c>
      <c r="AC573" s="211"/>
    </row>
    <row r="574" spans="1:29" ht="36.75" customHeight="1" x14ac:dyDescent="0.3">
      <c r="A574" s="898" t="s">
        <v>784</v>
      </c>
      <c r="B574" s="140" t="s">
        <v>16</v>
      </c>
      <c r="C574" s="140" t="s">
        <v>126</v>
      </c>
      <c r="D574" s="140" t="s">
        <v>122</v>
      </c>
      <c r="E574" s="230" t="s">
        <v>585</v>
      </c>
      <c r="F574" s="140"/>
      <c r="G574" s="140"/>
      <c r="H574" s="140"/>
      <c r="I574" s="140"/>
      <c r="J574" s="140"/>
      <c r="K574" s="140"/>
      <c r="L574" s="140"/>
      <c r="M574" s="140"/>
      <c r="N574" s="140"/>
      <c r="O574" s="140"/>
      <c r="P574" s="140"/>
      <c r="Q574" s="140"/>
      <c r="R574" s="140"/>
      <c r="S574" s="140"/>
      <c r="T574" s="140" t="s">
        <v>427</v>
      </c>
      <c r="U574" s="161"/>
      <c r="V574" s="204"/>
      <c r="W574" s="204"/>
      <c r="X574" s="204"/>
      <c r="Y574" s="153"/>
      <c r="Z574" s="235">
        <f>666359-0.69+56320.03+48950</f>
        <v>771628.34000000008</v>
      </c>
      <c r="AA574" s="210">
        <v>0</v>
      </c>
      <c r="AB574" s="210">
        <v>0</v>
      </c>
      <c r="AC574" s="211"/>
    </row>
    <row r="575" spans="1:29" ht="27" customHeight="1" x14ac:dyDescent="0.3">
      <c r="A575" s="1066" t="s">
        <v>771</v>
      </c>
      <c r="B575" s="1014" t="s">
        <v>16</v>
      </c>
      <c r="C575" s="1014" t="s">
        <v>126</v>
      </c>
      <c r="D575" s="1014" t="s">
        <v>122</v>
      </c>
      <c r="E575" s="1015" t="s">
        <v>585</v>
      </c>
      <c r="F575" s="1014"/>
      <c r="G575" s="1014"/>
      <c r="H575" s="1014"/>
      <c r="I575" s="1014"/>
      <c r="J575" s="1014"/>
      <c r="K575" s="1014"/>
      <c r="L575" s="1014"/>
      <c r="M575" s="1014"/>
      <c r="N575" s="1014"/>
      <c r="O575" s="1014"/>
      <c r="P575" s="1014"/>
      <c r="Q575" s="1014"/>
      <c r="R575" s="1014"/>
      <c r="S575" s="1014"/>
      <c r="T575" s="1014" t="s">
        <v>427</v>
      </c>
      <c r="U575" s="1067"/>
      <c r="V575" s="1068"/>
      <c r="W575" s="1068"/>
      <c r="X575" s="1068"/>
      <c r="Y575" s="224"/>
      <c r="Z575" s="1069">
        <f>608455+200000+157600-77600</f>
        <v>888455</v>
      </c>
      <c r="AA575" s="210">
        <v>0</v>
      </c>
      <c r="AB575" s="210">
        <v>0</v>
      </c>
      <c r="AC575" s="211"/>
    </row>
    <row r="576" spans="1:29" ht="28.9" customHeight="1" x14ac:dyDescent="0.3">
      <c r="A576" s="898" t="s">
        <v>788</v>
      </c>
      <c r="B576" s="140" t="s">
        <v>16</v>
      </c>
      <c r="C576" s="140" t="s">
        <v>126</v>
      </c>
      <c r="D576" s="140" t="s">
        <v>122</v>
      </c>
      <c r="E576" s="230" t="s">
        <v>585</v>
      </c>
      <c r="F576" s="140"/>
      <c r="G576" s="140"/>
      <c r="H576" s="140"/>
      <c r="I576" s="140"/>
      <c r="J576" s="140"/>
      <c r="K576" s="140"/>
      <c r="L576" s="140"/>
      <c r="M576" s="140"/>
      <c r="N576" s="140"/>
      <c r="O576" s="140"/>
      <c r="P576" s="140"/>
      <c r="Q576" s="140"/>
      <c r="R576" s="140"/>
      <c r="S576" s="140"/>
      <c r="T576" s="140" t="s">
        <v>427</v>
      </c>
      <c r="U576" s="161"/>
      <c r="V576" s="204"/>
      <c r="W576" s="204"/>
      <c r="X576" s="204"/>
      <c r="Y576" s="153"/>
      <c r="Z576" s="235">
        <f>548800+200000+50000</f>
        <v>798800</v>
      </c>
      <c r="AA576" s="210">
        <v>0</v>
      </c>
      <c r="AB576" s="210">
        <v>0</v>
      </c>
      <c r="AC576" s="211"/>
    </row>
    <row r="577" spans="1:29" ht="27" customHeight="1" x14ac:dyDescent="0.3">
      <c r="A577" s="898" t="s">
        <v>787</v>
      </c>
      <c r="B577" s="140" t="s">
        <v>16</v>
      </c>
      <c r="C577" s="140" t="s">
        <v>126</v>
      </c>
      <c r="D577" s="140" t="s">
        <v>122</v>
      </c>
      <c r="E577" s="230" t="s">
        <v>585</v>
      </c>
      <c r="F577" s="140"/>
      <c r="G577" s="140"/>
      <c r="H577" s="140"/>
      <c r="I577" s="140"/>
      <c r="J577" s="140"/>
      <c r="K577" s="140"/>
      <c r="L577" s="140"/>
      <c r="M577" s="140"/>
      <c r="N577" s="140"/>
      <c r="O577" s="140"/>
      <c r="P577" s="140"/>
      <c r="Q577" s="140"/>
      <c r="R577" s="140"/>
      <c r="S577" s="140"/>
      <c r="T577" s="140" t="s">
        <v>427</v>
      </c>
      <c r="U577" s="161"/>
      <c r="V577" s="204"/>
      <c r="W577" s="204"/>
      <c r="X577" s="204"/>
      <c r="Y577" s="153"/>
      <c r="Z577" s="235">
        <f>961458+250000+57200</f>
        <v>1268658</v>
      </c>
      <c r="AA577" s="210">
        <v>0</v>
      </c>
      <c r="AB577" s="210">
        <v>0</v>
      </c>
      <c r="AC577" s="211"/>
    </row>
    <row r="578" spans="1:29" ht="126" customHeight="1" x14ac:dyDescent="0.3">
      <c r="A578" s="153" t="s">
        <v>1546</v>
      </c>
      <c r="B578" s="140" t="s">
        <v>16</v>
      </c>
      <c r="C578" s="140" t="s">
        <v>126</v>
      </c>
      <c r="D578" s="140" t="s">
        <v>122</v>
      </c>
      <c r="E578" s="230" t="s">
        <v>1547</v>
      </c>
      <c r="F578" s="140"/>
      <c r="G578" s="140"/>
      <c r="H578" s="140"/>
      <c r="I578" s="140"/>
      <c r="J578" s="140"/>
      <c r="K578" s="140"/>
      <c r="L578" s="140"/>
      <c r="M578" s="140"/>
      <c r="N578" s="140"/>
      <c r="O578" s="140"/>
      <c r="P578" s="140"/>
      <c r="Q578" s="140"/>
      <c r="R578" s="140"/>
      <c r="S578" s="140"/>
      <c r="T578" s="140"/>
      <c r="U578" s="161"/>
      <c r="V578" s="204"/>
      <c r="W578" s="204"/>
      <c r="X578" s="204"/>
      <c r="Y578" s="153"/>
      <c r="Z578" s="235">
        <f>Z579</f>
        <v>190039</v>
      </c>
      <c r="AA578" s="210">
        <v>0</v>
      </c>
      <c r="AB578" s="210">
        <v>0</v>
      </c>
      <c r="AC578" s="211"/>
    </row>
    <row r="579" spans="1:29" ht="33.75" customHeight="1" x14ac:dyDescent="0.3">
      <c r="A579" s="153" t="s">
        <v>770</v>
      </c>
      <c r="B579" s="140" t="s">
        <v>16</v>
      </c>
      <c r="C579" s="140" t="s">
        <v>126</v>
      </c>
      <c r="D579" s="140" t="s">
        <v>122</v>
      </c>
      <c r="E579" s="230" t="s">
        <v>1547</v>
      </c>
      <c r="F579" s="140"/>
      <c r="G579" s="140"/>
      <c r="H579" s="140"/>
      <c r="I579" s="140"/>
      <c r="J579" s="140"/>
      <c r="K579" s="140"/>
      <c r="L579" s="140"/>
      <c r="M579" s="140"/>
      <c r="N579" s="140"/>
      <c r="O579" s="140"/>
      <c r="P579" s="140"/>
      <c r="Q579" s="140"/>
      <c r="R579" s="140"/>
      <c r="S579" s="140"/>
      <c r="T579" s="140" t="s">
        <v>427</v>
      </c>
      <c r="U579" s="161"/>
      <c r="V579" s="204"/>
      <c r="W579" s="204"/>
      <c r="X579" s="204"/>
      <c r="Y579" s="153"/>
      <c r="Z579" s="235">
        <f>Z581+Z582</f>
        <v>190039</v>
      </c>
      <c r="AA579" s="210">
        <v>0</v>
      </c>
      <c r="AB579" s="210">
        <v>0</v>
      </c>
      <c r="AC579" s="211"/>
    </row>
    <row r="580" spans="1:29" ht="33.75" customHeight="1" x14ac:dyDescent="0.3">
      <c r="A580" s="153" t="s">
        <v>109</v>
      </c>
      <c r="B580" s="140"/>
      <c r="C580" s="140"/>
      <c r="D580" s="140"/>
      <c r="E580" s="230"/>
      <c r="F580" s="140"/>
      <c r="G580" s="140"/>
      <c r="H580" s="140"/>
      <c r="I580" s="140"/>
      <c r="J580" s="140"/>
      <c r="K580" s="140"/>
      <c r="L580" s="140"/>
      <c r="M580" s="140"/>
      <c r="N580" s="140"/>
      <c r="O580" s="140"/>
      <c r="P580" s="140"/>
      <c r="Q580" s="140"/>
      <c r="R580" s="140"/>
      <c r="S580" s="140"/>
      <c r="T580" s="140"/>
      <c r="U580" s="161"/>
      <c r="V580" s="204"/>
      <c r="W580" s="204"/>
      <c r="X580" s="204"/>
      <c r="Y580" s="153"/>
      <c r="Z580" s="235"/>
      <c r="AA580" s="210"/>
      <c r="AB580" s="210"/>
      <c r="AC580" s="211"/>
    </row>
    <row r="581" spans="1:29" ht="33.75" customHeight="1" x14ac:dyDescent="0.3">
      <c r="A581" s="898" t="s">
        <v>771</v>
      </c>
      <c r="B581" s="140" t="s">
        <v>16</v>
      </c>
      <c r="C581" s="140" t="s">
        <v>126</v>
      </c>
      <c r="D581" s="140" t="s">
        <v>122</v>
      </c>
      <c r="E581" s="230" t="s">
        <v>1547</v>
      </c>
      <c r="F581" s="140"/>
      <c r="G581" s="140"/>
      <c r="H581" s="140"/>
      <c r="I581" s="140"/>
      <c r="J581" s="140"/>
      <c r="K581" s="140"/>
      <c r="L581" s="140"/>
      <c r="M581" s="140"/>
      <c r="N581" s="140"/>
      <c r="O581" s="140"/>
      <c r="P581" s="140"/>
      <c r="Q581" s="140"/>
      <c r="R581" s="140"/>
      <c r="S581" s="140"/>
      <c r="T581" s="140" t="s">
        <v>427</v>
      </c>
      <c r="U581" s="161"/>
      <c r="V581" s="204"/>
      <c r="W581" s="204"/>
      <c r="X581" s="204"/>
      <c r="Y581" s="153"/>
      <c r="Z581" s="235">
        <v>150000</v>
      </c>
      <c r="AA581" s="210">
        <v>0</v>
      </c>
      <c r="AB581" s="210">
        <v>0</v>
      </c>
      <c r="AC581" s="211"/>
    </row>
    <row r="582" spans="1:29" ht="27.6" customHeight="1" x14ac:dyDescent="0.3">
      <c r="A582" s="898" t="s">
        <v>786</v>
      </c>
      <c r="B582" s="140" t="s">
        <v>16</v>
      </c>
      <c r="C582" s="140" t="s">
        <v>126</v>
      </c>
      <c r="D582" s="140" t="s">
        <v>122</v>
      </c>
      <c r="E582" s="230" t="s">
        <v>1547</v>
      </c>
      <c r="F582" s="140"/>
      <c r="G582" s="140"/>
      <c r="H582" s="140"/>
      <c r="I582" s="140"/>
      <c r="J582" s="140"/>
      <c r="K582" s="140"/>
      <c r="L582" s="140"/>
      <c r="M582" s="140"/>
      <c r="N582" s="140"/>
      <c r="O582" s="140"/>
      <c r="P582" s="140"/>
      <c r="Q582" s="140"/>
      <c r="R582" s="140"/>
      <c r="S582" s="140"/>
      <c r="T582" s="140" t="s">
        <v>427</v>
      </c>
      <c r="U582" s="161"/>
      <c r="V582" s="204"/>
      <c r="W582" s="204"/>
      <c r="X582" s="204"/>
      <c r="Y582" s="153"/>
      <c r="Z582" s="235">
        <v>40039</v>
      </c>
      <c r="AA582" s="210">
        <v>0</v>
      </c>
      <c r="AB582" s="210">
        <v>0</v>
      </c>
      <c r="AC582" s="211"/>
    </row>
    <row r="583" spans="1:29" ht="36.75" customHeight="1" x14ac:dyDescent="0.3">
      <c r="A583" s="159" t="s">
        <v>403</v>
      </c>
      <c r="B583" s="140" t="s">
        <v>16</v>
      </c>
      <c r="C583" s="140" t="s">
        <v>128</v>
      </c>
      <c r="D583" s="140" t="s">
        <v>133</v>
      </c>
      <c r="E583" s="230"/>
      <c r="F583" s="140"/>
      <c r="G583" s="140"/>
      <c r="H583" s="140"/>
      <c r="I583" s="140"/>
      <c r="J583" s="140"/>
      <c r="K583" s="140"/>
      <c r="L583" s="140"/>
      <c r="M583" s="140"/>
      <c r="N583" s="140"/>
      <c r="O583" s="140"/>
      <c r="P583" s="140"/>
      <c r="Q583" s="140"/>
      <c r="R583" s="140"/>
      <c r="S583" s="140"/>
      <c r="T583" s="140"/>
      <c r="U583" s="161"/>
      <c r="V583" s="204"/>
      <c r="W583" s="204"/>
      <c r="X583" s="204"/>
      <c r="Y583" s="153"/>
      <c r="Z583" s="235">
        <f>Z584</f>
        <v>277538.23</v>
      </c>
      <c r="AA583" s="210">
        <v>0</v>
      </c>
      <c r="AB583" s="210">
        <v>0</v>
      </c>
      <c r="AC583" s="211"/>
    </row>
    <row r="584" spans="1:29" ht="23.25" customHeight="1" x14ac:dyDescent="0.3">
      <c r="A584" s="159" t="s">
        <v>166</v>
      </c>
      <c r="B584" s="140" t="s">
        <v>16</v>
      </c>
      <c r="C584" s="140" t="s">
        <v>128</v>
      </c>
      <c r="D584" s="140" t="s">
        <v>132</v>
      </c>
      <c r="E584" s="230"/>
      <c r="F584" s="140"/>
      <c r="G584" s="140"/>
      <c r="H584" s="140"/>
      <c r="I584" s="140"/>
      <c r="J584" s="140"/>
      <c r="K584" s="140"/>
      <c r="L584" s="140"/>
      <c r="M584" s="140"/>
      <c r="N584" s="140"/>
      <c r="O584" s="140"/>
      <c r="P584" s="140"/>
      <c r="Q584" s="140"/>
      <c r="R584" s="140"/>
      <c r="S584" s="140"/>
      <c r="T584" s="140"/>
      <c r="U584" s="161"/>
      <c r="V584" s="204"/>
      <c r="W584" s="204"/>
      <c r="X584" s="204"/>
      <c r="Y584" s="153"/>
      <c r="Z584" s="235">
        <f>Z585</f>
        <v>277538.23</v>
      </c>
      <c r="AA584" s="210">
        <v>0</v>
      </c>
      <c r="AB584" s="210">
        <v>0</v>
      </c>
      <c r="AC584" s="211"/>
    </row>
    <row r="585" spans="1:29" ht="169.5" customHeight="1" x14ac:dyDescent="0.3">
      <c r="A585" s="486" t="s">
        <v>1468</v>
      </c>
      <c r="B585" s="140" t="s">
        <v>16</v>
      </c>
      <c r="C585" s="140" t="s">
        <v>128</v>
      </c>
      <c r="D585" s="140" t="s">
        <v>132</v>
      </c>
      <c r="E585" s="230" t="s">
        <v>982</v>
      </c>
      <c r="F585" s="140"/>
      <c r="G585" s="140"/>
      <c r="H585" s="140"/>
      <c r="I585" s="140"/>
      <c r="J585" s="140"/>
      <c r="K585" s="140"/>
      <c r="L585" s="140"/>
      <c r="M585" s="140"/>
      <c r="N585" s="140"/>
      <c r="O585" s="140"/>
      <c r="P585" s="140"/>
      <c r="Q585" s="140"/>
      <c r="R585" s="140"/>
      <c r="S585" s="140"/>
      <c r="T585" s="140"/>
      <c r="U585" s="161"/>
      <c r="V585" s="204"/>
      <c r="W585" s="204"/>
      <c r="X585" s="204"/>
      <c r="Y585" s="153"/>
      <c r="Z585" s="235">
        <f>Z586</f>
        <v>277538.23</v>
      </c>
      <c r="AA585" s="210">
        <v>0</v>
      </c>
      <c r="AB585" s="210">
        <v>0</v>
      </c>
      <c r="AC585" s="211"/>
    </row>
    <row r="586" spans="1:29" ht="36.75" customHeight="1" x14ac:dyDescent="0.3">
      <c r="A586" s="153" t="s">
        <v>770</v>
      </c>
      <c r="B586" s="140" t="s">
        <v>16</v>
      </c>
      <c r="C586" s="140" t="s">
        <v>128</v>
      </c>
      <c r="D586" s="140" t="s">
        <v>132</v>
      </c>
      <c r="E586" s="230" t="s">
        <v>982</v>
      </c>
      <c r="F586" s="140"/>
      <c r="G586" s="140"/>
      <c r="H586" s="140"/>
      <c r="I586" s="140"/>
      <c r="J586" s="140"/>
      <c r="K586" s="140"/>
      <c r="L586" s="140"/>
      <c r="M586" s="140"/>
      <c r="N586" s="140"/>
      <c r="O586" s="140"/>
      <c r="P586" s="140"/>
      <c r="Q586" s="140"/>
      <c r="R586" s="140"/>
      <c r="S586" s="140"/>
      <c r="T586" s="140" t="s">
        <v>427</v>
      </c>
      <c r="U586" s="161"/>
      <c r="V586" s="204"/>
      <c r="W586" s="204"/>
      <c r="X586" s="204"/>
      <c r="Y586" s="153"/>
      <c r="Z586" s="235">
        <f>Z588+Z589</f>
        <v>277538.23</v>
      </c>
      <c r="AA586" s="210">
        <v>0</v>
      </c>
      <c r="AB586" s="210">
        <v>0</v>
      </c>
      <c r="AC586" s="211"/>
    </row>
    <row r="587" spans="1:29" ht="21.75" customHeight="1" x14ac:dyDescent="0.3">
      <c r="A587" s="153" t="s">
        <v>109</v>
      </c>
      <c r="B587" s="140"/>
      <c r="C587" s="140"/>
      <c r="D587" s="140"/>
      <c r="E587" s="230"/>
      <c r="F587" s="140"/>
      <c r="G587" s="140"/>
      <c r="H587" s="140"/>
      <c r="I587" s="140"/>
      <c r="J587" s="140"/>
      <c r="K587" s="140"/>
      <c r="L587" s="140"/>
      <c r="M587" s="140"/>
      <c r="N587" s="140"/>
      <c r="O587" s="140"/>
      <c r="P587" s="140"/>
      <c r="Q587" s="140"/>
      <c r="R587" s="140"/>
      <c r="S587" s="140"/>
      <c r="T587" s="140"/>
      <c r="U587" s="161"/>
      <c r="V587" s="204"/>
      <c r="W587" s="204"/>
      <c r="X587" s="204"/>
      <c r="Y587" s="153"/>
      <c r="Z587" s="235"/>
      <c r="AA587" s="210"/>
      <c r="AB587" s="210"/>
      <c r="AC587" s="211"/>
    </row>
    <row r="588" spans="1:29" ht="30.75" customHeight="1" x14ac:dyDescent="0.3">
      <c r="A588" s="898" t="s">
        <v>783</v>
      </c>
      <c r="B588" s="140" t="s">
        <v>16</v>
      </c>
      <c r="C588" s="140" t="s">
        <v>128</v>
      </c>
      <c r="D588" s="140" t="s">
        <v>132</v>
      </c>
      <c r="E588" s="230" t="s">
        <v>982</v>
      </c>
      <c r="F588" s="140"/>
      <c r="G588" s="140"/>
      <c r="H588" s="140"/>
      <c r="I588" s="140"/>
      <c r="J588" s="140"/>
      <c r="K588" s="140"/>
      <c r="L588" s="140"/>
      <c r="M588" s="140"/>
      <c r="N588" s="140"/>
      <c r="O588" s="140"/>
      <c r="P588" s="140"/>
      <c r="Q588" s="140"/>
      <c r="R588" s="140"/>
      <c r="S588" s="140"/>
      <c r="T588" s="140" t="s">
        <v>427</v>
      </c>
      <c r="U588" s="161"/>
      <c r="V588" s="204"/>
      <c r="W588" s="204"/>
      <c r="X588" s="204"/>
      <c r="Y588" s="153"/>
      <c r="Z588" s="235">
        <f>86671.56+138000</f>
        <v>224671.56</v>
      </c>
      <c r="AA588" s="210">
        <v>0</v>
      </c>
      <c r="AB588" s="210">
        <v>0</v>
      </c>
      <c r="AC588" s="211"/>
    </row>
    <row r="589" spans="1:29" ht="29.25" customHeight="1" x14ac:dyDescent="0.3">
      <c r="A589" s="1066" t="s">
        <v>1473</v>
      </c>
      <c r="B589" s="1014" t="s">
        <v>16</v>
      </c>
      <c r="C589" s="1014" t="s">
        <v>128</v>
      </c>
      <c r="D589" s="1014" t="s">
        <v>132</v>
      </c>
      <c r="E589" s="1015" t="s">
        <v>982</v>
      </c>
      <c r="F589" s="1014"/>
      <c r="G589" s="1014"/>
      <c r="H589" s="1014"/>
      <c r="I589" s="1014"/>
      <c r="J589" s="1014"/>
      <c r="K589" s="1014"/>
      <c r="L589" s="1014"/>
      <c r="M589" s="1014"/>
      <c r="N589" s="1014"/>
      <c r="O589" s="1014"/>
      <c r="P589" s="1014"/>
      <c r="Q589" s="1014"/>
      <c r="R589" s="1014"/>
      <c r="S589" s="1014"/>
      <c r="T589" s="1014" t="s">
        <v>427</v>
      </c>
      <c r="U589" s="1067"/>
      <c r="V589" s="1068"/>
      <c r="W589" s="1068"/>
      <c r="X589" s="1068"/>
      <c r="Y589" s="224"/>
      <c r="Z589" s="1069">
        <f>60000-7133.33</f>
        <v>52866.67</v>
      </c>
      <c r="AA589" s="210">
        <v>0</v>
      </c>
      <c r="AB589" s="210">
        <v>0</v>
      </c>
      <c r="AC589" s="211"/>
    </row>
    <row r="590" spans="1:29" ht="80.45" customHeight="1" x14ac:dyDescent="0.3">
      <c r="A590" s="159" t="s">
        <v>715</v>
      </c>
      <c r="B590" s="160" t="s">
        <v>16</v>
      </c>
      <c r="C590" s="160" t="s">
        <v>131</v>
      </c>
      <c r="D590" s="160" t="s">
        <v>133</v>
      </c>
      <c r="E590" s="139"/>
      <c r="F590" s="160"/>
      <c r="G590" s="160"/>
      <c r="H590" s="160"/>
      <c r="I590" s="160"/>
      <c r="J590" s="160"/>
      <c r="K590" s="160"/>
      <c r="L590" s="160"/>
      <c r="M590" s="160"/>
      <c r="N590" s="160"/>
      <c r="O590" s="160"/>
      <c r="P590" s="160"/>
      <c r="Q590" s="160"/>
      <c r="R590" s="160"/>
      <c r="S590" s="160"/>
      <c r="T590" s="160"/>
      <c r="U590" s="160"/>
      <c r="V590" s="212"/>
      <c r="W590" s="212"/>
      <c r="X590" s="212"/>
      <c r="Y590" s="159" t="s">
        <v>424</v>
      </c>
      <c r="Z590" s="213">
        <f t="shared" ref="Z590:AB592" si="22">Z591</f>
        <v>21804570.870000001</v>
      </c>
      <c r="AA590" s="213">
        <f t="shared" si="22"/>
        <v>22408600</v>
      </c>
      <c r="AB590" s="213">
        <f t="shared" si="22"/>
        <v>22427900</v>
      </c>
      <c r="AC590" s="288" t="s">
        <v>424</v>
      </c>
    </row>
    <row r="591" spans="1:29" ht="74.45" customHeight="1" x14ac:dyDescent="0.3">
      <c r="A591" s="159" t="s">
        <v>169</v>
      </c>
      <c r="B591" s="160" t="s">
        <v>16</v>
      </c>
      <c r="C591" s="160" t="s">
        <v>131</v>
      </c>
      <c r="D591" s="160" t="s">
        <v>122</v>
      </c>
      <c r="E591" s="139"/>
      <c r="F591" s="160"/>
      <c r="G591" s="160"/>
      <c r="H591" s="160"/>
      <c r="I591" s="160"/>
      <c r="J591" s="160"/>
      <c r="K591" s="160"/>
      <c r="L591" s="160"/>
      <c r="M591" s="160"/>
      <c r="N591" s="160"/>
      <c r="O591" s="160"/>
      <c r="P591" s="160"/>
      <c r="Q591" s="160"/>
      <c r="R591" s="160"/>
      <c r="S591" s="160"/>
      <c r="T591" s="160"/>
      <c r="U591" s="160"/>
      <c r="V591" s="212"/>
      <c r="W591" s="212"/>
      <c r="X591" s="212"/>
      <c r="Y591" s="159" t="s">
        <v>169</v>
      </c>
      <c r="Z591" s="213">
        <f>Z592+Z594</f>
        <v>21804570.870000001</v>
      </c>
      <c r="AA591" s="213">
        <f>AA592+AA594</f>
        <v>22408600</v>
      </c>
      <c r="AB591" s="213">
        <f>AB592+AB594</f>
        <v>22427900</v>
      </c>
      <c r="AC591" s="288" t="s">
        <v>169</v>
      </c>
    </row>
    <row r="592" spans="1:29" ht="165.6" customHeight="1" x14ac:dyDescent="0.3">
      <c r="A592" s="155" t="s">
        <v>1330</v>
      </c>
      <c r="B592" s="230" t="s">
        <v>16</v>
      </c>
      <c r="C592" s="230" t="s">
        <v>131</v>
      </c>
      <c r="D592" s="230" t="s">
        <v>122</v>
      </c>
      <c r="E592" s="230" t="s">
        <v>1094</v>
      </c>
      <c r="F592" s="230"/>
      <c r="G592" s="230"/>
      <c r="H592" s="230"/>
      <c r="I592" s="230"/>
      <c r="J592" s="230"/>
      <c r="K592" s="230"/>
      <c r="L592" s="230"/>
      <c r="M592" s="230"/>
      <c r="N592" s="230"/>
      <c r="O592" s="230"/>
      <c r="P592" s="230"/>
      <c r="Q592" s="230"/>
      <c r="R592" s="230"/>
      <c r="S592" s="230"/>
      <c r="T592" s="230"/>
      <c r="U592" s="161"/>
      <c r="V592" s="204"/>
      <c r="W592" s="204"/>
      <c r="X592" s="204"/>
      <c r="Y592" s="155" t="s">
        <v>425</v>
      </c>
      <c r="Z592" s="235">
        <f t="shared" si="22"/>
        <v>20000000</v>
      </c>
      <c r="AA592" s="235">
        <f t="shared" si="22"/>
        <v>20000000</v>
      </c>
      <c r="AB592" s="235">
        <f t="shared" si="22"/>
        <v>20000000</v>
      </c>
      <c r="AC592" s="563" t="s">
        <v>425</v>
      </c>
    </row>
    <row r="593" spans="1:31" ht="32.25" customHeight="1" x14ac:dyDescent="0.3">
      <c r="A593" s="154" t="s">
        <v>1093</v>
      </c>
      <c r="B593" s="140" t="s">
        <v>16</v>
      </c>
      <c r="C593" s="140" t="s">
        <v>131</v>
      </c>
      <c r="D593" s="140" t="s">
        <v>122</v>
      </c>
      <c r="E593" s="230" t="s">
        <v>1094</v>
      </c>
      <c r="F593" s="140"/>
      <c r="G593" s="140"/>
      <c r="H593" s="140"/>
      <c r="I593" s="140"/>
      <c r="J593" s="140"/>
      <c r="K593" s="140"/>
      <c r="L593" s="140"/>
      <c r="M593" s="140"/>
      <c r="N593" s="140"/>
      <c r="O593" s="140"/>
      <c r="P593" s="140"/>
      <c r="Q593" s="140"/>
      <c r="R593" s="140"/>
      <c r="S593" s="140"/>
      <c r="T593" s="140" t="s">
        <v>427</v>
      </c>
      <c r="U593" s="136"/>
      <c r="V593" s="137"/>
      <c r="W593" s="137"/>
      <c r="X593" s="137"/>
      <c r="Y593" s="154" t="s">
        <v>426</v>
      </c>
      <c r="Z593" s="210">
        <v>20000000</v>
      </c>
      <c r="AA593" s="210">
        <v>20000000</v>
      </c>
      <c r="AB593" s="210">
        <v>20000000</v>
      </c>
      <c r="AC593" s="559" t="s">
        <v>426</v>
      </c>
    </row>
    <row r="594" spans="1:31" ht="201.6" customHeight="1" x14ac:dyDescent="0.3">
      <c r="A594" s="155" t="s">
        <v>1312</v>
      </c>
      <c r="B594" s="140" t="s">
        <v>16</v>
      </c>
      <c r="C594" s="140" t="s">
        <v>131</v>
      </c>
      <c r="D594" s="140" t="s">
        <v>122</v>
      </c>
      <c r="E594" s="230" t="s">
        <v>1092</v>
      </c>
      <c r="F594" s="140"/>
      <c r="G594" s="140"/>
      <c r="H594" s="140"/>
      <c r="I594" s="140"/>
      <c r="J594" s="140"/>
      <c r="K594" s="140"/>
      <c r="L594" s="140"/>
      <c r="M594" s="140"/>
      <c r="N594" s="140"/>
      <c r="O594" s="140"/>
      <c r="P594" s="140"/>
      <c r="Q594" s="140"/>
      <c r="R594" s="140"/>
      <c r="S594" s="140"/>
      <c r="T594" s="140"/>
      <c r="U594" s="136"/>
      <c r="V594" s="137"/>
      <c r="W594" s="137"/>
      <c r="X594" s="137"/>
      <c r="Y594" s="154"/>
      <c r="Z594" s="210">
        <f>Z595</f>
        <v>1804570.87</v>
      </c>
      <c r="AA594" s="210">
        <f>AA595</f>
        <v>2408600</v>
      </c>
      <c r="AB594" s="210">
        <f>AB595</f>
        <v>2427900</v>
      </c>
      <c r="AC594" s="559"/>
    </row>
    <row r="595" spans="1:31" ht="25.9" customHeight="1" x14ac:dyDescent="0.3">
      <c r="A595" s="154" t="s">
        <v>1093</v>
      </c>
      <c r="B595" s="140" t="s">
        <v>16</v>
      </c>
      <c r="C595" s="140" t="s">
        <v>131</v>
      </c>
      <c r="D595" s="140" t="s">
        <v>122</v>
      </c>
      <c r="E595" s="230" t="s">
        <v>1092</v>
      </c>
      <c r="F595" s="140"/>
      <c r="G595" s="140"/>
      <c r="H595" s="140"/>
      <c r="I595" s="140"/>
      <c r="J595" s="140"/>
      <c r="K595" s="140"/>
      <c r="L595" s="140"/>
      <c r="M595" s="140"/>
      <c r="N595" s="140"/>
      <c r="O595" s="140"/>
      <c r="P595" s="140"/>
      <c r="Q595" s="140"/>
      <c r="R595" s="140"/>
      <c r="S595" s="140"/>
      <c r="T595" s="140" t="s">
        <v>427</v>
      </c>
      <c r="U595" s="136"/>
      <c r="V595" s="137"/>
      <c r="W595" s="137"/>
      <c r="X595" s="137"/>
      <c r="Y595" s="154"/>
      <c r="Z595" s="210">
        <f>2378300-573729.13</f>
        <v>1804570.87</v>
      </c>
      <c r="AA595" s="210">
        <v>2408600</v>
      </c>
      <c r="AB595" s="210">
        <v>2427900</v>
      </c>
      <c r="AC595" s="559"/>
    </row>
    <row r="596" spans="1:31" ht="55.9" customHeight="1" x14ac:dyDescent="0.3">
      <c r="A596" s="159" t="s">
        <v>716</v>
      </c>
      <c r="B596" s="160" t="s">
        <v>18</v>
      </c>
      <c r="C596" s="160"/>
      <c r="D596" s="160"/>
      <c r="E596" s="139"/>
      <c r="F596" s="160"/>
      <c r="G596" s="160"/>
      <c r="H596" s="160"/>
      <c r="I596" s="160"/>
      <c r="J596" s="160"/>
      <c r="K596" s="160"/>
      <c r="L596" s="160"/>
      <c r="M596" s="160"/>
      <c r="N596" s="160"/>
      <c r="O596" s="160"/>
      <c r="P596" s="160"/>
      <c r="Q596" s="160"/>
      <c r="R596" s="160"/>
      <c r="S596" s="160"/>
      <c r="T596" s="160"/>
      <c r="U596" s="160"/>
      <c r="V596" s="212"/>
      <c r="W596" s="212"/>
      <c r="X596" s="212"/>
      <c r="Y596" s="159" t="s">
        <v>428</v>
      </c>
      <c r="Z596" s="213">
        <f>Z597+Z692</f>
        <v>534703125.24999994</v>
      </c>
      <c r="AA596" s="213">
        <f>AA597+AA692</f>
        <v>492876225.5399999</v>
      </c>
      <c r="AB596" s="213">
        <f>AB597+AB692</f>
        <v>517120022.17999995</v>
      </c>
      <c r="AC596" s="288" t="s">
        <v>428</v>
      </c>
    </row>
    <row r="597" spans="1:31" ht="18.600000000000001" customHeight="1" x14ac:dyDescent="0.3">
      <c r="A597" s="159" t="s">
        <v>366</v>
      </c>
      <c r="B597" s="160" t="s">
        <v>18</v>
      </c>
      <c r="C597" s="160" t="s">
        <v>138</v>
      </c>
      <c r="D597" s="160" t="s">
        <v>133</v>
      </c>
      <c r="E597" s="139"/>
      <c r="F597" s="160"/>
      <c r="G597" s="160"/>
      <c r="H597" s="160"/>
      <c r="I597" s="160"/>
      <c r="J597" s="160"/>
      <c r="K597" s="160"/>
      <c r="L597" s="160"/>
      <c r="M597" s="160"/>
      <c r="N597" s="160"/>
      <c r="O597" s="160"/>
      <c r="P597" s="160"/>
      <c r="Q597" s="160"/>
      <c r="R597" s="160"/>
      <c r="S597" s="160"/>
      <c r="T597" s="160"/>
      <c r="U597" s="160"/>
      <c r="V597" s="212"/>
      <c r="W597" s="212"/>
      <c r="X597" s="212"/>
      <c r="Y597" s="159" t="s">
        <v>366</v>
      </c>
      <c r="Z597" s="213">
        <f>Z598+Z615+Z660+Z671</f>
        <v>503818235.66999996</v>
      </c>
      <c r="AA597" s="213">
        <f>AA598+AA615+AA660+AA671</f>
        <v>463001468.95999992</v>
      </c>
      <c r="AB597" s="213">
        <f>AB598+AB615+AB660+AB671</f>
        <v>486648512.77999997</v>
      </c>
      <c r="AC597" s="288" t="s">
        <v>366</v>
      </c>
    </row>
    <row r="598" spans="1:31" ht="18.600000000000001" customHeight="1" x14ac:dyDescent="0.3">
      <c r="A598" s="159" t="s">
        <v>155</v>
      </c>
      <c r="B598" s="160" t="s">
        <v>18</v>
      </c>
      <c r="C598" s="160" t="s">
        <v>138</v>
      </c>
      <c r="D598" s="160" t="s">
        <v>122</v>
      </c>
      <c r="E598" s="139"/>
      <c r="F598" s="160"/>
      <c r="G598" s="160"/>
      <c r="H598" s="160"/>
      <c r="I598" s="160"/>
      <c r="J598" s="160"/>
      <c r="K598" s="160"/>
      <c r="L598" s="160"/>
      <c r="M598" s="160"/>
      <c r="N598" s="160"/>
      <c r="O598" s="160"/>
      <c r="P598" s="160"/>
      <c r="Q598" s="160"/>
      <c r="R598" s="160"/>
      <c r="S598" s="160"/>
      <c r="T598" s="160"/>
      <c r="U598" s="160"/>
      <c r="V598" s="212"/>
      <c r="W598" s="212"/>
      <c r="X598" s="212"/>
      <c r="Y598" s="159" t="s">
        <v>155</v>
      </c>
      <c r="Z598" s="213">
        <f>Z599+Z605+Z607+Z611+Z613+Z601+Z604+Z609</f>
        <v>121166056.84999999</v>
      </c>
      <c r="AA598" s="213">
        <f>AA599+AA605+AA607+AA611+AA613+AA601+AA603</f>
        <v>136187868.88999999</v>
      </c>
      <c r="AB598" s="213">
        <f>AB599+AB605+AB607+AB611+AB613+AB601+AB603</f>
        <v>148067405.03</v>
      </c>
      <c r="AC598" s="288" t="s">
        <v>155</v>
      </c>
    </row>
    <row r="599" spans="1:31" ht="0.75" customHeight="1" x14ac:dyDescent="0.3">
      <c r="A599" s="487" t="s">
        <v>763</v>
      </c>
      <c r="B599" s="230" t="s">
        <v>18</v>
      </c>
      <c r="C599" s="230" t="s">
        <v>138</v>
      </c>
      <c r="D599" s="230" t="s">
        <v>122</v>
      </c>
      <c r="E599" s="230" t="s">
        <v>762</v>
      </c>
      <c r="F599" s="230"/>
      <c r="G599" s="230"/>
      <c r="H599" s="230"/>
      <c r="I599" s="230"/>
      <c r="J599" s="230"/>
      <c r="K599" s="230"/>
      <c r="L599" s="230"/>
      <c r="M599" s="230"/>
      <c r="N599" s="230"/>
      <c r="O599" s="230"/>
      <c r="P599" s="230"/>
      <c r="Q599" s="230"/>
      <c r="R599" s="230"/>
      <c r="S599" s="230"/>
      <c r="T599" s="230"/>
      <c r="U599" s="160"/>
      <c r="V599" s="212"/>
      <c r="W599" s="212"/>
      <c r="X599" s="212"/>
      <c r="Y599" s="159"/>
      <c r="Z599" s="235">
        <f>Z600</f>
        <v>0</v>
      </c>
      <c r="AA599" s="235">
        <f>AA600</f>
        <v>0</v>
      </c>
      <c r="AB599" s="235">
        <f>AB600</f>
        <v>0</v>
      </c>
      <c r="AC599" s="288"/>
    </row>
    <row r="600" spans="1:31" ht="100.5" hidden="1" customHeight="1" x14ac:dyDescent="0.3">
      <c r="A600" s="135" t="s">
        <v>761</v>
      </c>
      <c r="B600" s="140" t="s">
        <v>18</v>
      </c>
      <c r="C600" s="140" t="s">
        <v>138</v>
      </c>
      <c r="D600" s="140" t="s">
        <v>122</v>
      </c>
      <c r="E600" s="230" t="s">
        <v>762</v>
      </c>
      <c r="F600" s="140"/>
      <c r="G600" s="140"/>
      <c r="H600" s="140"/>
      <c r="I600" s="140"/>
      <c r="J600" s="140"/>
      <c r="K600" s="140"/>
      <c r="L600" s="140"/>
      <c r="M600" s="140"/>
      <c r="N600" s="140"/>
      <c r="O600" s="140"/>
      <c r="P600" s="140"/>
      <c r="Q600" s="140"/>
      <c r="R600" s="140"/>
      <c r="S600" s="140"/>
      <c r="T600" s="140" t="s">
        <v>294</v>
      </c>
      <c r="U600" s="160"/>
      <c r="V600" s="212"/>
      <c r="W600" s="212"/>
      <c r="X600" s="212"/>
      <c r="Y600" s="159"/>
      <c r="Z600" s="235">
        <v>0</v>
      </c>
      <c r="AA600" s="235">
        <v>0</v>
      </c>
      <c r="AB600" s="235">
        <v>0</v>
      </c>
      <c r="AC600" s="288"/>
    </row>
    <row r="601" spans="1:31" ht="171" customHeight="1" x14ac:dyDescent="0.3">
      <c r="A601" s="153" t="s">
        <v>1248</v>
      </c>
      <c r="B601" s="230" t="s">
        <v>18</v>
      </c>
      <c r="C601" s="230" t="s">
        <v>138</v>
      </c>
      <c r="D601" s="230" t="s">
        <v>122</v>
      </c>
      <c r="E601" s="230" t="s">
        <v>776</v>
      </c>
      <c r="F601" s="230"/>
      <c r="G601" s="230"/>
      <c r="H601" s="230"/>
      <c r="I601" s="230"/>
      <c r="J601" s="230"/>
      <c r="K601" s="230"/>
      <c r="L601" s="230"/>
      <c r="M601" s="230"/>
      <c r="N601" s="230"/>
      <c r="O601" s="230"/>
      <c r="P601" s="230"/>
      <c r="Q601" s="230"/>
      <c r="R601" s="230"/>
      <c r="S601" s="230"/>
      <c r="T601" s="230"/>
      <c r="U601" s="160"/>
      <c r="V601" s="212"/>
      <c r="W601" s="212"/>
      <c r="X601" s="212"/>
      <c r="Y601" s="159"/>
      <c r="Z601" s="235">
        <f>Z602</f>
        <v>201859.71000000002</v>
      </c>
      <c r="AA601" s="235">
        <f>AA602</f>
        <v>100000</v>
      </c>
      <c r="AB601" s="235">
        <f>AB602</f>
        <v>100000</v>
      </c>
      <c r="AC601" s="288"/>
      <c r="AE601" s="127"/>
    </row>
    <row r="602" spans="1:31" ht="57.6" customHeight="1" x14ac:dyDescent="0.3">
      <c r="A602" s="135" t="s">
        <v>708</v>
      </c>
      <c r="B602" s="140" t="s">
        <v>18</v>
      </c>
      <c r="C602" s="140" t="s">
        <v>138</v>
      </c>
      <c r="D602" s="140" t="s">
        <v>122</v>
      </c>
      <c r="E602" s="230" t="s">
        <v>776</v>
      </c>
      <c r="F602" s="140"/>
      <c r="G602" s="140"/>
      <c r="H602" s="140"/>
      <c r="I602" s="140"/>
      <c r="J602" s="140"/>
      <c r="K602" s="140"/>
      <c r="L602" s="140"/>
      <c r="M602" s="140"/>
      <c r="N602" s="140"/>
      <c r="O602" s="140"/>
      <c r="P602" s="140"/>
      <c r="Q602" s="140"/>
      <c r="R602" s="140"/>
      <c r="S602" s="140"/>
      <c r="T602" s="140" t="s">
        <v>294</v>
      </c>
      <c r="U602" s="160"/>
      <c r="V602" s="212"/>
      <c r="W602" s="212"/>
      <c r="X602" s="212"/>
      <c r="Y602" s="159"/>
      <c r="Z602" s="235">
        <f>300000-98140.29</f>
        <v>201859.71000000002</v>
      </c>
      <c r="AA602" s="235">
        <v>100000</v>
      </c>
      <c r="AB602" s="235">
        <v>100000</v>
      </c>
      <c r="AC602" s="288"/>
      <c r="AD602" s="719"/>
      <c r="AE602" s="127"/>
    </row>
    <row r="603" spans="1:31" ht="134.25" customHeight="1" x14ac:dyDescent="0.3">
      <c r="A603" s="155" t="s">
        <v>1331</v>
      </c>
      <c r="B603" s="140" t="s">
        <v>18</v>
      </c>
      <c r="C603" s="140" t="s">
        <v>138</v>
      </c>
      <c r="D603" s="140" t="s">
        <v>122</v>
      </c>
      <c r="E603" s="230" t="s">
        <v>1101</v>
      </c>
      <c r="F603" s="140"/>
      <c r="G603" s="140"/>
      <c r="H603" s="140"/>
      <c r="I603" s="140"/>
      <c r="J603" s="140"/>
      <c r="K603" s="140"/>
      <c r="L603" s="140"/>
      <c r="M603" s="140"/>
      <c r="N603" s="140"/>
      <c r="O603" s="140"/>
      <c r="P603" s="140"/>
      <c r="Q603" s="140"/>
      <c r="R603" s="140"/>
      <c r="S603" s="140"/>
      <c r="T603" s="140"/>
      <c r="U603" s="160"/>
      <c r="V603" s="212"/>
      <c r="W603" s="212"/>
      <c r="X603" s="212"/>
      <c r="Y603" s="159"/>
      <c r="Z603" s="235">
        <f>Z604</f>
        <v>66161123.019999996</v>
      </c>
      <c r="AA603" s="235">
        <f>AA604</f>
        <v>73403958.049999997</v>
      </c>
      <c r="AB603" s="235">
        <f>AB604</f>
        <v>73611170.960000008</v>
      </c>
      <c r="AC603" s="288"/>
      <c r="AE603" s="127"/>
    </row>
    <row r="604" spans="1:31" ht="60.75" customHeight="1" x14ac:dyDescent="0.3">
      <c r="A604" s="135" t="s">
        <v>708</v>
      </c>
      <c r="B604" s="140" t="s">
        <v>18</v>
      </c>
      <c r="C604" s="140" t="s">
        <v>138</v>
      </c>
      <c r="D604" s="140" t="s">
        <v>122</v>
      </c>
      <c r="E604" s="230" t="s">
        <v>1101</v>
      </c>
      <c r="F604" s="140"/>
      <c r="G604" s="140"/>
      <c r="H604" s="140"/>
      <c r="I604" s="140"/>
      <c r="J604" s="140"/>
      <c r="K604" s="140"/>
      <c r="L604" s="140"/>
      <c r="M604" s="140"/>
      <c r="N604" s="140"/>
      <c r="O604" s="140"/>
      <c r="P604" s="140"/>
      <c r="Q604" s="140"/>
      <c r="R604" s="140"/>
      <c r="S604" s="140"/>
      <c r="T604" s="140" t="s">
        <v>294</v>
      </c>
      <c r="U604" s="160"/>
      <c r="V604" s="212"/>
      <c r="W604" s="212"/>
      <c r="X604" s="212"/>
      <c r="Y604" s="159"/>
      <c r="Z604" s="235">
        <f>55548127.44+10462995.58+150000</f>
        <v>66161123.019999996</v>
      </c>
      <c r="AA604" s="235">
        <f>30000000+21214400.66+22189557.39</f>
        <v>73403958.049999997</v>
      </c>
      <c r="AB604" s="235">
        <f>30000000+25641233.62+17969937.34</f>
        <v>73611170.960000008</v>
      </c>
      <c r="AC604" s="288"/>
      <c r="AE604" s="127"/>
    </row>
    <row r="605" spans="1:31" ht="134.25" customHeight="1" x14ac:dyDescent="0.3">
      <c r="A605" s="153" t="s">
        <v>1408</v>
      </c>
      <c r="B605" s="230" t="s">
        <v>18</v>
      </c>
      <c r="C605" s="230" t="s">
        <v>138</v>
      </c>
      <c r="D605" s="230" t="s">
        <v>122</v>
      </c>
      <c r="E605" s="230" t="s">
        <v>621</v>
      </c>
      <c r="F605" s="230"/>
      <c r="G605" s="230"/>
      <c r="H605" s="230"/>
      <c r="I605" s="230"/>
      <c r="J605" s="230"/>
      <c r="K605" s="230"/>
      <c r="L605" s="230"/>
      <c r="M605" s="230"/>
      <c r="N605" s="230"/>
      <c r="O605" s="230"/>
      <c r="P605" s="230"/>
      <c r="Q605" s="230"/>
      <c r="R605" s="230"/>
      <c r="S605" s="230"/>
      <c r="T605" s="230"/>
      <c r="U605" s="161"/>
      <c r="V605" s="204"/>
      <c r="W605" s="204"/>
      <c r="X605" s="204"/>
      <c r="Y605" s="153" t="s">
        <v>429</v>
      </c>
      <c r="Z605" s="235">
        <f>Z606</f>
        <v>5123068</v>
      </c>
      <c r="AA605" s="235">
        <f>AA606</f>
        <v>0</v>
      </c>
      <c r="AB605" s="235">
        <f>AB606</f>
        <v>0</v>
      </c>
      <c r="AC605" s="558" t="s">
        <v>429</v>
      </c>
    </row>
    <row r="606" spans="1:31" ht="63" customHeight="1" x14ac:dyDescent="0.3">
      <c r="A606" s="135" t="s">
        <v>708</v>
      </c>
      <c r="B606" s="140" t="s">
        <v>18</v>
      </c>
      <c r="C606" s="140" t="s">
        <v>138</v>
      </c>
      <c r="D606" s="140" t="s">
        <v>122</v>
      </c>
      <c r="E606" s="230" t="s">
        <v>621</v>
      </c>
      <c r="F606" s="140"/>
      <c r="G606" s="140"/>
      <c r="H606" s="140"/>
      <c r="I606" s="140"/>
      <c r="J606" s="140"/>
      <c r="K606" s="140"/>
      <c r="L606" s="140"/>
      <c r="M606" s="140"/>
      <c r="N606" s="140"/>
      <c r="O606" s="140"/>
      <c r="P606" s="140"/>
      <c r="Q606" s="140"/>
      <c r="R606" s="140"/>
      <c r="S606" s="140"/>
      <c r="T606" s="140" t="s">
        <v>294</v>
      </c>
      <c r="U606" s="136"/>
      <c r="V606" s="137"/>
      <c r="W606" s="137"/>
      <c r="X606" s="137"/>
      <c r="Y606" s="135" t="s">
        <v>430</v>
      </c>
      <c r="Z606" s="210">
        <f>7500000-2226932-150000</f>
        <v>5123068</v>
      </c>
      <c r="AA606" s="210">
        <v>0</v>
      </c>
      <c r="AB606" s="210">
        <v>0</v>
      </c>
      <c r="AC606" s="211" t="s">
        <v>430</v>
      </c>
    </row>
    <row r="607" spans="1:31" ht="120.75" customHeight="1" x14ac:dyDescent="0.3">
      <c r="A607" s="153" t="s">
        <v>1249</v>
      </c>
      <c r="B607" s="230" t="s">
        <v>18</v>
      </c>
      <c r="C607" s="230" t="s">
        <v>138</v>
      </c>
      <c r="D607" s="230" t="s">
        <v>122</v>
      </c>
      <c r="E607" s="230" t="s">
        <v>622</v>
      </c>
      <c r="F607" s="230"/>
      <c r="G607" s="230"/>
      <c r="H607" s="230"/>
      <c r="I607" s="230"/>
      <c r="J607" s="230"/>
      <c r="K607" s="230"/>
      <c r="L607" s="230"/>
      <c r="M607" s="230"/>
      <c r="N607" s="230"/>
      <c r="O607" s="230"/>
      <c r="P607" s="230"/>
      <c r="Q607" s="230"/>
      <c r="R607" s="230"/>
      <c r="S607" s="230"/>
      <c r="T607" s="230"/>
      <c r="U607" s="161"/>
      <c r="V607" s="204"/>
      <c r="W607" s="204"/>
      <c r="X607" s="204"/>
      <c r="Y607" s="153" t="s">
        <v>431</v>
      </c>
      <c r="Z607" s="235">
        <f>Z608</f>
        <v>2100000</v>
      </c>
      <c r="AA607" s="235">
        <f>AA608</f>
        <v>4241441.93</v>
      </c>
      <c r="AB607" s="235">
        <f>AB608</f>
        <v>4734115.1599999992</v>
      </c>
      <c r="AC607" s="558" t="s">
        <v>431</v>
      </c>
    </row>
    <row r="608" spans="1:31" ht="64.5" customHeight="1" x14ac:dyDescent="0.3">
      <c r="A608" s="135" t="s">
        <v>708</v>
      </c>
      <c r="B608" s="140" t="s">
        <v>18</v>
      </c>
      <c r="C608" s="140" t="s">
        <v>138</v>
      </c>
      <c r="D608" s="140" t="s">
        <v>122</v>
      </c>
      <c r="E608" s="230" t="s">
        <v>622</v>
      </c>
      <c r="F608" s="140"/>
      <c r="G608" s="140"/>
      <c r="H608" s="140"/>
      <c r="I608" s="140"/>
      <c r="J608" s="140"/>
      <c r="K608" s="140"/>
      <c r="L608" s="140"/>
      <c r="M608" s="140"/>
      <c r="N608" s="140"/>
      <c r="O608" s="140"/>
      <c r="P608" s="140"/>
      <c r="Q608" s="140"/>
      <c r="R608" s="140"/>
      <c r="S608" s="140"/>
      <c r="T608" s="140" t="s">
        <v>294</v>
      </c>
      <c r="U608" s="136"/>
      <c r="V608" s="137"/>
      <c r="W608" s="137"/>
      <c r="X608" s="137"/>
      <c r="Y608" s="135" t="s">
        <v>432</v>
      </c>
      <c r="Z608" s="264">
        <f>600000+4000000-1500000-1000000</f>
        <v>2100000</v>
      </c>
      <c r="AA608" s="210">
        <f>4214827.03-1632552.95-24100+1683267.85</f>
        <v>4241441.93</v>
      </c>
      <c r="AB608" s="210">
        <f>4214827.03+5950794.81-438102.3-24300+462730-5431834.38</f>
        <v>4734115.1599999992</v>
      </c>
      <c r="AC608" s="211" t="s">
        <v>432</v>
      </c>
    </row>
    <row r="609" spans="1:32" ht="162" hidden="1" customHeight="1" x14ac:dyDescent="0.3">
      <c r="A609" s="155" t="s">
        <v>1535</v>
      </c>
      <c r="B609" s="140" t="s">
        <v>18</v>
      </c>
      <c r="C609" s="140" t="s">
        <v>138</v>
      </c>
      <c r="D609" s="140" t="s">
        <v>122</v>
      </c>
      <c r="E609" s="230" t="s">
        <v>1101</v>
      </c>
      <c r="F609" s="140"/>
      <c r="G609" s="140"/>
      <c r="H609" s="140"/>
      <c r="I609" s="140"/>
      <c r="J609" s="140"/>
      <c r="K609" s="140"/>
      <c r="L609" s="140"/>
      <c r="M609" s="140"/>
      <c r="N609" s="140"/>
      <c r="O609" s="140"/>
      <c r="P609" s="140"/>
      <c r="Q609" s="140"/>
      <c r="R609" s="140"/>
      <c r="S609" s="140"/>
      <c r="T609" s="140"/>
      <c r="U609" s="136"/>
      <c r="V609" s="137"/>
      <c r="W609" s="137"/>
      <c r="X609" s="137"/>
      <c r="Y609" s="135"/>
      <c r="Z609" s="264">
        <f>Z610</f>
        <v>0</v>
      </c>
      <c r="AA609" s="210">
        <v>0</v>
      </c>
      <c r="AB609" s="210">
        <v>0</v>
      </c>
      <c r="AC609" s="211"/>
    </row>
    <row r="610" spans="1:32" ht="66.75" hidden="1" customHeight="1" x14ac:dyDescent="0.3">
      <c r="A610" s="135" t="s">
        <v>708</v>
      </c>
      <c r="B610" s="140" t="s">
        <v>18</v>
      </c>
      <c r="C610" s="140" t="s">
        <v>138</v>
      </c>
      <c r="D610" s="140" t="s">
        <v>122</v>
      </c>
      <c r="E610" s="230" t="s">
        <v>1101</v>
      </c>
      <c r="F610" s="140"/>
      <c r="G610" s="140"/>
      <c r="H610" s="140"/>
      <c r="I610" s="140"/>
      <c r="J610" s="140"/>
      <c r="K610" s="140"/>
      <c r="L610" s="140"/>
      <c r="M610" s="140"/>
      <c r="N610" s="140"/>
      <c r="O610" s="140"/>
      <c r="P610" s="140"/>
      <c r="Q610" s="140"/>
      <c r="R610" s="140"/>
      <c r="S610" s="140"/>
      <c r="T610" s="140" t="s">
        <v>294</v>
      </c>
      <c r="U610" s="136"/>
      <c r="V610" s="137"/>
      <c r="W610" s="137"/>
      <c r="X610" s="137"/>
      <c r="Y610" s="135"/>
      <c r="Z610" s="264">
        <v>0</v>
      </c>
      <c r="AA610" s="210">
        <v>0</v>
      </c>
      <c r="AB610" s="210">
        <v>0</v>
      </c>
      <c r="AC610" s="211"/>
    </row>
    <row r="611" spans="1:32" ht="304.5" customHeight="1" x14ac:dyDescent="0.3">
      <c r="A611" s="283" t="s">
        <v>1292</v>
      </c>
      <c r="B611" s="284" t="s">
        <v>18</v>
      </c>
      <c r="C611" s="284" t="s">
        <v>138</v>
      </c>
      <c r="D611" s="284" t="s">
        <v>122</v>
      </c>
      <c r="E611" s="284" t="s">
        <v>903</v>
      </c>
      <c r="F611" s="230"/>
      <c r="G611" s="230"/>
      <c r="H611" s="230"/>
      <c r="I611" s="230"/>
      <c r="J611" s="230"/>
      <c r="K611" s="230"/>
      <c r="L611" s="230"/>
      <c r="M611" s="230"/>
      <c r="N611" s="230"/>
      <c r="O611" s="230"/>
      <c r="P611" s="230"/>
      <c r="Q611" s="230"/>
      <c r="R611" s="230"/>
      <c r="S611" s="230"/>
      <c r="T611" s="230"/>
      <c r="U611" s="161"/>
      <c r="V611" s="204"/>
      <c r="W611" s="204"/>
      <c r="X611" s="204"/>
      <c r="Y611" s="155" t="s">
        <v>234</v>
      </c>
      <c r="Z611" s="235">
        <f>Z612</f>
        <v>47420006.119999997</v>
      </c>
      <c r="AA611" s="235">
        <f>AA612</f>
        <v>58122468.909999996</v>
      </c>
      <c r="AB611" s="235">
        <f>AB612</f>
        <v>69302118.909999996</v>
      </c>
      <c r="AC611" s="563" t="s">
        <v>234</v>
      </c>
    </row>
    <row r="612" spans="1:32" ht="52.15" customHeight="1" x14ac:dyDescent="0.3">
      <c r="A612" s="1018" t="s">
        <v>708</v>
      </c>
      <c r="B612" s="1014" t="s">
        <v>18</v>
      </c>
      <c r="C612" s="1014" t="s">
        <v>138</v>
      </c>
      <c r="D612" s="1014" t="s">
        <v>122</v>
      </c>
      <c r="E612" s="1064" t="s">
        <v>903</v>
      </c>
      <c r="F612" s="1014"/>
      <c r="G612" s="1014"/>
      <c r="H612" s="1014"/>
      <c r="I612" s="1014"/>
      <c r="J612" s="1014"/>
      <c r="K612" s="1014"/>
      <c r="L612" s="1014"/>
      <c r="M612" s="1014"/>
      <c r="N612" s="1014"/>
      <c r="O612" s="1014"/>
      <c r="P612" s="1014"/>
      <c r="Q612" s="1014"/>
      <c r="R612" s="1014"/>
      <c r="S612" s="1014"/>
      <c r="T612" s="1014" t="s">
        <v>294</v>
      </c>
      <c r="U612" s="1016"/>
      <c r="V612" s="1017"/>
      <c r="W612" s="1017"/>
      <c r="X612" s="1017"/>
      <c r="Y612" s="1018" t="s">
        <v>433</v>
      </c>
      <c r="Z612" s="1019">
        <f>45269300+7650706.12-4300000-1200000</f>
        <v>47420006.119999997</v>
      </c>
      <c r="AA612" s="210">
        <f>46922600+11199868.91</f>
        <v>58122468.909999996</v>
      </c>
      <c r="AB612" s="210">
        <f>46922600+22379518.91</f>
        <v>69302118.909999996</v>
      </c>
      <c r="AC612" s="559" t="s">
        <v>433</v>
      </c>
    </row>
    <row r="613" spans="1:32" ht="99" customHeight="1" thickBot="1" x14ac:dyDescent="0.35">
      <c r="A613" s="486" t="s">
        <v>1466</v>
      </c>
      <c r="B613" s="140" t="s">
        <v>18</v>
      </c>
      <c r="C613" s="140" t="s">
        <v>138</v>
      </c>
      <c r="D613" s="140" t="s">
        <v>122</v>
      </c>
      <c r="E613" s="230" t="s">
        <v>612</v>
      </c>
      <c r="F613" s="140"/>
      <c r="G613" s="140"/>
      <c r="H613" s="140"/>
      <c r="I613" s="140"/>
      <c r="J613" s="140"/>
      <c r="K613" s="140"/>
      <c r="L613" s="140"/>
      <c r="M613" s="140"/>
      <c r="N613" s="140"/>
      <c r="O613" s="140"/>
      <c r="P613" s="140"/>
      <c r="Q613" s="140"/>
      <c r="R613" s="140"/>
      <c r="S613" s="140"/>
      <c r="T613" s="140"/>
      <c r="U613" s="136"/>
      <c r="V613" s="137"/>
      <c r="W613" s="137"/>
      <c r="X613" s="137"/>
      <c r="Y613" s="154"/>
      <c r="Z613" s="210">
        <f>Z614</f>
        <v>160000</v>
      </c>
      <c r="AA613" s="210">
        <f>AA614</f>
        <v>320000</v>
      </c>
      <c r="AB613" s="210">
        <f>AB614</f>
        <v>320000</v>
      </c>
      <c r="AC613" s="559"/>
    </row>
    <row r="614" spans="1:32" ht="66.75" customHeight="1" x14ac:dyDescent="0.3">
      <c r="A614" s="1039" t="s">
        <v>708</v>
      </c>
      <c r="B614" s="140" t="s">
        <v>18</v>
      </c>
      <c r="C614" s="140" t="s">
        <v>138</v>
      </c>
      <c r="D614" s="140" t="s">
        <v>122</v>
      </c>
      <c r="E614" s="230" t="s">
        <v>612</v>
      </c>
      <c r="F614" s="140"/>
      <c r="G614" s="140"/>
      <c r="H614" s="140"/>
      <c r="I614" s="140"/>
      <c r="J614" s="140"/>
      <c r="K614" s="140"/>
      <c r="L614" s="140"/>
      <c r="M614" s="140"/>
      <c r="N614" s="140"/>
      <c r="O614" s="140"/>
      <c r="P614" s="140"/>
      <c r="Q614" s="140"/>
      <c r="R614" s="140"/>
      <c r="S614" s="140"/>
      <c r="T614" s="140" t="s">
        <v>294</v>
      </c>
      <c r="U614" s="136"/>
      <c r="V614" s="137"/>
      <c r="W614" s="137"/>
      <c r="X614" s="137"/>
      <c r="Y614" s="154"/>
      <c r="Z614" s="210">
        <f>180000-20000</f>
        <v>160000</v>
      </c>
      <c r="AA614" s="210">
        <v>320000</v>
      </c>
      <c r="AB614" s="210">
        <v>320000</v>
      </c>
      <c r="AC614" s="559"/>
    </row>
    <row r="615" spans="1:32" ht="22.5" customHeight="1" x14ac:dyDescent="0.3">
      <c r="A615" s="159" t="s">
        <v>156</v>
      </c>
      <c r="B615" s="160" t="s">
        <v>18</v>
      </c>
      <c r="C615" s="160" t="s">
        <v>138</v>
      </c>
      <c r="D615" s="160" t="s">
        <v>132</v>
      </c>
      <c r="E615" s="139"/>
      <c r="F615" s="160"/>
      <c r="G615" s="160"/>
      <c r="H615" s="160"/>
      <c r="I615" s="160"/>
      <c r="J615" s="160"/>
      <c r="K615" s="160"/>
      <c r="L615" s="160"/>
      <c r="M615" s="160"/>
      <c r="N615" s="160"/>
      <c r="O615" s="160"/>
      <c r="P615" s="160"/>
      <c r="Q615" s="160"/>
      <c r="R615" s="160"/>
      <c r="S615" s="160"/>
      <c r="T615" s="160"/>
      <c r="U615" s="160"/>
      <c r="V615" s="212"/>
      <c r="W615" s="212"/>
      <c r="X615" s="212"/>
      <c r="Y615" s="159" t="s">
        <v>156</v>
      </c>
      <c r="Z615" s="213">
        <f>Z616+Z620+Z624+Z626+Z628+Z636+Z638+Z648+Z650+Z652+Z654+Z656+Z658+Z618+Z642+Z644+Z622+Z632+Z640+Z634+Z646+Z630</f>
        <v>348050071.54000002</v>
      </c>
      <c r="AA615" s="213">
        <f>AA616+AA620+AA624+AA626+AA628+AA636+AA638+AA648+AA650+AA652+AA654+AA656+AA658+AA618+AA622+AA642</f>
        <v>297315831.83999997</v>
      </c>
      <c r="AB615" s="213">
        <f>AB616+AB620+AB624+AB626+AB628+AB636+AB638+AB648+AB650+AB652+AB654+AB656+AB658+AB618+AB622+AB642</f>
        <v>311275245.13999999</v>
      </c>
      <c r="AC615" s="288" t="s">
        <v>156</v>
      </c>
    </row>
    <row r="616" spans="1:32" ht="1.5" hidden="1" customHeight="1" x14ac:dyDescent="0.3">
      <c r="A616" s="487" t="s">
        <v>763</v>
      </c>
      <c r="B616" s="230" t="s">
        <v>18</v>
      </c>
      <c r="C616" s="230" t="s">
        <v>138</v>
      </c>
      <c r="D616" s="230" t="s">
        <v>132</v>
      </c>
      <c r="E616" s="230" t="s">
        <v>762</v>
      </c>
      <c r="F616" s="230"/>
      <c r="G616" s="230"/>
      <c r="H616" s="230"/>
      <c r="I616" s="230"/>
      <c r="J616" s="230"/>
      <c r="K616" s="230"/>
      <c r="L616" s="230"/>
      <c r="M616" s="230"/>
      <c r="N616" s="230"/>
      <c r="O616" s="230"/>
      <c r="P616" s="230"/>
      <c r="Q616" s="230"/>
      <c r="R616" s="230"/>
      <c r="S616" s="230"/>
      <c r="T616" s="230"/>
      <c r="U616" s="161"/>
      <c r="V616" s="204"/>
      <c r="W616" s="204"/>
      <c r="X616" s="204"/>
      <c r="Y616" s="153" t="s">
        <v>436</v>
      </c>
      <c r="Z616" s="235">
        <f>Z617</f>
        <v>0</v>
      </c>
      <c r="AA616" s="235">
        <f>AA617</f>
        <v>0</v>
      </c>
      <c r="AB616" s="235">
        <f>AB617</f>
        <v>0</v>
      </c>
      <c r="AC616" s="558" t="s">
        <v>436</v>
      </c>
    </row>
    <row r="617" spans="1:32" ht="82.5" hidden="1" customHeight="1" x14ac:dyDescent="0.3">
      <c r="A617" s="135" t="s">
        <v>761</v>
      </c>
      <c r="B617" s="140" t="s">
        <v>18</v>
      </c>
      <c r="C617" s="140" t="s">
        <v>138</v>
      </c>
      <c r="D617" s="140" t="s">
        <v>132</v>
      </c>
      <c r="E617" s="230" t="s">
        <v>762</v>
      </c>
      <c r="F617" s="140"/>
      <c r="G617" s="140"/>
      <c r="H617" s="140"/>
      <c r="I617" s="140"/>
      <c r="J617" s="140"/>
      <c r="K617" s="140"/>
      <c r="L617" s="140"/>
      <c r="M617" s="140"/>
      <c r="N617" s="140"/>
      <c r="O617" s="140"/>
      <c r="P617" s="140"/>
      <c r="Q617" s="140"/>
      <c r="R617" s="140"/>
      <c r="S617" s="140"/>
      <c r="T617" s="140" t="s">
        <v>294</v>
      </c>
      <c r="U617" s="136"/>
      <c r="V617" s="137"/>
      <c r="W617" s="137"/>
      <c r="X617" s="137"/>
      <c r="Y617" s="135" t="s">
        <v>437</v>
      </c>
      <c r="Z617" s="210">
        <v>0</v>
      </c>
      <c r="AA617" s="210">
        <v>0</v>
      </c>
      <c r="AB617" s="210">
        <v>0</v>
      </c>
      <c r="AC617" s="211" t="s">
        <v>437</v>
      </c>
    </row>
    <row r="618" spans="1:32" ht="162" customHeight="1" x14ac:dyDescent="0.3">
      <c r="A618" s="224" t="s">
        <v>1248</v>
      </c>
      <c r="B618" s="1015" t="s">
        <v>18</v>
      </c>
      <c r="C618" s="1015" t="s">
        <v>138</v>
      </c>
      <c r="D618" s="1015" t="s">
        <v>132</v>
      </c>
      <c r="E618" s="1015" t="s">
        <v>776</v>
      </c>
      <c r="F618" s="1015"/>
      <c r="G618" s="1015"/>
      <c r="H618" s="1015"/>
      <c r="I618" s="1015"/>
      <c r="J618" s="1015"/>
      <c r="K618" s="1015"/>
      <c r="L618" s="1015"/>
      <c r="M618" s="1015"/>
      <c r="N618" s="1015"/>
      <c r="O618" s="1015"/>
      <c r="P618" s="1015"/>
      <c r="Q618" s="1015"/>
      <c r="R618" s="1015"/>
      <c r="S618" s="1015"/>
      <c r="T618" s="1015"/>
      <c r="U618" s="1016"/>
      <c r="V618" s="1017"/>
      <c r="W618" s="1017"/>
      <c r="X618" s="1017"/>
      <c r="Y618" s="1013"/>
      <c r="Z618" s="1019">
        <f>Z619</f>
        <v>2677229.7800000003</v>
      </c>
      <c r="AA618" s="210">
        <f>AA619</f>
        <v>500000</v>
      </c>
      <c r="AB618" s="210">
        <f>AB619</f>
        <v>500000</v>
      </c>
      <c r="AC618" s="211"/>
      <c r="AD618" s="127"/>
      <c r="AE618" s="127"/>
      <c r="AF618" s="127"/>
    </row>
    <row r="619" spans="1:32" ht="59.25" customHeight="1" x14ac:dyDescent="0.3">
      <c r="A619" s="1013" t="s">
        <v>708</v>
      </c>
      <c r="B619" s="1014" t="s">
        <v>18</v>
      </c>
      <c r="C619" s="1014" t="s">
        <v>138</v>
      </c>
      <c r="D619" s="1014" t="s">
        <v>132</v>
      </c>
      <c r="E619" s="1015" t="s">
        <v>776</v>
      </c>
      <c r="F619" s="1014"/>
      <c r="G619" s="1014"/>
      <c r="H619" s="1014"/>
      <c r="I619" s="1014"/>
      <c r="J619" s="1014"/>
      <c r="K619" s="1014"/>
      <c r="L619" s="1014"/>
      <c r="M619" s="1014"/>
      <c r="N619" s="1014"/>
      <c r="O619" s="1014"/>
      <c r="P619" s="1014"/>
      <c r="Q619" s="1014"/>
      <c r="R619" s="1014"/>
      <c r="S619" s="1014"/>
      <c r="T619" s="1014" t="s">
        <v>294</v>
      </c>
      <c r="U619" s="1016"/>
      <c r="V619" s="1017"/>
      <c r="W619" s="1017"/>
      <c r="X619" s="1017"/>
      <c r="Y619" s="1013"/>
      <c r="Z619" s="1019">
        <f>1500000+1500000+98140.29-420910.51</f>
        <v>2677229.7800000003</v>
      </c>
      <c r="AA619" s="210">
        <v>500000</v>
      </c>
      <c r="AB619" s="210">
        <v>500000</v>
      </c>
      <c r="AC619" s="211"/>
    </row>
    <row r="620" spans="1:32" ht="179.25" customHeight="1" x14ac:dyDescent="0.3">
      <c r="A620" s="153" t="s">
        <v>1250</v>
      </c>
      <c r="B620" s="230" t="s">
        <v>18</v>
      </c>
      <c r="C620" s="230" t="s">
        <v>138</v>
      </c>
      <c r="D620" s="230" t="s">
        <v>132</v>
      </c>
      <c r="E620" s="230" t="s">
        <v>623</v>
      </c>
      <c r="F620" s="230"/>
      <c r="G620" s="230"/>
      <c r="H620" s="230"/>
      <c r="I620" s="230"/>
      <c r="J620" s="230"/>
      <c r="K620" s="230"/>
      <c r="L620" s="230"/>
      <c r="M620" s="230"/>
      <c r="N620" s="230"/>
      <c r="O620" s="230"/>
      <c r="P620" s="230"/>
      <c r="Q620" s="230"/>
      <c r="R620" s="230"/>
      <c r="S620" s="230"/>
      <c r="T620" s="230"/>
      <c r="U620" s="161"/>
      <c r="V620" s="204"/>
      <c r="W620" s="204"/>
      <c r="X620" s="204"/>
      <c r="Y620" s="153" t="s">
        <v>438</v>
      </c>
      <c r="Z620" s="235">
        <f>Z621</f>
        <v>199421</v>
      </c>
      <c r="AA620" s="235">
        <f>AA621</f>
        <v>100000</v>
      </c>
      <c r="AB620" s="235">
        <f>AB621</f>
        <v>100000</v>
      </c>
      <c r="AC620" s="558" t="s">
        <v>438</v>
      </c>
    </row>
    <row r="621" spans="1:32" ht="71.25" customHeight="1" x14ac:dyDescent="0.3">
      <c r="A621" s="135" t="s">
        <v>708</v>
      </c>
      <c r="B621" s="140" t="s">
        <v>18</v>
      </c>
      <c r="C621" s="140" t="s">
        <v>138</v>
      </c>
      <c r="D621" s="140" t="s">
        <v>132</v>
      </c>
      <c r="E621" s="230" t="s">
        <v>623</v>
      </c>
      <c r="F621" s="140"/>
      <c r="G621" s="140"/>
      <c r="H621" s="140"/>
      <c r="I621" s="140"/>
      <c r="J621" s="140"/>
      <c r="K621" s="140"/>
      <c r="L621" s="140"/>
      <c r="M621" s="140"/>
      <c r="N621" s="140"/>
      <c r="O621" s="140"/>
      <c r="P621" s="140"/>
      <c r="Q621" s="140"/>
      <c r="R621" s="140"/>
      <c r="S621" s="140"/>
      <c r="T621" s="140" t="s">
        <v>294</v>
      </c>
      <c r="U621" s="136"/>
      <c r="V621" s="137"/>
      <c r="W621" s="137"/>
      <c r="X621" s="137"/>
      <c r="Y621" s="135" t="s">
        <v>439</v>
      </c>
      <c r="Z621" s="210">
        <f>100000+100000-579</f>
        <v>199421</v>
      </c>
      <c r="AA621" s="210">
        <v>100000</v>
      </c>
      <c r="AB621" s="210">
        <v>100000</v>
      </c>
      <c r="AC621" s="211" t="s">
        <v>439</v>
      </c>
    </row>
    <row r="622" spans="1:32" ht="147.75" customHeight="1" x14ac:dyDescent="0.3">
      <c r="A622" s="155" t="s">
        <v>1332</v>
      </c>
      <c r="B622" s="140" t="s">
        <v>18</v>
      </c>
      <c r="C622" s="140" t="s">
        <v>138</v>
      </c>
      <c r="D622" s="140" t="s">
        <v>132</v>
      </c>
      <c r="E622" s="230" t="s">
        <v>1105</v>
      </c>
      <c r="F622" s="140"/>
      <c r="G622" s="140"/>
      <c r="H622" s="140"/>
      <c r="I622" s="140"/>
      <c r="J622" s="140"/>
      <c r="K622" s="140"/>
      <c r="L622" s="140"/>
      <c r="M622" s="140"/>
      <c r="N622" s="140"/>
      <c r="O622" s="140"/>
      <c r="P622" s="140"/>
      <c r="Q622" s="140"/>
      <c r="R622" s="140"/>
      <c r="S622" s="140"/>
      <c r="T622" s="140"/>
      <c r="U622" s="136"/>
      <c r="V622" s="137"/>
      <c r="W622" s="137"/>
      <c r="X622" s="137"/>
      <c r="Y622" s="135"/>
      <c r="Z622" s="210">
        <f>Z623</f>
        <v>83619408.559999987</v>
      </c>
      <c r="AA622" s="210">
        <f>AA623</f>
        <v>89623372.480000004</v>
      </c>
      <c r="AB622" s="210">
        <f>AB623</f>
        <v>96421035.700000003</v>
      </c>
      <c r="AC622" s="211"/>
    </row>
    <row r="623" spans="1:32" ht="60.75" customHeight="1" x14ac:dyDescent="0.3">
      <c r="A623" s="1013" t="s">
        <v>708</v>
      </c>
      <c r="B623" s="1014" t="s">
        <v>18</v>
      </c>
      <c r="C623" s="1014" t="s">
        <v>138</v>
      </c>
      <c r="D623" s="1014" t="s">
        <v>132</v>
      </c>
      <c r="E623" s="1015" t="s">
        <v>1105</v>
      </c>
      <c r="F623" s="1014"/>
      <c r="G623" s="1014"/>
      <c r="H623" s="1014"/>
      <c r="I623" s="1014"/>
      <c r="J623" s="1014"/>
      <c r="K623" s="1014"/>
      <c r="L623" s="1014"/>
      <c r="M623" s="1014"/>
      <c r="N623" s="1014"/>
      <c r="O623" s="1014"/>
      <c r="P623" s="1014"/>
      <c r="Q623" s="1014"/>
      <c r="R623" s="1014"/>
      <c r="S623" s="1014"/>
      <c r="T623" s="1014" t="s">
        <v>294</v>
      </c>
      <c r="U623" s="1016"/>
      <c r="V623" s="1017"/>
      <c r="W623" s="1017"/>
      <c r="X623" s="1017"/>
      <c r="Y623" s="1013"/>
      <c r="Z623" s="1019">
        <f>67913431.08+48332858.62-32666858.56-22-0.58+40000</f>
        <v>83619408.559999987</v>
      </c>
      <c r="AA623" s="210">
        <f>67900000+23406703.6+26445396.15-38125748.61-3000.03+21+10000000.37</f>
        <v>89623372.480000004</v>
      </c>
      <c r="AB623" s="210">
        <f>67900000+27603487.13+17969937.34-27052435.64+45+10000001.87</f>
        <v>96421035.700000003</v>
      </c>
      <c r="AC623" s="211"/>
    </row>
    <row r="624" spans="1:32" ht="153" customHeight="1" x14ac:dyDescent="0.3">
      <c r="A624" s="153" t="s">
        <v>1251</v>
      </c>
      <c r="B624" s="1015" t="s">
        <v>18</v>
      </c>
      <c r="C624" s="1015" t="s">
        <v>138</v>
      </c>
      <c r="D624" s="1015" t="s">
        <v>132</v>
      </c>
      <c r="E624" s="1015" t="s">
        <v>624</v>
      </c>
      <c r="F624" s="1015"/>
      <c r="G624" s="1015"/>
      <c r="H624" s="1015"/>
      <c r="I624" s="1015"/>
      <c r="J624" s="1015"/>
      <c r="K624" s="1015"/>
      <c r="L624" s="1015"/>
      <c r="M624" s="1015"/>
      <c r="N624" s="1015"/>
      <c r="O624" s="1015"/>
      <c r="P624" s="1015"/>
      <c r="Q624" s="1015"/>
      <c r="R624" s="1015"/>
      <c r="S624" s="1015"/>
      <c r="T624" s="1015"/>
      <c r="U624" s="1067"/>
      <c r="V624" s="1068"/>
      <c r="W624" s="1068"/>
      <c r="X624" s="1068"/>
      <c r="Y624" s="224" t="s">
        <v>440</v>
      </c>
      <c r="Z624" s="1069">
        <f>Z625</f>
        <v>40534227.529999994</v>
      </c>
      <c r="AA624" s="235">
        <f>AA625</f>
        <v>22699913.920000002</v>
      </c>
      <c r="AB624" s="235">
        <f>AB625</f>
        <v>21190033.770000003</v>
      </c>
      <c r="AC624" s="558" t="s">
        <v>440</v>
      </c>
    </row>
    <row r="625" spans="1:31" ht="63" customHeight="1" x14ac:dyDescent="0.3">
      <c r="A625" s="1013" t="s">
        <v>708</v>
      </c>
      <c r="B625" s="1014" t="s">
        <v>18</v>
      </c>
      <c r="C625" s="1014" t="s">
        <v>138</v>
      </c>
      <c r="D625" s="1014" t="s">
        <v>132</v>
      </c>
      <c r="E625" s="1015" t="s">
        <v>624</v>
      </c>
      <c r="F625" s="1014"/>
      <c r="G625" s="1014"/>
      <c r="H625" s="1014"/>
      <c r="I625" s="1014"/>
      <c r="J625" s="1014"/>
      <c r="K625" s="1014"/>
      <c r="L625" s="1014"/>
      <c r="M625" s="1014"/>
      <c r="N625" s="1014"/>
      <c r="O625" s="1014"/>
      <c r="P625" s="1014"/>
      <c r="Q625" s="1014"/>
      <c r="R625" s="1014"/>
      <c r="S625" s="1014"/>
      <c r="T625" s="1014" t="s">
        <v>294</v>
      </c>
      <c r="U625" s="1016"/>
      <c r="V625" s="1017"/>
      <c r="W625" s="1017"/>
      <c r="X625" s="1017"/>
      <c r="Y625" s="1013" t="s">
        <v>441</v>
      </c>
      <c r="Z625" s="1019">
        <f>32666858.56+0.58+623043+9749151.13-47474.25+2301000-250000-3773068-30721-5173-300000+520910.51-812000-108300</f>
        <v>40534227.529999994</v>
      </c>
      <c r="AA625" s="210">
        <f>38128748.64+3000.03-5431834.38-10000000.37</f>
        <v>22699913.920000002</v>
      </c>
      <c r="AB625" s="210">
        <f>27052435.64+4137600-10000001.87</f>
        <v>21190033.770000003</v>
      </c>
      <c r="AC625" s="211" t="s">
        <v>441</v>
      </c>
    </row>
    <row r="626" spans="1:31" ht="39.75" hidden="1" customHeight="1" x14ac:dyDescent="0.3">
      <c r="A626" s="153" t="s">
        <v>625</v>
      </c>
      <c r="B626" s="230" t="s">
        <v>18</v>
      </c>
      <c r="C626" s="230" t="s">
        <v>138</v>
      </c>
      <c r="D626" s="230" t="s">
        <v>132</v>
      </c>
      <c r="E626" s="230" t="s">
        <v>626</v>
      </c>
      <c r="F626" s="230"/>
      <c r="G626" s="230"/>
      <c r="H626" s="230"/>
      <c r="I626" s="230"/>
      <c r="J626" s="230"/>
      <c r="K626" s="230"/>
      <c r="L626" s="230"/>
      <c r="M626" s="230"/>
      <c r="N626" s="230"/>
      <c r="O626" s="230"/>
      <c r="P626" s="230"/>
      <c r="Q626" s="230"/>
      <c r="R626" s="230"/>
      <c r="S626" s="230"/>
      <c r="T626" s="230"/>
      <c r="U626" s="161"/>
      <c r="V626" s="204"/>
      <c r="W626" s="204"/>
      <c r="X626" s="204"/>
      <c r="Y626" s="153" t="s">
        <v>442</v>
      </c>
      <c r="Z626" s="235">
        <f>Z627</f>
        <v>0</v>
      </c>
      <c r="AA626" s="235">
        <f>AA627</f>
        <v>0</v>
      </c>
      <c r="AB626" s="235">
        <f>AB627</f>
        <v>0</v>
      </c>
      <c r="AC626" s="558" t="s">
        <v>442</v>
      </c>
    </row>
    <row r="627" spans="1:31" ht="67.5" hidden="1" customHeight="1" x14ac:dyDescent="0.3">
      <c r="A627" s="135" t="s">
        <v>443</v>
      </c>
      <c r="B627" s="140" t="s">
        <v>18</v>
      </c>
      <c r="C627" s="140" t="s">
        <v>138</v>
      </c>
      <c r="D627" s="140" t="s">
        <v>132</v>
      </c>
      <c r="E627" s="230" t="s">
        <v>626</v>
      </c>
      <c r="F627" s="140"/>
      <c r="G627" s="140"/>
      <c r="H627" s="140"/>
      <c r="I627" s="140"/>
      <c r="J627" s="140"/>
      <c r="K627" s="140"/>
      <c r="L627" s="140"/>
      <c r="M627" s="140"/>
      <c r="N627" s="140"/>
      <c r="O627" s="140"/>
      <c r="P627" s="140"/>
      <c r="Q627" s="140"/>
      <c r="R627" s="140"/>
      <c r="S627" s="140"/>
      <c r="T627" s="140" t="s">
        <v>294</v>
      </c>
      <c r="U627" s="136"/>
      <c r="V627" s="137"/>
      <c r="W627" s="137"/>
      <c r="X627" s="137"/>
      <c r="Y627" s="135" t="s">
        <v>443</v>
      </c>
      <c r="Z627" s="210">
        <f>5946012.7-5946012.7</f>
        <v>0</v>
      </c>
      <c r="AA627" s="210">
        <f>5946012.7-5946012.7</f>
        <v>0</v>
      </c>
      <c r="AB627" s="210">
        <f>5946012.7-5946012.7</f>
        <v>0</v>
      </c>
      <c r="AC627" s="211" t="s">
        <v>443</v>
      </c>
    </row>
    <row r="628" spans="1:31" ht="112.5" customHeight="1" x14ac:dyDescent="0.3">
      <c r="A628" s="153" t="s">
        <v>1252</v>
      </c>
      <c r="B628" s="230" t="s">
        <v>18</v>
      </c>
      <c r="C628" s="230" t="s">
        <v>138</v>
      </c>
      <c r="D628" s="230" t="s">
        <v>132</v>
      </c>
      <c r="E628" s="230" t="s">
        <v>576</v>
      </c>
      <c r="F628" s="230"/>
      <c r="G628" s="230"/>
      <c r="H628" s="230"/>
      <c r="I628" s="230"/>
      <c r="J628" s="230"/>
      <c r="K628" s="230"/>
      <c r="L628" s="230"/>
      <c r="M628" s="230"/>
      <c r="N628" s="230"/>
      <c r="O628" s="230"/>
      <c r="P628" s="230"/>
      <c r="Q628" s="230"/>
      <c r="R628" s="230"/>
      <c r="S628" s="230"/>
      <c r="T628" s="230"/>
      <c r="U628" s="161"/>
      <c r="V628" s="204"/>
      <c r="W628" s="204"/>
      <c r="X628" s="204"/>
      <c r="Y628" s="153" t="s">
        <v>367</v>
      </c>
      <c r="Z628" s="235">
        <f>Z629</f>
        <v>15574132.85</v>
      </c>
      <c r="AA628" s="235">
        <f>AA629</f>
        <v>2103019.1300000008</v>
      </c>
      <c r="AB628" s="235">
        <f>AB629</f>
        <v>7310252.8699999973</v>
      </c>
      <c r="AC628" s="558" t="s">
        <v>367</v>
      </c>
    </row>
    <row r="629" spans="1:31" ht="63.75" customHeight="1" x14ac:dyDescent="0.3">
      <c r="A629" s="1013" t="s">
        <v>708</v>
      </c>
      <c r="B629" s="1014" t="s">
        <v>18</v>
      </c>
      <c r="C629" s="1014" t="s">
        <v>138</v>
      </c>
      <c r="D629" s="1014" t="s">
        <v>132</v>
      </c>
      <c r="E629" s="1015" t="s">
        <v>576</v>
      </c>
      <c r="F629" s="1014"/>
      <c r="G629" s="1014"/>
      <c r="H629" s="1014"/>
      <c r="I629" s="1014"/>
      <c r="J629" s="1014"/>
      <c r="K629" s="1014"/>
      <c r="L629" s="1014"/>
      <c r="M629" s="1014"/>
      <c r="N629" s="1014"/>
      <c r="O629" s="1014"/>
      <c r="P629" s="1014"/>
      <c r="Q629" s="1014"/>
      <c r="R629" s="1014"/>
      <c r="S629" s="1014"/>
      <c r="T629" s="1014" t="s">
        <v>294</v>
      </c>
      <c r="U629" s="1016"/>
      <c r="V629" s="1017"/>
      <c r="W629" s="1017"/>
      <c r="X629" s="1017"/>
      <c r="Y629" s="1013" t="s">
        <v>444</v>
      </c>
      <c r="Z629" s="1070">
        <f>948357+8000000+3000000-3404518.22+240000+103727.44+3234292.31-58706.86-1285220-216825.13+1000000+1500000+458676.56-163505-695280+3028534.75-115400</f>
        <v>15574132.85</v>
      </c>
      <c r="AA629" s="210">
        <f>7084197.66+135372+1683267.84-1859557.77-61425.72-1347000.03-42000.01-3489834.84</f>
        <v>2103019.1300000008</v>
      </c>
      <c r="AB629" s="210">
        <f>7094197.66+5950794.81+140785-6310730.86-128558.9+4137600-84000-3489834.84</f>
        <v>7310252.8699999973</v>
      </c>
      <c r="AC629" s="211" t="s">
        <v>444</v>
      </c>
    </row>
    <row r="630" spans="1:31" ht="162" hidden="1" customHeight="1" x14ac:dyDescent="0.3">
      <c r="A630" s="155" t="s">
        <v>1534</v>
      </c>
      <c r="B630" s="140" t="s">
        <v>18</v>
      </c>
      <c r="C630" s="140" t="s">
        <v>138</v>
      </c>
      <c r="D630" s="140" t="s">
        <v>132</v>
      </c>
      <c r="E630" s="230" t="s">
        <v>1101</v>
      </c>
      <c r="F630" s="140"/>
      <c r="G630" s="140"/>
      <c r="H630" s="140"/>
      <c r="I630" s="140"/>
      <c r="J630" s="140"/>
      <c r="K630" s="140"/>
      <c r="L630" s="140"/>
      <c r="M630" s="140"/>
      <c r="N630" s="140"/>
      <c r="O630" s="140"/>
      <c r="P630" s="140"/>
      <c r="Q630" s="140"/>
      <c r="R630" s="140"/>
      <c r="S630" s="140"/>
      <c r="T630" s="140"/>
      <c r="U630" s="136"/>
      <c r="V630" s="137"/>
      <c r="W630" s="137"/>
      <c r="X630" s="137"/>
      <c r="Y630" s="135"/>
      <c r="Z630" s="264">
        <f>Z631</f>
        <v>0</v>
      </c>
      <c r="AA630" s="210">
        <v>0</v>
      </c>
      <c r="AB630" s="210">
        <v>0</v>
      </c>
      <c r="AC630" s="211"/>
    </row>
    <row r="631" spans="1:31" ht="65.25" hidden="1" customHeight="1" x14ac:dyDescent="0.3">
      <c r="A631" s="135" t="s">
        <v>708</v>
      </c>
      <c r="B631" s="140" t="s">
        <v>18</v>
      </c>
      <c r="C631" s="140" t="s">
        <v>138</v>
      </c>
      <c r="D631" s="140" t="s">
        <v>132</v>
      </c>
      <c r="E631" s="230" t="s">
        <v>1101</v>
      </c>
      <c r="F631" s="140"/>
      <c r="G631" s="140"/>
      <c r="H631" s="140"/>
      <c r="I631" s="140"/>
      <c r="J631" s="140"/>
      <c r="K631" s="140"/>
      <c r="L631" s="140"/>
      <c r="M631" s="140"/>
      <c r="N631" s="140"/>
      <c r="O631" s="140"/>
      <c r="P631" s="140"/>
      <c r="Q631" s="140"/>
      <c r="R631" s="140"/>
      <c r="S631" s="140"/>
      <c r="T631" s="140" t="s">
        <v>294</v>
      </c>
      <c r="U631" s="136"/>
      <c r="V631" s="137"/>
      <c r="W631" s="137"/>
      <c r="X631" s="137"/>
      <c r="Y631" s="135"/>
      <c r="Z631" s="264">
        <v>0</v>
      </c>
      <c r="AA631" s="210">
        <v>0</v>
      </c>
      <c r="AB631" s="210">
        <v>0</v>
      </c>
      <c r="AC631" s="211"/>
    </row>
    <row r="632" spans="1:31" ht="150" customHeight="1" x14ac:dyDescent="0.3">
      <c r="A632" s="153" t="s">
        <v>1428</v>
      </c>
      <c r="B632" s="140" t="s">
        <v>18</v>
      </c>
      <c r="C632" s="140" t="s">
        <v>138</v>
      </c>
      <c r="D632" s="140" t="s">
        <v>132</v>
      </c>
      <c r="E632" s="230" t="s">
        <v>1427</v>
      </c>
      <c r="F632" s="140"/>
      <c r="G632" s="140"/>
      <c r="H632" s="140"/>
      <c r="I632" s="140"/>
      <c r="J632" s="140"/>
      <c r="K632" s="140"/>
      <c r="L632" s="140"/>
      <c r="M632" s="140"/>
      <c r="N632" s="140"/>
      <c r="O632" s="140"/>
      <c r="P632" s="140"/>
      <c r="Q632" s="140"/>
      <c r="R632" s="140"/>
      <c r="S632" s="140"/>
      <c r="T632" s="140"/>
      <c r="U632" s="136"/>
      <c r="V632" s="137"/>
      <c r="W632" s="137"/>
      <c r="X632" s="137"/>
      <c r="Y632" s="135"/>
      <c r="Z632" s="264">
        <f>Z633</f>
        <v>0</v>
      </c>
      <c r="AA632" s="210">
        <v>0</v>
      </c>
      <c r="AB632" s="210">
        <v>0</v>
      </c>
      <c r="AC632" s="211"/>
    </row>
    <row r="633" spans="1:31" ht="65.25" customHeight="1" x14ac:dyDescent="0.3">
      <c r="A633" s="135" t="s">
        <v>708</v>
      </c>
      <c r="B633" s="140" t="s">
        <v>18</v>
      </c>
      <c r="C633" s="140" t="s">
        <v>138</v>
      </c>
      <c r="D633" s="140" t="s">
        <v>132</v>
      </c>
      <c r="E633" s="230" t="s">
        <v>1427</v>
      </c>
      <c r="F633" s="140"/>
      <c r="G633" s="140"/>
      <c r="H633" s="140"/>
      <c r="I633" s="140"/>
      <c r="J633" s="140"/>
      <c r="K633" s="140"/>
      <c r="L633" s="140"/>
      <c r="M633" s="140"/>
      <c r="N633" s="140"/>
      <c r="O633" s="140"/>
      <c r="P633" s="140"/>
      <c r="Q633" s="140"/>
      <c r="R633" s="140"/>
      <c r="S633" s="140"/>
      <c r="T633" s="140" t="s">
        <v>294</v>
      </c>
      <c r="U633" s="136"/>
      <c r="V633" s="137"/>
      <c r="W633" s="137"/>
      <c r="X633" s="137"/>
      <c r="Y633" s="135"/>
      <c r="Z633" s="264">
        <f>3404518.22-3404518.22</f>
        <v>0</v>
      </c>
      <c r="AA633" s="210">
        <v>0</v>
      </c>
      <c r="AB633" s="210">
        <v>0</v>
      </c>
      <c r="AC633" s="211"/>
    </row>
    <row r="634" spans="1:31" ht="150.75" customHeight="1" x14ac:dyDescent="0.3">
      <c r="A634" s="153" t="s">
        <v>1428</v>
      </c>
      <c r="B634" s="140" t="s">
        <v>18</v>
      </c>
      <c r="C634" s="140" t="s">
        <v>138</v>
      </c>
      <c r="D634" s="140" t="s">
        <v>132</v>
      </c>
      <c r="E634" s="230" t="s">
        <v>1500</v>
      </c>
      <c r="F634" s="140"/>
      <c r="G634" s="140"/>
      <c r="H634" s="140"/>
      <c r="I634" s="140"/>
      <c r="J634" s="140"/>
      <c r="K634" s="140"/>
      <c r="L634" s="140"/>
      <c r="M634" s="140"/>
      <c r="N634" s="140"/>
      <c r="O634" s="140"/>
      <c r="P634" s="140"/>
      <c r="Q634" s="140"/>
      <c r="R634" s="140"/>
      <c r="S634" s="140"/>
      <c r="T634" s="140"/>
      <c r="U634" s="136"/>
      <c r="V634" s="137"/>
      <c r="W634" s="137"/>
      <c r="X634" s="137"/>
      <c r="Y634" s="135"/>
      <c r="Z634" s="263">
        <f>Z635</f>
        <v>3404518.22</v>
      </c>
      <c r="AA634" s="210">
        <v>0</v>
      </c>
      <c r="AB634" s="210">
        <v>0</v>
      </c>
      <c r="AC634" s="211"/>
    </row>
    <row r="635" spans="1:31" ht="63" customHeight="1" x14ac:dyDescent="0.3">
      <c r="A635" s="135" t="s">
        <v>708</v>
      </c>
      <c r="B635" s="140" t="s">
        <v>18</v>
      </c>
      <c r="C635" s="140" t="s">
        <v>138</v>
      </c>
      <c r="D635" s="140" t="s">
        <v>132</v>
      </c>
      <c r="E635" s="230" t="s">
        <v>1500</v>
      </c>
      <c r="F635" s="140"/>
      <c r="G635" s="140"/>
      <c r="H635" s="140"/>
      <c r="I635" s="140"/>
      <c r="J635" s="140"/>
      <c r="K635" s="140"/>
      <c r="L635" s="140"/>
      <c r="M635" s="140"/>
      <c r="N635" s="140"/>
      <c r="O635" s="140"/>
      <c r="P635" s="140"/>
      <c r="Q635" s="140"/>
      <c r="R635" s="140"/>
      <c r="S635" s="140"/>
      <c r="T635" s="140" t="s">
        <v>294</v>
      </c>
      <c r="U635" s="136"/>
      <c r="V635" s="137"/>
      <c r="W635" s="137"/>
      <c r="X635" s="137"/>
      <c r="Y635" s="135"/>
      <c r="Z635" s="264">
        <f>3234292.31+170225.91</f>
        <v>3404518.22</v>
      </c>
      <c r="AA635" s="210">
        <v>0</v>
      </c>
      <c r="AB635" s="210">
        <v>0</v>
      </c>
      <c r="AC635" s="211"/>
      <c r="AE635" s="209"/>
    </row>
    <row r="636" spans="1:31" ht="110.25" customHeight="1" x14ac:dyDescent="0.3">
      <c r="A636" s="153" t="s">
        <v>1253</v>
      </c>
      <c r="B636" s="230" t="s">
        <v>18</v>
      </c>
      <c r="C636" s="230" t="s">
        <v>138</v>
      </c>
      <c r="D636" s="230" t="s">
        <v>132</v>
      </c>
      <c r="E636" s="230" t="s">
        <v>627</v>
      </c>
      <c r="F636" s="230"/>
      <c r="G636" s="230"/>
      <c r="H636" s="230"/>
      <c r="I636" s="230"/>
      <c r="J636" s="230"/>
      <c r="K636" s="230"/>
      <c r="L636" s="230"/>
      <c r="M636" s="230"/>
      <c r="N636" s="230"/>
      <c r="O636" s="230"/>
      <c r="P636" s="230"/>
      <c r="Q636" s="230"/>
      <c r="R636" s="230"/>
      <c r="S636" s="230"/>
      <c r="T636" s="230"/>
      <c r="U636" s="161"/>
      <c r="V636" s="204"/>
      <c r="W636" s="204"/>
      <c r="X636" s="204"/>
      <c r="Y636" s="153" t="s">
        <v>445</v>
      </c>
      <c r="Z636" s="235">
        <f>Z637</f>
        <v>900000</v>
      </c>
      <c r="AA636" s="235">
        <f>AA637</f>
        <v>400000</v>
      </c>
      <c r="AB636" s="235">
        <f>AB637</f>
        <v>400000</v>
      </c>
      <c r="AC636" s="558" t="s">
        <v>445</v>
      </c>
    </row>
    <row r="637" spans="1:31" ht="63" customHeight="1" x14ac:dyDescent="0.3">
      <c r="A637" s="135" t="s">
        <v>708</v>
      </c>
      <c r="B637" s="140" t="s">
        <v>18</v>
      </c>
      <c r="C637" s="140" t="s">
        <v>138</v>
      </c>
      <c r="D637" s="140" t="s">
        <v>132</v>
      </c>
      <c r="E637" s="230" t="s">
        <v>627</v>
      </c>
      <c r="F637" s="140"/>
      <c r="G637" s="140"/>
      <c r="H637" s="140"/>
      <c r="I637" s="140"/>
      <c r="J637" s="140"/>
      <c r="K637" s="140"/>
      <c r="L637" s="140"/>
      <c r="M637" s="140"/>
      <c r="N637" s="140"/>
      <c r="O637" s="140"/>
      <c r="P637" s="140"/>
      <c r="Q637" s="140"/>
      <c r="R637" s="140"/>
      <c r="S637" s="140"/>
      <c r="T637" s="140" t="s">
        <v>294</v>
      </c>
      <c r="U637" s="136"/>
      <c r="V637" s="137"/>
      <c r="W637" s="137"/>
      <c r="X637" s="137"/>
      <c r="Y637" s="135" t="s">
        <v>446</v>
      </c>
      <c r="Z637" s="210">
        <f>200000+200000+200000+300000</f>
        <v>900000</v>
      </c>
      <c r="AA637" s="210">
        <v>400000</v>
      </c>
      <c r="AB637" s="210">
        <v>400000</v>
      </c>
      <c r="AC637" s="211" t="s">
        <v>446</v>
      </c>
    </row>
    <row r="638" spans="1:31" ht="168.75" customHeight="1" x14ac:dyDescent="0.3">
      <c r="A638" s="153" t="s">
        <v>1254</v>
      </c>
      <c r="B638" s="230" t="s">
        <v>18</v>
      </c>
      <c r="C638" s="230" t="s">
        <v>138</v>
      </c>
      <c r="D638" s="230" t="s">
        <v>132</v>
      </c>
      <c r="E638" s="230" t="s">
        <v>628</v>
      </c>
      <c r="F638" s="230"/>
      <c r="G638" s="230"/>
      <c r="H638" s="230"/>
      <c r="I638" s="230"/>
      <c r="J638" s="230"/>
      <c r="K638" s="230"/>
      <c r="L638" s="230"/>
      <c r="M638" s="230"/>
      <c r="N638" s="230"/>
      <c r="O638" s="230"/>
      <c r="P638" s="230"/>
      <c r="Q638" s="230"/>
      <c r="R638" s="230"/>
      <c r="S638" s="230"/>
      <c r="T638" s="230"/>
      <c r="U638" s="161"/>
      <c r="V638" s="204"/>
      <c r="W638" s="204"/>
      <c r="X638" s="204"/>
      <c r="Y638" s="153" t="s">
        <v>447</v>
      </c>
      <c r="Z638" s="235">
        <f>Z639</f>
        <v>50000</v>
      </c>
      <c r="AA638" s="235">
        <f>AA639</f>
        <v>50000</v>
      </c>
      <c r="AB638" s="235">
        <f>AB639</f>
        <v>50000</v>
      </c>
      <c r="AC638" s="558" t="s">
        <v>447</v>
      </c>
    </row>
    <row r="639" spans="1:31" ht="54" customHeight="1" x14ac:dyDescent="0.3">
      <c r="A639" s="135" t="s">
        <v>708</v>
      </c>
      <c r="B639" s="140" t="s">
        <v>18</v>
      </c>
      <c r="C639" s="140" t="s">
        <v>138</v>
      </c>
      <c r="D639" s="140" t="s">
        <v>132</v>
      </c>
      <c r="E639" s="230" t="s">
        <v>628</v>
      </c>
      <c r="F639" s="140"/>
      <c r="G639" s="140"/>
      <c r="H639" s="140"/>
      <c r="I639" s="140"/>
      <c r="J639" s="140"/>
      <c r="K639" s="140"/>
      <c r="L639" s="140"/>
      <c r="M639" s="140"/>
      <c r="N639" s="140"/>
      <c r="O639" s="140"/>
      <c r="P639" s="140"/>
      <c r="Q639" s="140"/>
      <c r="R639" s="140"/>
      <c r="S639" s="140"/>
      <c r="T639" s="140" t="s">
        <v>294</v>
      </c>
      <c r="U639" s="136"/>
      <c r="V639" s="137"/>
      <c r="W639" s="137"/>
      <c r="X639" s="137"/>
      <c r="Y639" s="135" t="s">
        <v>448</v>
      </c>
      <c r="Z639" s="210">
        <v>50000</v>
      </c>
      <c r="AA639" s="210">
        <v>50000</v>
      </c>
      <c r="AB639" s="210">
        <v>50000</v>
      </c>
      <c r="AC639" s="211" t="s">
        <v>448</v>
      </c>
    </row>
    <row r="640" spans="1:31" ht="114" customHeight="1" x14ac:dyDescent="0.3">
      <c r="A640" s="338" t="s">
        <v>1499</v>
      </c>
      <c r="B640" s="140" t="s">
        <v>18</v>
      </c>
      <c r="C640" s="140" t="s">
        <v>138</v>
      </c>
      <c r="D640" s="140" t="s">
        <v>132</v>
      </c>
      <c r="E640" s="230" t="s">
        <v>1498</v>
      </c>
      <c r="F640" s="140"/>
      <c r="G640" s="140"/>
      <c r="H640" s="140"/>
      <c r="I640" s="140"/>
      <c r="J640" s="140"/>
      <c r="K640" s="140"/>
      <c r="L640" s="140"/>
      <c r="M640" s="140"/>
      <c r="N640" s="140"/>
      <c r="O640" s="140"/>
      <c r="P640" s="140"/>
      <c r="Q640" s="140"/>
      <c r="R640" s="140"/>
      <c r="S640" s="140"/>
      <c r="T640" s="140"/>
      <c r="U640" s="136"/>
      <c r="V640" s="137"/>
      <c r="W640" s="137"/>
      <c r="X640" s="137"/>
      <c r="Y640" s="135"/>
      <c r="Z640" s="235">
        <f>Z641</f>
        <v>19805000</v>
      </c>
      <c r="AA640" s="210">
        <v>0</v>
      </c>
      <c r="AB640" s="210">
        <v>0</v>
      </c>
      <c r="AC640" s="211"/>
    </row>
    <row r="641" spans="1:33" ht="54" customHeight="1" x14ac:dyDescent="0.3">
      <c r="A641" s="135" t="s">
        <v>708</v>
      </c>
      <c r="B641" s="140" t="s">
        <v>18</v>
      </c>
      <c r="C641" s="140" t="s">
        <v>138</v>
      </c>
      <c r="D641" s="140" t="s">
        <v>132</v>
      </c>
      <c r="E641" s="230" t="s">
        <v>1498</v>
      </c>
      <c r="F641" s="140"/>
      <c r="G641" s="140"/>
      <c r="H641" s="140"/>
      <c r="I641" s="140"/>
      <c r="J641" s="140"/>
      <c r="K641" s="140"/>
      <c r="L641" s="140"/>
      <c r="M641" s="140"/>
      <c r="N641" s="140"/>
      <c r="O641" s="140"/>
      <c r="P641" s="140"/>
      <c r="Q641" s="140"/>
      <c r="R641" s="140"/>
      <c r="S641" s="140"/>
      <c r="T641" s="140" t="s">
        <v>294</v>
      </c>
      <c r="U641" s="136"/>
      <c r="V641" s="137"/>
      <c r="W641" s="137"/>
      <c r="X641" s="137"/>
      <c r="Y641" s="135"/>
      <c r="Z641" s="210">
        <f>17824500+1285220+695280</f>
        <v>19805000</v>
      </c>
      <c r="AA641" s="210">
        <v>0</v>
      </c>
      <c r="AB641" s="210">
        <v>0</v>
      </c>
      <c r="AC641" s="211"/>
    </row>
    <row r="642" spans="1:33" ht="154.5" customHeight="1" x14ac:dyDescent="0.3">
      <c r="A642" s="338" t="s">
        <v>1293</v>
      </c>
      <c r="B642" s="140" t="s">
        <v>18</v>
      </c>
      <c r="C642" s="140" t="s">
        <v>138</v>
      </c>
      <c r="D642" s="140" t="s">
        <v>132</v>
      </c>
      <c r="E642" s="230" t="s">
        <v>928</v>
      </c>
      <c r="F642" s="140"/>
      <c r="G642" s="140"/>
      <c r="H642" s="140"/>
      <c r="I642" s="140"/>
      <c r="J642" s="140"/>
      <c r="K642" s="140"/>
      <c r="L642" s="140"/>
      <c r="M642" s="140"/>
      <c r="N642" s="140"/>
      <c r="O642" s="140"/>
      <c r="P642" s="140"/>
      <c r="Q642" s="140"/>
      <c r="R642" s="140"/>
      <c r="S642" s="140"/>
      <c r="T642" s="140"/>
      <c r="U642" s="136"/>
      <c r="V642" s="137"/>
      <c r="W642" s="137"/>
      <c r="X642" s="137"/>
      <c r="Y642" s="135"/>
      <c r="Z642" s="210">
        <f>Z643</f>
        <v>1534123.44</v>
      </c>
      <c r="AA642" s="210">
        <f>AA643</f>
        <v>245998.02</v>
      </c>
      <c r="AB642" s="210">
        <f>AB643</f>
        <v>327839.67</v>
      </c>
      <c r="AC642" s="211"/>
    </row>
    <row r="643" spans="1:33" ht="64.5" customHeight="1" x14ac:dyDescent="0.3">
      <c r="A643" s="1018" t="s">
        <v>708</v>
      </c>
      <c r="B643" s="1014" t="s">
        <v>18</v>
      </c>
      <c r="C643" s="1014" t="s">
        <v>138</v>
      </c>
      <c r="D643" s="1014" t="s">
        <v>132</v>
      </c>
      <c r="E643" s="1015" t="s">
        <v>928</v>
      </c>
      <c r="F643" s="1014"/>
      <c r="G643" s="1014"/>
      <c r="H643" s="1014"/>
      <c r="I643" s="1014"/>
      <c r="J643" s="1014"/>
      <c r="K643" s="1014"/>
      <c r="L643" s="1014"/>
      <c r="M643" s="1014"/>
      <c r="N643" s="1014"/>
      <c r="O643" s="1014"/>
      <c r="P643" s="1014"/>
      <c r="Q643" s="1014"/>
      <c r="R643" s="1014"/>
      <c r="S643" s="1014"/>
      <c r="T643" s="1014" t="s">
        <v>294</v>
      </c>
      <c r="U643" s="1016"/>
      <c r="V643" s="1017"/>
      <c r="W643" s="1017"/>
      <c r="X643" s="1017"/>
      <c r="Y643" s="1013"/>
      <c r="Z643" s="1019">
        <f>659200+73243.13-11.79+58706.86+679787.84+16825.13+5173+41199.27</f>
        <v>1534123.44</v>
      </c>
      <c r="AA643" s="210">
        <f>246000-1.98</f>
        <v>245998.02</v>
      </c>
      <c r="AB643" s="210">
        <f>327800+39.67</f>
        <v>327839.67</v>
      </c>
      <c r="AC643" s="211"/>
    </row>
    <row r="644" spans="1:33" ht="165.75" customHeight="1" x14ac:dyDescent="0.3">
      <c r="A644" s="839" t="s">
        <v>1502</v>
      </c>
      <c r="B644" s="140" t="s">
        <v>18</v>
      </c>
      <c r="C644" s="140" t="s">
        <v>138</v>
      </c>
      <c r="D644" s="140" t="s">
        <v>132</v>
      </c>
      <c r="E644" s="230" t="s">
        <v>1501</v>
      </c>
      <c r="F644" s="140"/>
      <c r="G644" s="140"/>
      <c r="H644" s="140"/>
      <c r="I644" s="140"/>
      <c r="J644" s="140"/>
      <c r="K644" s="140"/>
      <c r="L644" s="140"/>
      <c r="M644" s="140"/>
      <c r="N644" s="140"/>
      <c r="O644" s="140"/>
      <c r="P644" s="140"/>
      <c r="Q644" s="140"/>
      <c r="R644" s="140"/>
      <c r="S644" s="140"/>
      <c r="T644" s="140"/>
      <c r="U644" s="136"/>
      <c r="V644" s="137"/>
      <c r="W644" s="137"/>
      <c r="X644" s="137"/>
      <c r="Y644" s="135"/>
      <c r="Z644" s="210">
        <f>Z645</f>
        <v>0</v>
      </c>
      <c r="AA644" s="210">
        <v>0</v>
      </c>
      <c r="AB644" s="210">
        <v>0</v>
      </c>
      <c r="AC644" s="211"/>
    </row>
    <row r="645" spans="1:33" ht="56.45" customHeight="1" x14ac:dyDescent="0.3">
      <c r="A645" s="154" t="s">
        <v>708</v>
      </c>
      <c r="B645" s="140" t="s">
        <v>18</v>
      </c>
      <c r="C645" s="140" t="s">
        <v>138</v>
      </c>
      <c r="D645" s="140" t="s">
        <v>132</v>
      </c>
      <c r="E645" s="230" t="s">
        <v>1501</v>
      </c>
      <c r="F645" s="140"/>
      <c r="G645" s="140"/>
      <c r="H645" s="140"/>
      <c r="I645" s="140"/>
      <c r="J645" s="140"/>
      <c r="K645" s="140"/>
      <c r="L645" s="140"/>
      <c r="M645" s="140"/>
      <c r="N645" s="140"/>
      <c r="O645" s="140"/>
      <c r="P645" s="140"/>
      <c r="Q645" s="140"/>
      <c r="R645" s="140"/>
      <c r="S645" s="140"/>
      <c r="T645" s="140" t="s">
        <v>294</v>
      </c>
      <c r="U645" s="136"/>
      <c r="V645" s="137"/>
      <c r="W645" s="137"/>
      <c r="X645" s="137"/>
      <c r="Y645" s="135"/>
      <c r="Z645" s="210">
        <f>3106595-3106595</f>
        <v>0</v>
      </c>
      <c r="AA645" s="210">
        <v>0</v>
      </c>
      <c r="AB645" s="210">
        <v>0</v>
      </c>
      <c r="AC645" s="211"/>
    </row>
    <row r="646" spans="1:33" ht="201.75" customHeight="1" x14ac:dyDescent="0.3">
      <c r="A646" s="472" t="s">
        <v>1527</v>
      </c>
      <c r="B646" s="1014" t="s">
        <v>18</v>
      </c>
      <c r="C646" s="1014" t="s">
        <v>138</v>
      </c>
      <c r="D646" s="1014" t="s">
        <v>132</v>
      </c>
      <c r="E646" s="1015" t="s">
        <v>1526</v>
      </c>
      <c r="F646" s="1014"/>
      <c r="G646" s="1014"/>
      <c r="H646" s="1014"/>
      <c r="I646" s="1014"/>
      <c r="J646" s="1014"/>
      <c r="K646" s="1014"/>
      <c r="L646" s="1014"/>
      <c r="M646" s="1014"/>
      <c r="N646" s="1014"/>
      <c r="O646" s="1014"/>
      <c r="P646" s="1014"/>
      <c r="Q646" s="1014"/>
      <c r="R646" s="1014"/>
      <c r="S646" s="1014"/>
      <c r="T646" s="1014"/>
      <c r="U646" s="1016"/>
      <c r="V646" s="1017"/>
      <c r="W646" s="1017"/>
      <c r="X646" s="1017"/>
      <c r="Y646" s="1013"/>
      <c r="Z646" s="1019">
        <f>Z647</f>
        <v>1780226</v>
      </c>
      <c r="AA646" s="210">
        <v>0</v>
      </c>
      <c r="AB646" s="210">
        <v>0</v>
      </c>
      <c r="AC646" s="211"/>
    </row>
    <row r="647" spans="1:33" ht="68.25" customHeight="1" x14ac:dyDescent="0.3">
      <c r="A647" s="1018" t="s">
        <v>708</v>
      </c>
      <c r="B647" s="1014" t="s">
        <v>18</v>
      </c>
      <c r="C647" s="1014" t="s">
        <v>138</v>
      </c>
      <c r="D647" s="1014" t="s">
        <v>132</v>
      </c>
      <c r="E647" s="1015" t="s">
        <v>1526</v>
      </c>
      <c r="F647" s="1014"/>
      <c r="G647" s="1014"/>
      <c r="H647" s="1014"/>
      <c r="I647" s="1014"/>
      <c r="J647" s="1014"/>
      <c r="K647" s="1014"/>
      <c r="L647" s="1014"/>
      <c r="M647" s="1014"/>
      <c r="N647" s="1014"/>
      <c r="O647" s="1014"/>
      <c r="P647" s="1014"/>
      <c r="Q647" s="1014"/>
      <c r="R647" s="1014"/>
      <c r="S647" s="1014"/>
      <c r="T647" s="1014" t="s">
        <v>294</v>
      </c>
      <c r="U647" s="1016"/>
      <c r="V647" s="1017"/>
      <c r="W647" s="1017"/>
      <c r="X647" s="1017"/>
      <c r="Y647" s="1013"/>
      <c r="Z647" s="1019">
        <f>1730736+288456-238966</f>
        <v>1780226</v>
      </c>
      <c r="AA647" s="210">
        <v>0</v>
      </c>
      <c r="AB647" s="210">
        <v>0</v>
      </c>
      <c r="AC647" s="211"/>
    </row>
    <row r="648" spans="1:33" ht="318" customHeight="1" x14ac:dyDescent="0.3">
      <c r="A648" s="283" t="s">
        <v>1294</v>
      </c>
      <c r="B648" s="230" t="s">
        <v>18</v>
      </c>
      <c r="C648" s="230" t="s">
        <v>138</v>
      </c>
      <c r="D648" s="230" t="s">
        <v>132</v>
      </c>
      <c r="E648" s="230" t="s">
        <v>903</v>
      </c>
      <c r="F648" s="230"/>
      <c r="G648" s="230"/>
      <c r="H648" s="230"/>
      <c r="I648" s="230"/>
      <c r="J648" s="230"/>
      <c r="K648" s="230"/>
      <c r="L648" s="230"/>
      <c r="M648" s="230"/>
      <c r="N648" s="230"/>
      <c r="O648" s="230"/>
      <c r="P648" s="230"/>
      <c r="Q648" s="230"/>
      <c r="R648" s="230"/>
      <c r="S648" s="230"/>
      <c r="T648" s="230"/>
      <c r="U648" s="161"/>
      <c r="V648" s="204"/>
      <c r="W648" s="204"/>
      <c r="X648" s="204"/>
      <c r="Y648" s="155" t="s">
        <v>233</v>
      </c>
      <c r="Z648" s="235">
        <f>Z649</f>
        <v>177372784.16</v>
      </c>
      <c r="AA648" s="235">
        <f>AA649</f>
        <v>181110028.28999999</v>
      </c>
      <c r="AB648" s="235">
        <f>AB649</f>
        <v>184492583.13</v>
      </c>
      <c r="AC648" s="563" t="s">
        <v>233</v>
      </c>
      <c r="AE648" s="127"/>
    </row>
    <row r="649" spans="1:33" ht="64.5" customHeight="1" x14ac:dyDescent="0.3">
      <c r="A649" s="1018" t="s">
        <v>708</v>
      </c>
      <c r="B649" s="1014" t="s">
        <v>18</v>
      </c>
      <c r="C649" s="1014" t="s">
        <v>138</v>
      </c>
      <c r="D649" s="1014" t="s">
        <v>132</v>
      </c>
      <c r="E649" s="1015" t="s">
        <v>903</v>
      </c>
      <c r="F649" s="1014"/>
      <c r="G649" s="1014"/>
      <c r="H649" s="1014"/>
      <c r="I649" s="1014"/>
      <c r="J649" s="1014"/>
      <c r="K649" s="1014"/>
      <c r="L649" s="1014"/>
      <c r="M649" s="1014"/>
      <c r="N649" s="1014"/>
      <c r="O649" s="1014"/>
      <c r="P649" s="1014"/>
      <c r="Q649" s="1014"/>
      <c r="R649" s="1014"/>
      <c r="S649" s="1014"/>
      <c r="T649" s="1014" t="s">
        <v>294</v>
      </c>
      <c r="U649" s="1016"/>
      <c r="V649" s="1017"/>
      <c r="W649" s="1017"/>
      <c r="X649" s="1017"/>
      <c r="Y649" s="1018" t="s">
        <v>449</v>
      </c>
      <c r="Z649" s="1019">
        <f>163923087.76+7650706.12+22.62+298967.66+5500000</f>
        <v>177372784.16</v>
      </c>
      <c r="AA649" s="210">
        <f>169910162.19+11199868.9-2.8</f>
        <v>181110028.28999999</v>
      </c>
      <c r="AB649" s="210">
        <f>169910162.19+22379518.9-7797100+2.04</f>
        <v>184492583.13</v>
      </c>
      <c r="AC649" s="559" t="s">
        <v>449</v>
      </c>
      <c r="AD649" s="127"/>
      <c r="AE649" s="127"/>
      <c r="AF649" s="127"/>
      <c r="AG649" s="127"/>
    </row>
    <row r="650" spans="1:33" ht="123" customHeight="1" x14ac:dyDescent="0.3">
      <c r="A650" s="153" t="s">
        <v>1255</v>
      </c>
      <c r="B650" s="230" t="s">
        <v>18</v>
      </c>
      <c r="C650" s="230" t="s">
        <v>138</v>
      </c>
      <c r="D650" s="230" t="s">
        <v>132</v>
      </c>
      <c r="E650" s="230" t="s">
        <v>629</v>
      </c>
      <c r="F650" s="230"/>
      <c r="G650" s="230"/>
      <c r="H650" s="230"/>
      <c r="I650" s="230"/>
      <c r="J650" s="230"/>
      <c r="K650" s="230"/>
      <c r="L650" s="230"/>
      <c r="M650" s="230"/>
      <c r="N650" s="230"/>
      <c r="O650" s="230"/>
      <c r="P650" s="230"/>
      <c r="Q650" s="230"/>
      <c r="R650" s="230"/>
      <c r="S650" s="230"/>
      <c r="T650" s="230"/>
      <c r="U650" s="161"/>
      <c r="V650" s="204"/>
      <c r="W650" s="204"/>
      <c r="X650" s="204"/>
      <c r="Y650" s="153" t="s">
        <v>450</v>
      </c>
      <c r="Z650" s="235">
        <f>Z651</f>
        <v>80000</v>
      </c>
      <c r="AA650" s="235">
        <f>AA651</f>
        <v>80000</v>
      </c>
      <c r="AB650" s="235">
        <f>AB651</f>
        <v>80000</v>
      </c>
      <c r="AC650" s="558" t="s">
        <v>450</v>
      </c>
    </row>
    <row r="651" spans="1:33" ht="60" customHeight="1" x14ac:dyDescent="0.3">
      <c r="A651" s="135" t="s">
        <v>708</v>
      </c>
      <c r="B651" s="140" t="s">
        <v>18</v>
      </c>
      <c r="C651" s="140" t="s">
        <v>138</v>
      </c>
      <c r="D651" s="140" t="s">
        <v>132</v>
      </c>
      <c r="E651" s="230" t="s">
        <v>629</v>
      </c>
      <c r="F651" s="140"/>
      <c r="G651" s="140"/>
      <c r="H651" s="140"/>
      <c r="I651" s="140"/>
      <c r="J651" s="140"/>
      <c r="K651" s="140"/>
      <c r="L651" s="140"/>
      <c r="M651" s="140"/>
      <c r="N651" s="140"/>
      <c r="O651" s="140"/>
      <c r="P651" s="140"/>
      <c r="Q651" s="140"/>
      <c r="R651" s="140"/>
      <c r="S651" s="140"/>
      <c r="T651" s="140" t="s">
        <v>294</v>
      </c>
      <c r="U651" s="136"/>
      <c r="V651" s="137"/>
      <c r="W651" s="137"/>
      <c r="X651" s="137"/>
      <c r="Y651" s="135" t="s">
        <v>451</v>
      </c>
      <c r="Z651" s="210">
        <v>80000</v>
      </c>
      <c r="AA651" s="210">
        <v>80000</v>
      </c>
      <c r="AB651" s="210">
        <v>80000</v>
      </c>
      <c r="AC651" s="211" t="s">
        <v>451</v>
      </c>
    </row>
    <row r="652" spans="1:33" ht="129" customHeight="1" x14ac:dyDescent="0.3">
      <c r="A652" s="153" t="s">
        <v>1256</v>
      </c>
      <c r="B652" s="230" t="s">
        <v>18</v>
      </c>
      <c r="C652" s="230" t="s">
        <v>138</v>
      </c>
      <c r="D652" s="230" t="s">
        <v>132</v>
      </c>
      <c r="E652" s="230" t="s">
        <v>630</v>
      </c>
      <c r="F652" s="230"/>
      <c r="G652" s="230"/>
      <c r="H652" s="230"/>
      <c r="I652" s="230"/>
      <c r="J652" s="230"/>
      <c r="K652" s="230"/>
      <c r="L652" s="230"/>
      <c r="M652" s="230"/>
      <c r="N652" s="230"/>
      <c r="O652" s="230"/>
      <c r="P652" s="230"/>
      <c r="Q652" s="230"/>
      <c r="R652" s="230"/>
      <c r="S652" s="230"/>
      <c r="T652" s="230"/>
      <c r="U652" s="161"/>
      <c r="V652" s="204"/>
      <c r="W652" s="204"/>
      <c r="X652" s="204"/>
      <c r="Y652" s="153" t="s">
        <v>452</v>
      </c>
      <c r="Z652" s="235">
        <f>Z653</f>
        <v>50000</v>
      </c>
      <c r="AA652" s="235">
        <f>AA653</f>
        <v>10000</v>
      </c>
      <c r="AB652" s="235">
        <f>AB653</f>
        <v>10000</v>
      </c>
      <c r="AC652" s="558" t="s">
        <v>452</v>
      </c>
      <c r="AE652" s="127"/>
    </row>
    <row r="653" spans="1:33" ht="54" customHeight="1" x14ac:dyDescent="0.3">
      <c r="A653" s="135" t="s">
        <v>708</v>
      </c>
      <c r="B653" s="140" t="s">
        <v>18</v>
      </c>
      <c r="C653" s="140" t="s">
        <v>138</v>
      </c>
      <c r="D653" s="140" t="s">
        <v>132</v>
      </c>
      <c r="E653" s="230" t="s">
        <v>630</v>
      </c>
      <c r="F653" s="140"/>
      <c r="G653" s="140"/>
      <c r="H653" s="140"/>
      <c r="I653" s="140"/>
      <c r="J653" s="140"/>
      <c r="K653" s="140"/>
      <c r="L653" s="140"/>
      <c r="M653" s="140"/>
      <c r="N653" s="140"/>
      <c r="O653" s="140"/>
      <c r="P653" s="140"/>
      <c r="Q653" s="140"/>
      <c r="R653" s="140"/>
      <c r="S653" s="140"/>
      <c r="T653" s="140" t="s">
        <v>294</v>
      </c>
      <c r="U653" s="136"/>
      <c r="V653" s="137"/>
      <c r="W653" s="137"/>
      <c r="X653" s="137"/>
      <c r="Y653" s="135" t="s">
        <v>453</v>
      </c>
      <c r="Z653" s="210">
        <v>50000</v>
      </c>
      <c r="AA653" s="210">
        <v>10000</v>
      </c>
      <c r="AB653" s="210">
        <v>10000</v>
      </c>
      <c r="AC653" s="211" t="s">
        <v>453</v>
      </c>
    </row>
    <row r="654" spans="1:33" ht="127.5" customHeight="1" x14ac:dyDescent="0.3">
      <c r="A654" s="153" t="s">
        <v>1257</v>
      </c>
      <c r="B654" s="230" t="s">
        <v>18</v>
      </c>
      <c r="C654" s="230" t="s">
        <v>138</v>
      </c>
      <c r="D654" s="230" t="s">
        <v>132</v>
      </c>
      <c r="E654" s="230" t="s">
        <v>631</v>
      </c>
      <c r="F654" s="230"/>
      <c r="G654" s="230"/>
      <c r="H654" s="230"/>
      <c r="I654" s="230"/>
      <c r="J654" s="230"/>
      <c r="K654" s="230"/>
      <c r="L654" s="230"/>
      <c r="M654" s="230"/>
      <c r="N654" s="230"/>
      <c r="O654" s="230"/>
      <c r="P654" s="230"/>
      <c r="Q654" s="230"/>
      <c r="R654" s="230"/>
      <c r="S654" s="230"/>
      <c r="T654" s="230"/>
      <c r="U654" s="161"/>
      <c r="V654" s="204"/>
      <c r="W654" s="204"/>
      <c r="X654" s="204"/>
      <c r="Y654" s="153" t="s">
        <v>454</v>
      </c>
      <c r="Z654" s="235">
        <f>Z655</f>
        <v>20000</v>
      </c>
      <c r="AA654" s="235">
        <f>AA655</f>
        <v>20000</v>
      </c>
      <c r="AB654" s="235">
        <f>AB655</f>
        <v>20000</v>
      </c>
      <c r="AC654" s="558" t="s">
        <v>454</v>
      </c>
    </row>
    <row r="655" spans="1:33" ht="55.9" customHeight="1" x14ac:dyDescent="0.3">
      <c r="A655" s="135" t="s">
        <v>708</v>
      </c>
      <c r="B655" s="140" t="s">
        <v>18</v>
      </c>
      <c r="C655" s="140" t="s">
        <v>138</v>
      </c>
      <c r="D655" s="140" t="s">
        <v>132</v>
      </c>
      <c r="E655" s="230" t="s">
        <v>631</v>
      </c>
      <c r="F655" s="140"/>
      <c r="G655" s="140"/>
      <c r="H655" s="140"/>
      <c r="I655" s="140"/>
      <c r="J655" s="140"/>
      <c r="K655" s="140"/>
      <c r="L655" s="140"/>
      <c r="M655" s="140"/>
      <c r="N655" s="140"/>
      <c r="O655" s="140"/>
      <c r="P655" s="140"/>
      <c r="Q655" s="140"/>
      <c r="R655" s="140"/>
      <c r="S655" s="140"/>
      <c r="T655" s="140" t="s">
        <v>294</v>
      </c>
      <c r="U655" s="136"/>
      <c r="V655" s="137"/>
      <c r="W655" s="137"/>
      <c r="X655" s="137"/>
      <c r="Y655" s="135" t="s">
        <v>455</v>
      </c>
      <c r="Z655" s="210">
        <v>20000</v>
      </c>
      <c r="AA655" s="210">
        <v>20000</v>
      </c>
      <c r="AB655" s="210">
        <v>20000</v>
      </c>
      <c r="AC655" s="211" t="s">
        <v>455</v>
      </c>
    </row>
    <row r="656" spans="1:33" ht="100.5" customHeight="1" x14ac:dyDescent="0.3">
      <c r="A656" s="377" t="s">
        <v>1466</v>
      </c>
      <c r="B656" s="1014" t="s">
        <v>18</v>
      </c>
      <c r="C656" s="1014" t="s">
        <v>138</v>
      </c>
      <c r="D656" s="1014" t="s">
        <v>132</v>
      </c>
      <c r="E656" s="1015" t="s">
        <v>612</v>
      </c>
      <c r="F656" s="1014"/>
      <c r="G656" s="1014"/>
      <c r="H656" s="1014"/>
      <c r="I656" s="1014"/>
      <c r="J656" s="1014"/>
      <c r="K656" s="1014"/>
      <c r="L656" s="1014"/>
      <c r="M656" s="1014"/>
      <c r="N656" s="1014"/>
      <c r="O656" s="1014"/>
      <c r="P656" s="1014"/>
      <c r="Q656" s="1014"/>
      <c r="R656" s="1014"/>
      <c r="S656" s="1014"/>
      <c r="T656" s="1014"/>
      <c r="U656" s="1016"/>
      <c r="V656" s="1017"/>
      <c r="W656" s="1017"/>
      <c r="X656" s="1017"/>
      <c r="Y656" s="1013"/>
      <c r="Z656" s="1019">
        <f>Z657</f>
        <v>260000</v>
      </c>
      <c r="AA656" s="210">
        <f>AA657</f>
        <v>180000</v>
      </c>
      <c r="AB656" s="210">
        <f>AB657</f>
        <v>180000</v>
      </c>
      <c r="AC656" s="211"/>
    </row>
    <row r="657" spans="1:29" ht="65.25" customHeight="1" x14ac:dyDescent="0.3">
      <c r="A657" s="1082" t="s">
        <v>708</v>
      </c>
      <c r="B657" s="1083" t="s">
        <v>18</v>
      </c>
      <c r="C657" s="1014" t="s">
        <v>138</v>
      </c>
      <c r="D657" s="1014" t="s">
        <v>132</v>
      </c>
      <c r="E657" s="1015" t="s">
        <v>612</v>
      </c>
      <c r="F657" s="1014"/>
      <c r="G657" s="1014"/>
      <c r="H657" s="1014"/>
      <c r="I657" s="1014"/>
      <c r="J657" s="1014"/>
      <c r="K657" s="1014"/>
      <c r="L657" s="1014"/>
      <c r="M657" s="1014"/>
      <c r="N657" s="1014"/>
      <c r="O657" s="1014"/>
      <c r="P657" s="1014"/>
      <c r="Q657" s="1014"/>
      <c r="R657" s="1014"/>
      <c r="S657" s="1014"/>
      <c r="T657" s="1014" t="s">
        <v>294</v>
      </c>
      <c r="U657" s="1016"/>
      <c r="V657" s="1017"/>
      <c r="W657" s="1017"/>
      <c r="X657" s="1017"/>
      <c r="Y657" s="1013"/>
      <c r="Z657" s="1019">
        <f>180000+80000+100000-100000</f>
        <v>260000</v>
      </c>
      <c r="AA657" s="210">
        <v>180000</v>
      </c>
      <c r="AB657" s="210">
        <v>180000</v>
      </c>
      <c r="AC657" s="211"/>
    </row>
    <row r="658" spans="1:29" ht="85.5" customHeight="1" x14ac:dyDescent="0.3">
      <c r="A658" s="158" t="s">
        <v>456</v>
      </c>
      <c r="B658" s="230" t="s">
        <v>18</v>
      </c>
      <c r="C658" s="230" t="s">
        <v>138</v>
      </c>
      <c r="D658" s="230" t="s">
        <v>132</v>
      </c>
      <c r="E658" s="230" t="s">
        <v>632</v>
      </c>
      <c r="F658" s="230"/>
      <c r="G658" s="230"/>
      <c r="H658" s="230"/>
      <c r="I658" s="230"/>
      <c r="J658" s="230"/>
      <c r="K658" s="230"/>
      <c r="L658" s="230"/>
      <c r="M658" s="230"/>
      <c r="N658" s="230"/>
      <c r="O658" s="230"/>
      <c r="P658" s="230"/>
      <c r="Q658" s="230"/>
      <c r="R658" s="230"/>
      <c r="S658" s="230"/>
      <c r="T658" s="230"/>
      <c r="U658" s="161"/>
      <c r="V658" s="204"/>
      <c r="W658" s="204"/>
      <c r="X658" s="204"/>
      <c r="Y658" s="153" t="s">
        <v>456</v>
      </c>
      <c r="Z658" s="235">
        <f>Z659</f>
        <v>189000</v>
      </c>
      <c r="AA658" s="235">
        <f>AA659</f>
        <v>193500</v>
      </c>
      <c r="AB658" s="235">
        <f>AB659</f>
        <v>193500</v>
      </c>
      <c r="AC658" s="558" t="s">
        <v>456</v>
      </c>
    </row>
    <row r="659" spans="1:29" ht="60" customHeight="1" x14ac:dyDescent="0.3">
      <c r="A659" s="135" t="s">
        <v>708</v>
      </c>
      <c r="B659" s="140" t="s">
        <v>18</v>
      </c>
      <c r="C659" s="140" t="s">
        <v>138</v>
      </c>
      <c r="D659" s="140" t="s">
        <v>132</v>
      </c>
      <c r="E659" s="230" t="s">
        <v>632</v>
      </c>
      <c r="F659" s="140"/>
      <c r="G659" s="140"/>
      <c r="H659" s="140"/>
      <c r="I659" s="140"/>
      <c r="J659" s="140"/>
      <c r="K659" s="140"/>
      <c r="L659" s="140"/>
      <c r="M659" s="140"/>
      <c r="N659" s="140"/>
      <c r="O659" s="140"/>
      <c r="P659" s="140"/>
      <c r="Q659" s="140"/>
      <c r="R659" s="140"/>
      <c r="S659" s="140"/>
      <c r="T659" s="140" t="s">
        <v>294</v>
      </c>
      <c r="U659" s="136"/>
      <c r="V659" s="137"/>
      <c r="W659" s="137"/>
      <c r="X659" s="137"/>
      <c r="Y659" s="135" t="s">
        <v>457</v>
      </c>
      <c r="Z659" s="210">
        <f>166500+26500-4000</f>
        <v>189000</v>
      </c>
      <c r="AA659" s="210">
        <v>193500</v>
      </c>
      <c r="AB659" s="210">
        <v>193500</v>
      </c>
      <c r="AC659" s="211" t="s">
        <v>457</v>
      </c>
    </row>
    <row r="660" spans="1:29" ht="37.15" customHeight="1" x14ac:dyDescent="0.3">
      <c r="A660" s="159" t="s">
        <v>706</v>
      </c>
      <c r="B660" s="160" t="s">
        <v>18</v>
      </c>
      <c r="C660" s="160" t="s">
        <v>138</v>
      </c>
      <c r="D660" s="160" t="s">
        <v>138</v>
      </c>
      <c r="E660" s="139"/>
      <c r="F660" s="160"/>
      <c r="G660" s="160"/>
      <c r="H660" s="160"/>
      <c r="I660" s="160"/>
      <c r="J660" s="160"/>
      <c r="K660" s="160"/>
      <c r="L660" s="160"/>
      <c r="M660" s="160"/>
      <c r="N660" s="160"/>
      <c r="O660" s="160"/>
      <c r="P660" s="160"/>
      <c r="Q660" s="160"/>
      <c r="R660" s="160"/>
      <c r="S660" s="160"/>
      <c r="T660" s="160"/>
      <c r="U660" s="160"/>
      <c r="V660" s="212"/>
      <c r="W660" s="212"/>
      <c r="X660" s="212"/>
      <c r="Y660" s="159" t="s">
        <v>157</v>
      </c>
      <c r="Z660" s="213">
        <f>Z661+Z669+Z664+Z666</f>
        <v>3894332.0200000005</v>
      </c>
      <c r="AA660" s="213">
        <f>AA661+AA669+AA664+AA666</f>
        <v>3894332.27</v>
      </c>
      <c r="AB660" s="213">
        <f>AB661+AB669+AB664+AB666</f>
        <v>2911643.14</v>
      </c>
      <c r="AC660" s="288" t="s">
        <v>157</v>
      </c>
    </row>
    <row r="661" spans="1:29" ht="132.75" customHeight="1" x14ac:dyDescent="0.3">
      <c r="A661" s="153" t="s">
        <v>1295</v>
      </c>
      <c r="B661" s="230" t="s">
        <v>18</v>
      </c>
      <c r="C661" s="230" t="s">
        <v>138</v>
      </c>
      <c r="D661" s="230" t="s">
        <v>138</v>
      </c>
      <c r="E661" s="230" t="s">
        <v>634</v>
      </c>
      <c r="F661" s="230"/>
      <c r="G661" s="230"/>
      <c r="H661" s="230"/>
      <c r="I661" s="230"/>
      <c r="J661" s="230"/>
      <c r="K661" s="230"/>
      <c r="L661" s="230"/>
      <c r="M661" s="230"/>
      <c r="N661" s="230"/>
      <c r="O661" s="230"/>
      <c r="P661" s="230"/>
      <c r="Q661" s="230"/>
      <c r="R661" s="230"/>
      <c r="S661" s="230"/>
      <c r="T661" s="230"/>
      <c r="U661" s="161"/>
      <c r="V661" s="204"/>
      <c r="W661" s="204"/>
      <c r="X661" s="204"/>
      <c r="Y661" s="153" t="s">
        <v>458</v>
      </c>
      <c r="Z661" s="235">
        <f>Z663+Z662</f>
        <v>2345074.2200000002</v>
      </c>
      <c r="AA661" s="235">
        <f t="shared" ref="AA661:AB661" si="23">AA663</f>
        <v>2500000</v>
      </c>
      <c r="AB661" s="235">
        <f t="shared" si="23"/>
        <v>2500000</v>
      </c>
      <c r="AC661" s="558" t="s">
        <v>458</v>
      </c>
    </row>
    <row r="662" spans="1:29" ht="48" customHeight="1" x14ac:dyDescent="0.3">
      <c r="A662" s="135" t="s">
        <v>565</v>
      </c>
      <c r="B662" s="140" t="s">
        <v>18</v>
      </c>
      <c r="C662" s="140" t="s">
        <v>138</v>
      </c>
      <c r="D662" s="140" t="s">
        <v>138</v>
      </c>
      <c r="E662" s="230" t="s">
        <v>634</v>
      </c>
      <c r="F662" s="230"/>
      <c r="G662" s="230"/>
      <c r="H662" s="230"/>
      <c r="I662" s="230"/>
      <c r="J662" s="230"/>
      <c r="K662" s="230"/>
      <c r="L662" s="230"/>
      <c r="M662" s="230"/>
      <c r="N662" s="230"/>
      <c r="O662" s="230"/>
      <c r="P662" s="230"/>
      <c r="Q662" s="230"/>
      <c r="R662" s="230"/>
      <c r="S662" s="230"/>
      <c r="T662" s="230" t="s">
        <v>275</v>
      </c>
      <c r="U662" s="161"/>
      <c r="V662" s="204"/>
      <c r="W662" s="204"/>
      <c r="X662" s="204"/>
      <c r="Y662" s="153"/>
      <c r="Z662" s="235">
        <f>268166.4+3500+13500+3500-3500</f>
        <v>285166.40000000002</v>
      </c>
      <c r="AA662" s="235">
        <v>0</v>
      </c>
      <c r="AB662" s="235">
        <v>0</v>
      </c>
      <c r="AC662" s="558"/>
    </row>
    <row r="663" spans="1:29" ht="53.45" customHeight="1" x14ac:dyDescent="0.3">
      <c r="A663" s="135" t="s">
        <v>708</v>
      </c>
      <c r="B663" s="140" t="s">
        <v>18</v>
      </c>
      <c r="C663" s="140" t="s">
        <v>138</v>
      </c>
      <c r="D663" s="140" t="s">
        <v>138</v>
      </c>
      <c r="E663" s="230" t="s">
        <v>634</v>
      </c>
      <c r="F663" s="140"/>
      <c r="G663" s="140"/>
      <c r="H663" s="140"/>
      <c r="I663" s="140"/>
      <c r="J663" s="140"/>
      <c r="K663" s="140"/>
      <c r="L663" s="140"/>
      <c r="M663" s="140"/>
      <c r="N663" s="140"/>
      <c r="O663" s="140"/>
      <c r="P663" s="140"/>
      <c r="Q663" s="140"/>
      <c r="R663" s="140"/>
      <c r="S663" s="140"/>
      <c r="T663" s="140" t="s">
        <v>294</v>
      </c>
      <c r="U663" s="136"/>
      <c r="V663" s="137"/>
      <c r="W663" s="137"/>
      <c r="X663" s="137"/>
      <c r="Y663" s="135" t="s">
        <v>459</v>
      </c>
      <c r="Z663" s="210">
        <f>2500000-154925.78-268166.4-3500-13500-3500+3500</f>
        <v>2059907.8200000003</v>
      </c>
      <c r="AA663" s="210">
        <v>2500000</v>
      </c>
      <c r="AB663" s="210">
        <v>2500000</v>
      </c>
      <c r="AC663" s="211" t="s">
        <v>459</v>
      </c>
    </row>
    <row r="664" spans="1:29" ht="0.75" hidden="1" customHeight="1" x14ac:dyDescent="0.3">
      <c r="A664" s="153" t="s">
        <v>633</v>
      </c>
      <c r="B664" s="230" t="s">
        <v>18</v>
      </c>
      <c r="C664" s="230" t="s">
        <v>138</v>
      </c>
      <c r="D664" s="230" t="s">
        <v>138</v>
      </c>
      <c r="E664" s="230" t="s">
        <v>780</v>
      </c>
      <c r="F664" s="230"/>
      <c r="G664" s="230"/>
      <c r="H664" s="230"/>
      <c r="I664" s="230"/>
      <c r="J664" s="230"/>
      <c r="K664" s="230"/>
      <c r="L664" s="230"/>
      <c r="M664" s="230"/>
      <c r="N664" s="230"/>
      <c r="O664" s="230"/>
      <c r="P664" s="230"/>
      <c r="Q664" s="230"/>
      <c r="R664" s="230"/>
      <c r="S664" s="230"/>
      <c r="T664" s="230"/>
      <c r="U664" s="136"/>
      <c r="V664" s="137"/>
      <c r="W664" s="137"/>
      <c r="X664" s="137"/>
      <c r="Y664" s="135"/>
      <c r="Z664" s="210">
        <f>Z665</f>
        <v>0</v>
      </c>
      <c r="AA664" s="210">
        <f>AA665</f>
        <v>0</v>
      </c>
      <c r="AB664" s="210">
        <f>AB665</f>
        <v>0</v>
      </c>
      <c r="AC664" s="211"/>
    </row>
    <row r="665" spans="1:29" ht="103.5" hidden="1" customHeight="1" x14ac:dyDescent="0.3">
      <c r="A665" s="135" t="s">
        <v>459</v>
      </c>
      <c r="B665" s="140" t="s">
        <v>18</v>
      </c>
      <c r="C665" s="140" t="s">
        <v>138</v>
      </c>
      <c r="D665" s="140" t="s">
        <v>138</v>
      </c>
      <c r="E665" s="230" t="s">
        <v>780</v>
      </c>
      <c r="F665" s="140"/>
      <c r="G665" s="140"/>
      <c r="H665" s="140"/>
      <c r="I665" s="140"/>
      <c r="J665" s="140"/>
      <c r="K665" s="140"/>
      <c r="L665" s="140"/>
      <c r="M665" s="140"/>
      <c r="N665" s="140"/>
      <c r="O665" s="140"/>
      <c r="P665" s="140"/>
      <c r="Q665" s="140"/>
      <c r="R665" s="140"/>
      <c r="S665" s="140"/>
      <c r="T665" s="140" t="s">
        <v>294</v>
      </c>
      <c r="U665" s="136"/>
      <c r="V665" s="137"/>
      <c r="W665" s="137"/>
      <c r="X665" s="137"/>
      <c r="Y665" s="135"/>
      <c r="Z665" s="210">
        <v>0</v>
      </c>
      <c r="AA665" s="210">
        <v>0</v>
      </c>
      <c r="AB665" s="210">
        <v>0</v>
      </c>
      <c r="AC665" s="211"/>
    </row>
    <row r="666" spans="1:29" ht="126.6" customHeight="1" x14ac:dyDescent="0.3">
      <c r="A666" s="153" t="s">
        <v>1261</v>
      </c>
      <c r="B666" s="140" t="s">
        <v>18</v>
      </c>
      <c r="C666" s="140" t="s">
        <v>138</v>
      </c>
      <c r="D666" s="140" t="s">
        <v>138</v>
      </c>
      <c r="E666" s="230" t="s">
        <v>780</v>
      </c>
      <c r="F666" s="140"/>
      <c r="G666" s="140"/>
      <c r="H666" s="140"/>
      <c r="I666" s="140"/>
      <c r="J666" s="140"/>
      <c r="K666" s="140"/>
      <c r="L666" s="140"/>
      <c r="M666" s="140"/>
      <c r="N666" s="140"/>
      <c r="O666" s="140"/>
      <c r="P666" s="140"/>
      <c r="Q666" s="140"/>
      <c r="R666" s="140"/>
      <c r="S666" s="140"/>
      <c r="T666" s="140"/>
      <c r="U666" s="136"/>
      <c r="V666" s="137"/>
      <c r="W666" s="137"/>
      <c r="X666" s="137"/>
      <c r="Y666" s="135"/>
      <c r="Z666" s="210">
        <f>Z668+Z667+Z670</f>
        <v>1549257.8</v>
      </c>
      <c r="AA666" s="210">
        <f>AA668</f>
        <v>1394332.27</v>
      </c>
      <c r="AB666" s="210">
        <f>AB668</f>
        <v>411643.14</v>
      </c>
      <c r="AC666" s="211"/>
    </row>
    <row r="667" spans="1:29" ht="0.75" hidden="1" customHeight="1" x14ac:dyDescent="0.3">
      <c r="A667" s="135" t="s">
        <v>565</v>
      </c>
      <c r="B667" s="140" t="s">
        <v>18</v>
      </c>
      <c r="C667" s="140" t="s">
        <v>138</v>
      </c>
      <c r="D667" s="140" t="s">
        <v>138</v>
      </c>
      <c r="E667" s="230" t="s">
        <v>780</v>
      </c>
      <c r="F667" s="140"/>
      <c r="G667" s="140"/>
      <c r="H667" s="140"/>
      <c r="I667" s="140"/>
      <c r="J667" s="140"/>
      <c r="K667" s="140"/>
      <c r="L667" s="140"/>
      <c r="M667" s="140"/>
      <c r="N667" s="140"/>
      <c r="O667" s="140"/>
      <c r="P667" s="140"/>
      <c r="Q667" s="140"/>
      <c r="R667" s="140"/>
      <c r="S667" s="140"/>
      <c r="T667" s="140" t="s">
        <v>275</v>
      </c>
      <c r="U667" s="136"/>
      <c r="V667" s="137"/>
      <c r="W667" s="137"/>
      <c r="X667" s="137"/>
      <c r="Y667" s="135"/>
      <c r="Z667" s="210">
        <v>0</v>
      </c>
      <c r="AA667" s="210">
        <v>0</v>
      </c>
      <c r="AB667" s="210">
        <v>0</v>
      </c>
      <c r="AC667" s="211"/>
    </row>
    <row r="668" spans="1:29" ht="54.75" customHeight="1" x14ac:dyDescent="0.3">
      <c r="A668" s="135" t="s">
        <v>708</v>
      </c>
      <c r="B668" s="140" t="s">
        <v>18</v>
      </c>
      <c r="C668" s="140" t="s">
        <v>138</v>
      </c>
      <c r="D668" s="140" t="s">
        <v>138</v>
      </c>
      <c r="E668" s="230" t="s">
        <v>780</v>
      </c>
      <c r="F668" s="140"/>
      <c r="G668" s="140"/>
      <c r="H668" s="140"/>
      <c r="I668" s="140"/>
      <c r="J668" s="140"/>
      <c r="K668" s="140"/>
      <c r="L668" s="140"/>
      <c r="M668" s="140"/>
      <c r="N668" s="140"/>
      <c r="O668" s="140"/>
      <c r="P668" s="140"/>
      <c r="Q668" s="140"/>
      <c r="R668" s="140"/>
      <c r="S668" s="140"/>
      <c r="T668" s="140" t="s">
        <v>294</v>
      </c>
      <c r="U668" s="136"/>
      <c r="V668" s="137"/>
      <c r="W668" s="137"/>
      <c r="X668" s="137"/>
      <c r="Y668" s="135"/>
      <c r="Z668" s="210">
        <f>1394300+32.02+154925.78</f>
        <v>1549257.8</v>
      </c>
      <c r="AA668" s="210">
        <f>1394300+32.27</f>
        <v>1394332.27</v>
      </c>
      <c r="AB668" s="210">
        <f>411600+43.14</f>
        <v>411643.14</v>
      </c>
      <c r="AC668" s="211"/>
    </row>
    <row r="669" spans="1:29" ht="47.25" hidden="1" customHeight="1" x14ac:dyDescent="0.3">
      <c r="A669" s="135" t="s">
        <v>726</v>
      </c>
      <c r="B669" s="140" t="s">
        <v>18</v>
      </c>
      <c r="C669" s="140" t="s">
        <v>138</v>
      </c>
      <c r="D669" s="140" t="s">
        <v>138</v>
      </c>
      <c r="E669" s="230" t="s">
        <v>709</v>
      </c>
      <c r="F669" s="140"/>
      <c r="G669" s="140"/>
      <c r="H669" s="140"/>
      <c r="I669" s="140"/>
      <c r="J669" s="140"/>
      <c r="K669" s="140"/>
      <c r="L669" s="140"/>
      <c r="M669" s="140"/>
      <c r="N669" s="140"/>
      <c r="O669" s="140"/>
      <c r="P669" s="140"/>
      <c r="Q669" s="140"/>
      <c r="R669" s="140"/>
      <c r="S669" s="140"/>
      <c r="T669" s="140"/>
      <c r="U669" s="136"/>
      <c r="V669" s="137"/>
      <c r="W669" s="137"/>
      <c r="X669" s="137"/>
      <c r="Y669" s="135"/>
      <c r="Z669" s="210">
        <v>0</v>
      </c>
      <c r="AA669" s="210">
        <v>0</v>
      </c>
      <c r="AB669" s="210">
        <f>AB670</f>
        <v>0</v>
      </c>
      <c r="AC669" s="211"/>
    </row>
    <row r="670" spans="1:29" ht="54.75" hidden="1" customHeight="1" x14ac:dyDescent="0.3">
      <c r="A670" s="135" t="s">
        <v>565</v>
      </c>
      <c r="B670" s="140" t="s">
        <v>18</v>
      </c>
      <c r="C670" s="140" t="s">
        <v>138</v>
      </c>
      <c r="D670" s="140" t="s">
        <v>138</v>
      </c>
      <c r="E670" s="230" t="s">
        <v>780</v>
      </c>
      <c r="F670" s="140"/>
      <c r="G670" s="140"/>
      <c r="H670" s="140"/>
      <c r="I670" s="140"/>
      <c r="J670" s="140"/>
      <c r="K670" s="140"/>
      <c r="L670" s="140"/>
      <c r="M670" s="140"/>
      <c r="N670" s="140"/>
      <c r="O670" s="140"/>
      <c r="P670" s="140"/>
      <c r="Q670" s="140"/>
      <c r="R670" s="140"/>
      <c r="S670" s="140"/>
      <c r="T670" s="140" t="s">
        <v>275</v>
      </c>
      <c r="U670" s="136"/>
      <c r="V670" s="137"/>
      <c r="W670" s="137"/>
      <c r="X670" s="137"/>
      <c r="Y670" s="135"/>
      <c r="Z670" s="210">
        <v>0</v>
      </c>
      <c r="AA670" s="210">
        <f>1035200-1035200</f>
        <v>0</v>
      </c>
      <c r="AB670" s="210">
        <f>1278800-1278800</f>
        <v>0</v>
      </c>
      <c r="AC670" s="211"/>
    </row>
    <row r="671" spans="1:29" ht="36.75" customHeight="1" x14ac:dyDescent="0.3">
      <c r="A671" s="159" t="s">
        <v>158</v>
      </c>
      <c r="B671" s="160" t="s">
        <v>18</v>
      </c>
      <c r="C671" s="160" t="s">
        <v>138</v>
      </c>
      <c r="D671" s="160" t="s">
        <v>127</v>
      </c>
      <c r="E671" s="139"/>
      <c r="F671" s="160"/>
      <c r="G671" s="160"/>
      <c r="H671" s="160"/>
      <c r="I671" s="160"/>
      <c r="J671" s="160"/>
      <c r="K671" s="160"/>
      <c r="L671" s="160"/>
      <c r="M671" s="160"/>
      <c r="N671" s="160"/>
      <c r="O671" s="160"/>
      <c r="P671" s="160"/>
      <c r="Q671" s="160"/>
      <c r="R671" s="160"/>
      <c r="S671" s="160"/>
      <c r="T671" s="160"/>
      <c r="U671" s="160"/>
      <c r="V671" s="212"/>
      <c r="W671" s="212"/>
      <c r="X671" s="212"/>
      <c r="Y671" s="159" t="s">
        <v>158</v>
      </c>
      <c r="Z671" s="213">
        <f>Z674+Z684+Z690+Z688+Z680+Z672</f>
        <v>30707775.260000002</v>
      </c>
      <c r="AA671" s="213">
        <f>AA674+AA684+AA690+AA688+AA680+AA672</f>
        <v>25603435.960000001</v>
      </c>
      <c r="AB671" s="213">
        <f>AB674+AB684+AB690+AB688+AB680+AB672</f>
        <v>24394219.469999999</v>
      </c>
      <c r="AC671" s="288" t="s">
        <v>158</v>
      </c>
    </row>
    <row r="672" spans="1:29" ht="168.75" hidden="1" customHeight="1" x14ac:dyDescent="0.3">
      <c r="A672" s="155" t="s">
        <v>1333</v>
      </c>
      <c r="B672" s="136" t="s">
        <v>18</v>
      </c>
      <c r="C672" s="136" t="s">
        <v>138</v>
      </c>
      <c r="D672" s="136" t="s">
        <v>127</v>
      </c>
      <c r="E672" s="230" t="s">
        <v>1104</v>
      </c>
      <c r="F672" s="161"/>
      <c r="G672" s="161"/>
      <c r="H672" s="161"/>
      <c r="I672" s="161"/>
      <c r="J672" s="161"/>
      <c r="K672" s="161"/>
      <c r="L672" s="161"/>
      <c r="M672" s="161"/>
      <c r="N672" s="161"/>
      <c r="O672" s="161"/>
      <c r="P672" s="161"/>
      <c r="Q672" s="161"/>
      <c r="R672" s="161"/>
      <c r="S672" s="161"/>
      <c r="T672" s="161"/>
      <c r="U672" s="161"/>
      <c r="V672" s="204"/>
      <c r="W672" s="204"/>
      <c r="X672" s="204"/>
      <c r="Y672" s="153"/>
      <c r="Z672" s="235">
        <v>0</v>
      </c>
      <c r="AA672" s="235">
        <v>0</v>
      </c>
      <c r="AB672" s="235">
        <v>0</v>
      </c>
      <c r="AC672" s="288"/>
    </row>
    <row r="673" spans="1:29" ht="107.25" hidden="1" customHeight="1" x14ac:dyDescent="0.3">
      <c r="A673" s="154" t="s">
        <v>723</v>
      </c>
      <c r="B673" s="136" t="s">
        <v>18</v>
      </c>
      <c r="C673" s="136" t="s">
        <v>138</v>
      </c>
      <c r="D673" s="136" t="s">
        <v>127</v>
      </c>
      <c r="E673" s="230" t="s">
        <v>1104</v>
      </c>
      <c r="F673" s="161"/>
      <c r="G673" s="161"/>
      <c r="H673" s="161"/>
      <c r="I673" s="161"/>
      <c r="J673" s="161"/>
      <c r="K673" s="161"/>
      <c r="L673" s="161"/>
      <c r="M673" s="161"/>
      <c r="N673" s="161"/>
      <c r="O673" s="161"/>
      <c r="P673" s="161"/>
      <c r="Q673" s="161"/>
      <c r="R673" s="161"/>
      <c r="S673" s="161"/>
      <c r="T673" s="161" t="s">
        <v>38</v>
      </c>
      <c r="U673" s="161"/>
      <c r="V673" s="204"/>
      <c r="W673" s="204"/>
      <c r="X673" s="204"/>
      <c r="Y673" s="153"/>
      <c r="Z673" s="235">
        <v>0</v>
      </c>
      <c r="AA673" s="235">
        <v>0</v>
      </c>
      <c r="AB673" s="235">
        <v>0</v>
      </c>
      <c r="AC673" s="288"/>
    </row>
    <row r="674" spans="1:29" ht="163.5" customHeight="1" x14ac:dyDescent="0.3">
      <c r="A674" s="153" t="s">
        <v>1263</v>
      </c>
      <c r="B674" s="161" t="s">
        <v>18</v>
      </c>
      <c r="C674" s="161" t="s">
        <v>138</v>
      </c>
      <c r="D674" s="161" t="s">
        <v>127</v>
      </c>
      <c r="E674" s="230" t="s">
        <v>635</v>
      </c>
      <c r="F674" s="161"/>
      <c r="G674" s="161"/>
      <c r="H674" s="161"/>
      <c r="I674" s="161"/>
      <c r="J674" s="161"/>
      <c r="K674" s="161"/>
      <c r="L674" s="161"/>
      <c r="M674" s="161"/>
      <c r="N674" s="161"/>
      <c r="O674" s="161"/>
      <c r="P674" s="161"/>
      <c r="Q674" s="161"/>
      <c r="R674" s="161"/>
      <c r="S674" s="161"/>
      <c r="T674" s="161"/>
      <c r="U674" s="161"/>
      <c r="V674" s="204"/>
      <c r="W674" s="204"/>
      <c r="X674" s="204"/>
      <c r="Y674" s="153" t="s">
        <v>460</v>
      </c>
      <c r="Z674" s="235">
        <f>Z677+Z678+Z679+Z675</f>
        <v>6974935.1100000003</v>
      </c>
      <c r="AA674" s="235">
        <f>AA677+AA678+AA5081+AA675</f>
        <v>6134313.7400000002</v>
      </c>
      <c r="AB674" s="235">
        <f>AB677+AB678+AB675</f>
        <v>6134313.7400000002</v>
      </c>
      <c r="AC674" s="558" t="s">
        <v>460</v>
      </c>
    </row>
    <row r="675" spans="1:29" ht="188.25" hidden="1" customHeight="1" x14ac:dyDescent="0.3">
      <c r="A675" s="155"/>
      <c r="B675" s="136"/>
      <c r="C675" s="136"/>
      <c r="D675" s="136"/>
      <c r="E675" s="230"/>
      <c r="F675" s="161"/>
      <c r="G675" s="161"/>
      <c r="H675" s="161"/>
      <c r="I675" s="161"/>
      <c r="J675" s="161"/>
      <c r="K675" s="161"/>
      <c r="L675" s="161"/>
      <c r="M675" s="161"/>
      <c r="N675" s="161"/>
      <c r="O675" s="161"/>
      <c r="P675" s="161"/>
      <c r="Q675" s="161"/>
      <c r="R675" s="161"/>
      <c r="S675" s="161"/>
      <c r="T675" s="161"/>
      <c r="U675" s="161"/>
      <c r="V675" s="204"/>
      <c r="W675" s="204"/>
      <c r="X675" s="204"/>
      <c r="Y675" s="153"/>
      <c r="Z675" s="235"/>
      <c r="AA675" s="235"/>
      <c r="AB675" s="235"/>
      <c r="AC675" s="558"/>
    </row>
    <row r="676" spans="1:29" ht="108" hidden="1" customHeight="1" x14ac:dyDescent="0.3">
      <c r="A676" s="154"/>
      <c r="B676" s="136"/>
      <c r="C676" s="136"/>
      <c r="D676" s="136"/>
      <c r="E676" s="230"/>
      <c r="F676" s="161"/>
      <c r="G676" s="161"/>
      <c r="H676" s="161"/>
      <c r="I676" s="161"/>
      <c r="J676" s="161"/>
      <c r="K676" s="161"/>
      <c r="L676" s="161"/>
      <c r="M676" s="161"/>
      <c r="N676" s="161"/>
      <c r="O676" s="161"/>
      <c r="P676" s="161"/>
      <c r="Q676" s="161"/>
      <c r="R676" s="161"/>
      <c r="S676" s="161"/>
      <c r="T676" s="161"/>
      <c r="U676" s="161"/>
      <c r="V676" s="204"/>
      <c r="W676" s="204"/>
      <c r="X676" s="204"/>
      <c r="Y676" s="153"/>
      <c r="Z676" s="235"/>
      <c r="AA676" s="235"/>
      <c r="AB676" s="235"/>
      <c r="AC676" s="558"/>
    </row>
    <row r="677" spans="1:29" ht="98.45" customHeight="1" x14ac:dyDescent="0.3">
      <c r="A677" s="154" t="s">
        <v>723</v>
      </c>
      <c r="B677" s="136" t="s">
        <v>18</v>
      </c>
      <c r="C677" s="136" t="s">
        <v>138</v>
      </c>
      <c r="D677" s="136" t="s">
        <v>127</v>
      </c>
      <c r="E677" s="230" t="s">
        <v>635</v>
      </c>
      <c r="F677" s="136"/>
      <c r="G677" s="136"/>
      <c r="H677" s="136"/>
      <c r="I677" s="136"/>
      <c r="J677" s="136"/>
      <c r="K677" s="136"/>
      <c r="L677" s="136"/>
      <c r="M677" s="136"/>
      <c r="N677" s="136"/>
      <c r="O677" s="136"/>
      <c r="P677" s="136"/>
      <c r="Q677" s="136"/>
      <c r="R677" s="136"/>
      <c r="S677" s="136"/>
      <c r="T677" s="136" t="s">
        <v>38</v>
      </c>
      <c r="U677" s="136"/>
      <c r="V677" s="137"/>
      <c r="W677" s="137"/>
      <c r="X677" s="137"/>
      <c r="Y677" s="154" t="s">
        <v>461</v>
      </c>
      <c r="Z677" s="210">
        <f>5964113.74+826309.37</f>
        <v>6790423.1100000003</v>
      </c>
      <c r="AA677" s="210">
        <f>5964113.74</f>
        <v>5964113.7400000002</v>
      </c>
      <c r="AB677" s="210">
        <f>5964113.74</f>
        <v>5964113.7400000002</v>
      </c>
      <c r="AC677" s="559" t="s">
        <v>461</v>
      </c>
    </row>
    <row r="678" spans="1:29" ht="48" customHeight="1" x14ac:dyDescent="0.3">
      <c r="A678" s="135" t="s">
        <v>565</v>
      </c>
      <c r="B678" s="136" t="s">
        <v>18</v>
      </c>
      <c r="C678" s="136" t="s">
        <v>138</v>
      </c>
      <c r="D678" s="136" t="s">
        <v>127</v>
      </c>
      <c r="E678" s="230" t="s">
        <v>635</v>
      </c>
      <c r="F678" s="136"/>
      <c r="G678" s="136"/>
      <c r="H678" s="136"/>
      <c r="I678" s="136"/>
      <c r="J678" s="136"/>
      <c r="K678" s="136"/>
      <c r="L678" s="136"/>
      <c r="M678" s="136"/>
      <c r="N678" s="136"/>
      <c r="O678" s="136"/>
      <c r="P678" s="136"/>
      <c r="Q678" s="136"/>
      <c r="R678" s="136"/>
      <c r="S678" s="136"/>
      <c r="T678" s="136" t="s">
        <v>275</v>
      </c>
      <c r="U678" s="136"/>
      <c r="V678" s="137"/>
      <c r="W678" s="137"/>
      <c r="X678" s="137"/>
      <c r="Y678" s="135" t="s">
        <v>462</v>
      </c>
      <c r="Z678" s="210">
        <f>184420-8408</f>
        <v>176012</v>
      </c>
      <c r="AA678" s="210">
        <v>170200</v>
      </c>
      <c r="AB678" s="210">
        <v>170200</v>
      </c>
      <c r="AC678" s="211" t="s">
        <v>462</v>
      </c>
    </row>
    <row r="679" spans="1:29" ht="30" customHeight="1" x14ac:dyDescent="0.3">
      <c r="A679" s="135" t="s">
        <v>760</v>
      </c>
      <c r="B679" s="136" t="s">
        <v>18</v>
      </c>
      <c r="C679" s="136" t="s">
        <v>138</v>
      </c>
      <c r="D679" s="136" t="s">
        <v>127</v>
      </c>
      <c r="E679" s="230" t="s">
        <v>635</v>
      </c>
      <c r="F679" s="136"/>
      <c r="G679" s="136"/>
      <c r="H679" s="136"/>
      <c r="I679" s="136"/>
      <c r="J679" s="136"/>
      <c r="K679" s="136"/>
      <c r="L679" s="136"/>
      <c r="M679" s="136"/>
      <c r="N679" s="136"/>
      <c r="O679" s="136"/>
      <c r="P679" s="136"/>
      <c r="Q679" s="136"/>
      <c r="R679" s="136"/>
      <c r="S679" s="136"/>
      <c r="T679" s="136" t="s">
        <v>243</v>
      </c>
      <c r="U679" s="136"/>
      <c r="V679" s="137"/>
      <c r="W679" s="137"/>
      <c r="X679" s="137"/>
      <c r="Y679" s="135"/>
      <c r="Z679" s="210">
        <v>8500</v>
      </c>
      <c r="AA679" s="210">
        <v>0</v>
      </c>
      <c r="AB679" s="210">
        <v>0</v>
      </c>
      <c r="AC679" s="211"/>
    </row>
    <row r="680" spans="1:29" ht="166.5" hidden="1" customHeight="1" x14ac:dyDescent="0.3">
      <c r="A680" s="155" t="s">
        <v>1333</v>
      </c>
      <c r="B680" s="161" t="s">
        <v>18</v>
      </c>
      <c r="C680" s="161" t="s">
        <v>138</v>
      </c>
      <c r="D680" s="161" t="s">
        <v>127</v>
      </c>
      <c r="E680" s="230" t="s">
        <v>1104</v>
      </c>
      <c r="F680" s="136"/>
      <c r="G680" s="136"/>
      <c r="H680" s="136"/>
      <c r="I680" s="136"/>
      <c r="J680" s="136"/>
      <c r="K680" s="136"/>
      <c r="L680" s="136"/>
      <c r="M680" s="136"/>
      <c r="N680" s="136"/>
      <c r="O680" s="136"/>
      <c r="P680" s="136"/>
      <c r="Q680" s="136"/>
      <c r="R680" s="136"/>
      <c r="S680" s="136"/>
      <c r="T680" s="136"/>
      <c r="U680" s="136"/>
      <c r="V680" s="137"/>
      <c r="W680" s="137"/>
      <c r="X680" s="137"/>
      <c r="Y680" s="135"/>
      <c r="Z680" s="210">
        <f>Z681+Z682+Z683</f>
        <v>0</v>
      </c>
      <c r="AA680" s="210">
        <f>AA681+AA682+AA683</f>
        <v>0</v>
      </c>
      <c r="AB680" s="210">
        <f>AB681+AB682+AB683</f>
        <v>0</v>
      </c>
      <c r="AC680" s="211"/>
    </row>
    <row r="681" spans="1:29" ht="101.25" hidden="1" customHeight="1" x14ac:dyDescent="0.3">
      <c r="A681" s="135" t="s">
        <v>723</v>
      </c>
      <c r="B681" s="161" t="s">
        <v>18</v>
      </c>
      <c r="C681" s="161" t="s">
        <v>138</v>
      </c>
      <c r="D681" s="161" t="s">
        <v>127</v>
      </c>
      <c r="E681" s="230" t="s">
        <v>1104</v>
      </c>
      <c r="F681" s="136"/>
      <c r="G681" s="136"/>
      <c r="H681" s="136"/>
      <c r="I681" s="136"/>
      <c r="J681" s="136"/>
      <c r="K681" s="136"/>
      <c r="L681" s="136"/>
      <c r="M681" s="136"/>
      <c r="N681" s="136"/>
      <c r="O681" s="136"/>
      <c r="P681" s="136"/>
      <c r="Q681" s="136"/>
      <c r="R681" s="136"/>
      <c r="S681" s="136"/>
      <c r="T681" s="136" t="s">
        <v>38</v>
      </c>
      <c r="U681" s="136"/>
      <c r="V681" s="137"/>
      <c r="W681" s="137"/>
      <c r="X681" s="137"/>
      <c r="Y681" s="135"/>
      <c r="Z681" s="210">
        <v>0</v>
      </c>
      <c r="AA681" s="210">
        <v>0</v>
      </c>
      <c r="AB681" s="210">
        <v>0</v>
      </c>
      <c r="AC681" s="211"/>
    </row>
    <row r="682" spans="1:29" ht="60.75" hidden="1" customHeight="1" x14ac:dyDescent="0.3">
      <c r="A682" s="135" t="s">
        <v>565</v>
      </c>
      <c r="B682" s="161" t="s">
        <v>18</v>
      </c>
      <c r="C682" s="161" t="s">
        <v>138</v>
      </c>
      <c r="D682" s="161" t="s">
        <v>127</v>
      </c>
      <c r="E682" s="230" t="s">
        <v>1104</v>
      </c>
      <c r="F682" s="136"/>
      <c r="G682" s="136"/>
      <c r="H682" s="136"/>
      <c r="I682" s="136"/>
      <c r="J682" s="136"/>
      <c r="K682" s="136"/>
      <c r="L682" s="136"/>
      <c r="M682" s="136"/>
      <c r="N682" s="136"/>
      <c r="O682" s="136"/>
      <c r="P682" s="136"/>
      <c r="Q682" s="136"/>
      <c r="R682" s="136"/>
      <c r="S682" s="136"/>
      <c r="T682" s="136" t="s">
        <v>275</v>
      </c>
      <c r="U682" s="136"/>
      <c r="V682" s="137"/>
      <c r="W682" s="137"/>
      <c r="X682" s="137"/>
      <c r="Y682" s="135"/>
      <c r="Z682" s="210">
        <v>0</v>
      </c>
      <c r="AA682" s="210">
        <v>0</v>
      </c>
      <c r="AB682" s="210">
        <v>0</v>
      </c>
      <c r="AC682" s="211"/>
    </row>
    <row r="683" spans="1:29" ht="0.75" hidden="1" customHeight="1" x14ac:dyDescent="0.3">
      <c r="A683" s="135" t="s">
        <v>760</v>
      </c>
      <c r="B683" s="161" t="s">
        <v>18</v>
      </c>
      <c r="C683" s="161" t="s">
        <v>138</v>
      </c>
      <c r="D683" s="161" t="s">
        <v>127</v>
      </c>
      <c r="E683" s="230" t="s">
        <v>1104</v>
      </c>
      <c r="F683" s="136"/>
      <c r="G683" s="136"/>
      <c r="H683" s="136"/>
      <c r="I683" s="136"/>
      <c r="J683" s="136"/>
      <c r="K683" s="136"/>
      <c r="L683" s="136"/>
      <c r="M683" s="136"/>
      <c r="N683" s="136"/>
      <c r="O683" s="136"/>
      <c r="P683" s="136"/>
      <c r="Q683" s="136"/>
      <c r="R683" s="136"/>
      <c r="S683" s="136"/>
      <c r="T683" s="136" t="s">
        <v>243</v>
      </c>
      <c r="U683" s="136"/>
      <c r="V683" s="137"/>
      <c r="W683" s="137"/>
      <c r="X683" s="137"/>
      <c r="Y683" s="135"/>
      <c r="Z683" s="210">
        <v>0</v>
      </c>
      <c r="AA683" s="210">
        <v>0</v>
      </c>
      <c r="AB683" s="210">
        <v>0</v>
      </c>
      <c r="AC683" s="211"/>
    </row>
    <row r="684" spans="1:29" ht="176.45" customHeight="1" x14ac:dyDescent="0.3">
      <c r="A684" s="153" t="s">
        <v>1264</v>
      </c>
      <c r="B684" s="161" t="s">
        <v>18</v>
      </c>
      <c r="C684" s="161" t="s">
        <v>138</v>
      </c>
      <c r="D684" s="161" t="s">
        <v>127</v>
      </c>
      <c r="E684" s="230" t="s">
        <v>636</v>
      </c>
      <c r="F684" s="161"/>
      <c r="G684" s="161"/>
      <c r="H684" s="161"/>
      <c r="I684" s="161"/>
      <c r="J684" s="161"/>
      <c r="K684" s="161"/>
      <c r="L684" s="161"/>
      <c r="M684" s="161"/>
      <c r="N684" s="161"/>
      <c r="O684" s="161"/>
      <c r="P684" s="161"/>
      <c r="Q684" s="161"/>
      <c r="R684" s="161"/>
      <c r="S684" s="161"/>
      <c r="T684" s="161"/>
      <c r="U684" s="161"/>
      <c r="V684" s="204"/>
      <c r="W684" s="204"/>
      <c r="X684" s="204"/>
      <c r="Y684" s="153" t="s">
        <v>463</v>
      </c>
      <c r="Z684" s="235">
        <f>Z685+Z686+Z687</f>
        <v>19826053.990000002</v>
      </c>
      <c r="AA684" s="235">
        <f>AA685+AA686+AA687</f>
        <v>15522336.060000001</v>
      </c>
      <c r="AB684" s="235">
        <f>AB685+AB686+AB687</f>
        <v>15522587.060000001</v>
      </c>
      <c r="AC684" s="558" t="s">
        <v>463</v>
      </c>
    </row>
    <row r="685" spans="1:29" ht="98.45" customHeight="1" x14ac:dyDescent="0.3">
      <c r="A685" s="1018" t="s">
        <v>723</v>
      </c>
      <c r="B685" s="1016" t="s">
        <v>18</v>
      </c>
      <c r="C685" s="1016" t="s">
        <v>138</v>
      </c>
      <c r="D685" s="1016" t="s">
        <v>127</v>
      </c>
      <c r="E685" s="1015" t="s">
        <v>636</v>
      </c>
      <c r="F685" s="1016"/>
      <c r="G685" s="1016"/>
      <c r="H685" s="1016"/>
      <c r="I685" s="1016"/>
      <c r="J685" s="1016"/>
      <c r="K685" s="1016"/>
      <c r="L685" s="1016"/>
      <c r="M685" s="1016"/>
      <c r="N685" s="1016"/>
      <c r="O685" s="1016"/>
      <c r="P685" s="1016"/>
      <c r="Q685" s="1016"/>
      <c r="R685" s="1016"/>
      <c r="S685" s="1016"/>
      <c r="T685" s="1016" t="s">
        <v>38</v>
      </c>
      <c r="U685" s="1016"/>
      <c r="V685" s="1017"/>
      <c r="W685" s="1017"/>
      <c r="X685" s="1017"/>
      <c r="Y685" s="1018" t="s">
        <v>464</v>
      </c>
      <c r="Z685" s="1019">
        <f>12772043.65+2982922.85+1045000+108300</f>
        <v>16908266.5</v>
      </c>
      <c r="AA685" s="210">
        <v>12772043.65</v>
      </c>
      <c r="AB685" s="210">
        <v>12772043.65</v>
      </c>
      <c r="AC685" s="559" t="s">
        <v>464</v>
      </c>
    </row>
    <row r="686" spans="1:29" ht="54.75" customHeight="1" x14ac:dyDescent="0.3">
      <c r="A686" s="1013" t="s">
        <v>565</v>
      </c>
      <c r="B686" s="1016" t="s">
        <v>18</v>
      </c>
      <c r="C686" s="1016" t="s">
        <v>138</v>
      </c>
      <c r="D686" s="1016" t="s">
        <v>127</v>
      </c>
      <c r="E686" s="1015" t="s">
        <v>636</v>
      </c>
      <c r="F686" s="1016"/>
      <c r="G686" s="1016"/>
      <c r="H686" s="1016"/>
      <c r="I686" s="1016"/>
      <c r="J686" s="1016"/>
      <c r="K686" s="1016"/>
      <c r="L686" s="1016"/>
      <c r="M686" s="1016"/>
      <c r="N686" s="1016"/>
      <c r="O686" s="1016"/>
      <c r="P686" s="1016"/>
      <c r="Q686" s="1016"/>
      <c r="R686" s="1016"/>
      <c r="S686" s="1016"/>
      <c r="T686" s="1016" t="s">
        <v>275</v>
      </c>
      <c r="U686" s="1016"/>
      <c r="V686" s="1017"/>
      <c r="W686" s="1017"/>
      <c r="X686" s="1017"/>
      <c r="Y686" s="1013" t="s">
        <v>465</v>
      </c>
      <c r="Z686" s="1019">
        <f>2698787.49+250000+200000-233000</f>
        <v>2915787.49</v>
      </c>
      <c r="AA686" s="210">
        <v>2748292.41</v>
      </c>
      <c r="AB686" s="210">
        <v>2748292.41</v>
      </c>
      <c r="AC686" s="211" t="s">
        <v>465</v>
      </c>
    </row>
    <row r="687" spans="1:29" ht="35.25" customHeight="1" x14ac:dyDescent="0.3">
      <c r="A687" s="135" t="s">
        <v>760</v>
      </c>
      <c r="B687" s="136" t="s">
        <v>18</v>
      </c>
      <c r="C687" s="136" t="s">
        <v>138</v>
      </c>
      <c r="D687" s="136" t="s">
        <v>127</v>
      </c>
      <c r="E687" s="230" t="s">
        <v>636</v>
      </c>
      <c r="F687" s="136"/>
      <c r="G687" s="136"/>
      <c r="H687" s="136"/>
      <c r="I687" s="136"/>
      <c r="J687" s="136"/>
      <c r="K687" s="136"/>
      <c r="L687" s="136"/>
      <c r="M687" s="136"/>
      <c r="N687" s="136"/>
      <c r="O687" s="136"/>
      <c r="P687" s="136"/>
      <c r="Q687" s="136"/>
      <c r="R687" s="136"/>
      <c r="S687" s="136"/>
      <c r="T687" s="136" t="s">
        <v>243</v>
      </c>
      <c r="U687" s="136"/>
      <c r="V687" s="137"/>
      <c r="W687" s="137"/>
      <c r="X687" s="137"/>
      <c r="Y687" s="135" t="s">
        <v>466</v>
      </c>
      <c r="Z687" s="210">
        <v>2000</v>
      </c>
      <c r="AA687" s="210">
        <v>2000</v>
      </c>
      <c r="AB687" s="210">
        <v>2251</v>
      </c>
      <c r="AC687" s="211" t="s">
        <v>466</v>
      </c>
    </row>
    <row r="688" spans="1:29" ht="171" customHeight="1" x14ac:dyDescent="0.3">
      <c r="A688" s="155" t="s">
        <v>1334</v>
      </c>
      <c r="B688" s="136" t="s">
        <v>18</v>
      </c>
      <c r="C688" s="136" t="s">
        <v>138</v>
      </c>
      <c r="D688" s="136" t="s">
        <v>127</v>
      </c>
      <c r="E688" s="230" t="s">
        <v>1103</v>
      </c>
      <c r="F688" s="136"/>
      <c r="G688" s="136"/>
      <c r="H688" s="136"/>
      <c r="I688" s="136"/>
      <c r="J688" s="136"/>
      <c r="K688" s="136"/>
      <c r="L688" s="136"/>
      <c r="M688" s="136"/>
      <c r="N688" s="136"/>
      <c r="O688" s="136"/>
      <c r="P688" s="136"/>
      <c r="Q688" s="136"/>
      <c r="R688" s="136"/>
      <c r="S688" s="136"/>
      <c r="T688" s="136"/>
      <c r="U688" s="136"/>
      <c r="V688" s="137"/>
      <c r="W688" s="137"/>
      <c r="X688" s="137"/>
      <c r="Y688" s="135"/>
      <c r="Z688" s="210">
        <f>Z689</f>
        <v>3756786.16</v>
      </c>
      <c r="AA688" s="210">
        <f>AA689</f>
        <v>3946786.16</v>
      </c>
      <c r="AB688" s="210">
        <f>AB689</f>
        <v>2737318.67</v>
      </c>
      <c r="AC688" s="211"/>
    </row>
    <row r="689" spans="1:29" ht="56.25" customHeight="1" x14ac:dyDescent="0.3">
      <c r="A689" s="1013" t="s">
        <v>708</v>
      </c>
      <c r="B689" s="1016" t="s">
        <v>18</v>
      </c>
      <c r="C689" s="1016" t="s">
        <v>138</v>
      </c>
      <c r="D689" s="1016" t="s">
        <v>127</v>
      </c>
      <c r="E689" s="1015" t="s">
        <v>1103</v>
      </c>
      <c r="F689" s="1016"/>
      <c r="G689" s="1016"/>
      <c r="H689" s="1016"/>
      <c r="I689" s="1016"/>
      <c r="J689" s="1016"/>
      <c r="K689" s="1016"/>
      <c r="L689" s="1016"/>
      <c r="M689" s="1016"/>
      <c r="N689" s="1016"/>
      <c r="O689" s="1016"/>
      <c r="P689" s="1016"/>
      <c r="Q689" s="1016"/>
      <c r="R689" s="1016"/>
      <c r="S689" s="1016"/>
      <c r="T689" s="1016" t="s">
        <v>294</v>
      </c>
      <c r="U689" s="1016"/>
      <c r="V689" s="1017"/>
      <c r="W689" s="1017"/>
      <c r="X689" s="1017"/>
      <c r="Y689" s="1013"/>
      <c r="Z689" s="1019">
        <f>3946786.16-150000-40000</f>
        <v>3756786.16</v>
      </c>
      <c r="AA689" s="210">
        <v>3946786.16</v>
      </c>
      <c r="AB689" s="210">
        <v>2737318.67</v>
      </c>
      <c r="AC689" s="211"/>
    </row>
    <row r="690" spans="1:29" ht="176.25" customHeight="1" x14ac:dyDescent="0.3">
      <c r="A690" s="153" t="s">
        <v>1554</v>
      </c>
      <c r="B690" s="161" t="s">
        <v>18</v>
      </c>
      <c r="C690" s="161" t="s">
        <v>138</v>
      </c>
      <c r="D690" s="161" t="s">
        <v>127</v>
      </c>
      <c r="E690" s="230" t="s">
        <v>638</v>
      </c>
      <c r="F690" s="161"/>
      <c r="G690" s="161"/>
      <c r="H690" s="161"/>
      <c r="I690" s="161"/>
      <c r="J690" s="161"/>
      <c r="K690" s="161"/>
      <c r="L690" s="161"/>
      <c r="M690" s="161"/>
      <c r="N690" s="161"/>
      <c r="O690" s="161"/>
      <c r="P690" s="161"/>
      <c r="Q690" s="161"/>
      <c r="R690" s="161"/>
      <c r="S690" s="161"/>
      <c r="T690" s="161"/>
      <c r="U690" s="161"/>
      <c r="V690" s="204"/>
      <c r="W690" s="204"/>
      <c r="X690" s="204"/>
      <c r="Y690" s="153" t="s">
        <v>467</v>
      </c>
      <c r="Z690" s="235">
        <f>Z691</f>
        <v>150000</v>
      </c>
      <c r="AA690" s="235">
        <f>AA691</f>
        <v>0</v>
      </c>
      <c r="AB690" s="235">
        <f>AB691</f>
        <v>0</v>
      </c>
      <c r="AC690" s="558" t="s">
        <v>467</v>
      </c>
    </row>
    <row r="691" spans="1:29" ht="67.5" customHeight="1" x14ac:dyDescent="0.3">
      <c r="A691" s="135" t="s">
        <v>708</v>
      </c>
      <c r="B691" s="136" t="s">
        <v>18</v>
      </c>
      <c r="C691" s="136" t="s">
        <v>138</v>
      </c>
      <c r="D691" s="136" t="s">
        <v>127</v>
      </c>
      <c r="E691" s="230" t="s">
        <v>638</v>
      </c>
      <c r="F691" s="136"/>
      <c r="G691" s="136"/>
      <c r="H691" s="136"/>
      <c r="I691" s="136"/>
      <c r="J691" s="136"/>
      <c r="K691" s="136"/>
      <c r="L691" s="136"/>
      <c r="M691" s="136"/>
      <c r="N691" s="136"/>
      <c r="O691" s="136"/>
      <c r="P691" s="136"/>
      <c r="Q691" s="136"/>
      <c r="R691" s="136"/>
      <c r="S691" s="136"/>
      <c r="T691" s="136" t="s">
        <v>294</v>
      </c>
      <c r="U691" s="136"/>
      <c r="V691" s="137"/>
      <c r="W691" s="137"/>
      <c r="X691" s="137"/>
      <c r="Y691" s="135" t="s">
        <v>468</v>
      </c>
      <c r="Z691" s="210">
        <v>150000</v>
      </c>
      <c r="AA691" s="210">
        <v>0</v>
      </c>
      <c r="AB691" s="210">
        <v>0</v>
      </c>
      <c r="AC691" s="211" t="s">
        <v>468</v>
      </c>
    </row>
    <row r="692" spans="1:29" ht="18.600000000000001" customHeight="1" x14ac:dyDescent="0.3">
      <c r="A692" s="159" t="s">
        <v>390</v>
      </c>
      <c r="B692" s="160" t="s">
        <v>18</v>
      </c>
      <c r="C692" s="160" t="s">
        <v>143</v>
      </c>
      <c r="D692" s="160" t="s">
        <v>133</v>
      </c>
      <c r="E692" s="139"/>
      <c r="F692" s="160"/>
      <c r="G692" s="160"/>
      <c r="H692" s="160"/>
      <c r="I692" s="160"/>
      <c r="J692" s="160"/>
      <c r="K692" s="160"/>
      <c r="L692" s="160"/>
      <c r="M692" s="160"/>
      <c r="N692" s="160"/>
      <c r="O692" s="160"/>
      <c r="P692" s="160"/>
      <c r="Q692" s="160"/>
      <c r="R692" s="160"/>
      <c r="S692" s="160"/>
      <c r="T692" s="160"/>
      <c r="U692" s="160"/>
      <c r="V692" s="212"/>
      <c r="W692" s="212"/>
      <c r="X692" s="212"/>
      <c r="Y692" s="159" t="s">
        <v>390</v>
      </c>
      <c r="Z692" s="213">
        <f>Z693+Z697+Z714</f>
        <v>30884889.579999998</v>
      </c>
      <c r="AA692" s="213">
        <f>AA693+AA697+AA714</f>
        <v>29874756.579999998</v>
      </c>
      <c r="AB692" s="213">
        <f>AB693+AB697+AB714</f>
        <v>30471509.399999999</v>
      </c>
      <c r="AC692" s="288" t="s">
        <v>390</v>
      </c>
    </row>
    <row r="693" spans="1:29" ht="18.600000000000001" customHeight="1" x14ac:dyDescent="0.3">
      <c r="A693" s="159" t="s">
        <v>162</v>
      </c>
      <c r="B693" s="160" t="s">
        <v>18</v>
      </c>
      <c r="C693" s="160" t="s">
        <v>143</v>
      </c>
      <c r="D693" s="160" t="s">
        <v>122</v>
      </c>
      <c r="E693" s="139"/>
      <c r="F693" s="160"/>
      <c r="G693" s="160"/>
      <c r="H693" s="160"/>
      <c r="I693" s="160"/>
      <c r="J693" s="160"/>
      <c r="K693" s="160"/>
      <c r="L693" s="160"/>
      <c r="M693" s="160"/>
      <c r="N693" s="160"/>
      <c r="O693" s="160"/>
      <c r="P693" s="160"/>
      <c r="Q693" s="160"/>
      <c r="R693" s="160"/>
      <c r="S693" s="160"/>
      <c r="T693" s="160"/>
      <c r="U693" s="160"/>
      <c r="V693" s="212"/>
      <c r="W693" s="212"/>
      <c r="X693" s="212"/>
      <c r="Y693" s="159" t="s">
        <v>162</v>
      </c>
      <c r="Z693" s="213">
        <f>Z694</f>
        <v>368152</v>
      </c>
      <c r="AA693" s="213">
        <f>AA694</f>
        <v>419352</v>
      </c>
      <c r="AB693" s="213">
        <f>AB694</f>
        <v>419352</v>
      </c>
      <c r="AC693" s="288" t="s">
        <v>162</v>
      </c>
    </row>
    <row r="694" spans="1:29" ht="174.6" customHeight="1" x14ac:dyDescent="0.3">
      <c r="A694" s="155" t="s">
        <v>469</v>
      </c>
      <c r="B694" s="161" t="s">
        <v>18</v>
      </c>
      <c r="C694" s="161" t="s">
        <v>143</v>
      </c>
      <c r="D694" s="161" t="s">
        <v>122</v>
      </c>
      <c r="E694" s="230" t="s">
        <v>607</v>
      </c>
      <c r="F694" s="161"/>
      <c r="G694" s="161"/>
      <c r="H694" s="161"/>
      <c r="I694" s="161"/>
      <c r="J694" s="161"/>
      <c r="K694" s="161"/>
      <c r="L694" s="161"/>
      <c r="M694" s="161"/>
      <c r="N694" s="161"/>
      <c r="O694" s="161"/>
      <c r="P694" s="161"/>
      <c r="Q694" s="161"/>
      <c r="R694" s="161"/>
      <c r="S694" s="161"/>
      <c r="T694" s="161"/>
      <c r="U694" s="161"/>
      <c r="V694" s="204"/>
      <c r="W694" s="204"/>
      <c r="X694" s="204"/>
      <c r="Y694" s="155" t="s">
        <v>469</v>
      </c>
      <c r="Z694" s="235">
        <f>Z696+Z695</f>
        <v>368152</v>
      </c>
      <c r="AA694" s="235">
        <f>AA695+AA696</f>
        <v>419352</v>
      </c>
      <c r="AB694" s="235">
        <f>AB695+AB696</f>
        <v>419352</v>
      </c>
      <c r="AC694" s="563" t="s">
        <v>469</v>
      </c>
    </row>
    <row r="695" spans="1:29" ht="44.45" customHeight="1" x14ac:dyDescent="0.3">
      <c r="A695" s="154" t="s">
        <v>565</v>
      </c>
      <c r="B695" s="161" t="s">
        <v>18</v>
      </c>
      <c r="C695" s="161" t="s">
        <v>143</v>
      </c>
      <c r="D695" s="161" t="s">
        <v>122</v>
      </c>
      <c r="E695" s="230" t="s">
        <v>607</v>
      </c>
      <c r="F695" s="161"/>
      <c r="G695" s="161"/>
      <c r="H695" s="161"/>
      <c r="I695" s="161"/>
      <c r="J695" s="161"/>
      <c r="K695" s="161"/>
      <c r="L695" s="161"/>
      <c r="M695" s="161"/>
      <c r="N695" s="161"/>
      <c r="O695" s="161"/>
      <c r="P695" s="161"/>
      <c r="Q695" s="161"/>
      <c r="R695" s="161"/>
      <c r="S695" s="161"/>
      <c r="T695" s="161" t="s">
        <v>275</v>
      </c>
      <c r="U695" s="161"/>
      <c r="V695" s="204"/>
      <c r="W695" s="204"/>
      <c r="X695" s="204"/>
      <c r="Y695" s="155"/>
      <c r="Z695" s="235">
        <v>4152</v>
      </c>
      <c r="AA695" s="235">
        <v>4152</v>
      </c>
      <c r="AB695" s="235">
        <v>4152</v>
      </c>
      <c r="AC695" s="563"/>
    </row>
    <row r="696" spans="1:29" ht="46.5" customHeight="1" x14ac:dyDescent="0.3">
      <c r="A696" s="154" t="s">
        <v>727</v>
      </c>
      <c r="B696" s="136" t="s">
        <v>18</v>
      </c>
      <c r="C696" s="136" t="s">
        <v>143</v>
      </c>
      <c r="D696" s="136" t="s">
        <v>122</v>
      </c>
      <c r="E696" s="230" t="s">
        <v>607</v>
      </c>
      <c r="F696" s="136"/>
      <c r="G696" s="136"/>
      <c r="H696" s="136"/>
      <c r="I696" s="136"/>
      <c r="J696" s="136"/>
      <c r="K696" s="136"/>
      <c r="L696" s="136"/>
      <c r="M696" s="136"/>
      <c r="N696" s="136"/>
      <c r="O696" s="136"/>
      <c r="P696" s="136"/>
      <c r="Q696" s="136"/>
      <c r="R696" s="136"/>
      <c r="S696" s="136"/>
      <c r="T696" s="136" t="s">
        <v>393</v>
      </c>
      <c r="U696" s="136"/>
      <c r="V696" s="137"/>
      <c r="W696" s="137"/>
      <c r="X696" s="137"/>
      <c r="Y696" s="154" t="s">
        <v>470</v>
      </c>
      <c r="Z696" s="210">
        <f>415200-26500-24700</f>
        <v>364000</v>
      </c>
      <c r="AA696" s="210">
        <v>415200</v>
      </c>
      <c r="AB696" s="210">
        <v>415200</v>
      </c>
      <c r="AC696" s="559" t="s">
        <v>470</v>
      </c>
    </row>
    <row r="697" spans="1:29" ht="18.600000000000001" customHeight="1" x14ac:dyDescent="0.3">
      <c r="A697" s="159" t="s">
        <v>164</v>
      </c>
      <c r="B697" s="160" t="s">
        <v>18</v>
      </c>
      <c r="C697" s="160" t="s">
        <v>143</v>
      </c>
      <c r="D697" s="160" t="s">
        <v>136</v>
      </c>
      <c r="E697" s="139"/>
      <c r="F697" s="160"/>
      <c r="G697" s="160"/>
      <c r="H697" s="160"/>
      <c r="I697" s="160"/>
      <c r="J697" s="160"/>
      <c r="K697" s="160"/>
      <c r="L697" s="160"/>
      <c r="M697" s="160"/>
      <c r="N697" s="160"/>
      <c r="O697" s="160"/>
      <c r="P697" s="160"/>
      <c r="Q697" s="160"/>
      <c r="R697" s="160"/>
      <c r="S697" s="160"/>
      <c r="T697" s="160"/>
      <c r="U697" s="160"/>
      <c r="V697" s="212"/>
      <c r="W697" s="212"/>
      <c r="X697" s="212"/>
      <c r="Y697" s="159" t="s">
        <v>164</v>
      </c>
      <c r="Z697" s="213">
        <f>Z698+Z701+Z704+Z707+Z711</f>
        <v>28523684.899999999</v>
      </c>
      <c r="AA697" s="213">
        <f>AA698+AA701+AA704+AA707+AA711</f>
        <v>27385927.699999999</v>
      </c>
      <c r="AB697" s="213">
        <f>AB698+AB701+AB704+AB707+AB711</f>
        <v>27909227.699999999</v>
      </c>
      <c r="AC697" s="288" t="s">
        <v>164</v>
      </c>
    </row>
    <row r="698" spans="1:29" ht="198" customHeight="1" x14ac:dyDescent="0.3">
      <c r="A698" s="282" t="s">
        <v>1364</v>
      </c>
      <c r="B698" s="161" t="s">
        <v>18</v>
      </c>
      <c r="C698" s="161" t="s">
        <v>143</v>
      </c>
      <c r="D698" s="161" t="s">
        <v>136</v>
      </c>
      <c r="E698" s="230" t="s">
        <v>904</v>
      </c>
      <c r="F698" s="161"/>
      <c r="G698" s="161"/>
      <c r="H698" s="161"/>
      <c r="I698" s="161"/>
      <c r="J698" s="161"/>
      <c r="K698" s="161"/>
      <c r="L698" s="161"/>
      <c r="M698" s="161"/>
      <c r="N698" s="161"/>
      <c r="O698" s="161"/>
      <c r="P698" s="161"/>
      <c r="Q698" s="161"/>
      <c r="R698" s="161"/>
      <c r="S698" s="161"/>
      <c r="T698" s="161"/>
      <c r="U698" s="161"/>
      <c r="V698" s="204"/>
      <c r="W698" s="204"/>
      <c r="X698" s="204"/>
      <c r="Y698" s="153" t="s">
        <v>471</v>
      </c>
      <c r="Z698" s="235">
        <f>Z700+Z699</f>
        <v>1621023.45</v>
      </c>
      <c r="AA698" s="235">
        <f>AA700</f>
        <v>1046600</v>
      </c>
      <c r="AB698" s="235">
        <f>AB700</f>
        <v>1569900</v>
      </c>
      <c r="AC698" s="558" t="s">
        <v>471</v>
      </c>
    </row>
    <row r="699" spans="1:29" ht="48.75" customHeight="1" x14ac:dyDescent="0.3">
      <c r="A699" s="1013" t="s">
        <v>565</v>
      </c>
      <c r="B699" s="1016" t="s">
        <v>18</v>
      </c>
      <c r="C699" s="1016" t="s">
        <v>143</v>
      </c>
      <c r="D699" s="1016" t="s">
        <v>136</v>
      </c>
      <c r="E699" s="1015" t="s">
        <v>904</v>
      </c>
      <c r="F699" s="1016"/>
      <c r="G699" s="1016"/>
      <c r="H699" s="1016"/>
      <c r="I699" s="1016"/>
      <c r="J699" s="1016"/>
      <c r="K699" s="1016"/>
      <c r="L699" s="1016"/>
      <c r="M699" s="1016"/>
      <c r="N699" s="1016"/>
      <c r="O699" s="1016"/>
      <c r="P699" s="1016"/>
      <c r="Q699" s="1016"/>
      <c r="R699" s="1016"/>
      <c r="S699" s="1016"/>
      <c r="T699" s="1016" t="s">
        <v>275</v>
      </c>
      <c r="U699" s="1067"/>
      <c r="V699" s="1068"/>
      <c r="W699" s="1068"/>
      <c r="X699" s="1068"/>
      <c r="Y699" s="224"/>
      <c r="Z699" s="1069">
        <f>10000+5340.07</f>
        <v>15340.07</v>
      </c>
      <c r="AA699" s="235">
        <v>0</v>
      </c>
      <c r="AB699" s="235">
        <v>0</v>
      </c>
      <c r="AC699" s="558"/>
    </row>
    <row r="700" spans="1:29" ht="44.25" customHeight="1" x14ac:dyDescent="0.3">
      <c r="A700" s="1013" t="s">
        <v>727</v>
      </c>
      <c r="B700" s="1016" t="s">
        <v>18</v>
      </c>
      <c r="C700" s="1016" t="s">
        <v>143</v>
      </c>
      <c r="D700" s="1016" t="s">
        <v>136</v>
      </c>
      <c r="E700" s="1015" t="s">
        <v>904</v>
      </c>
      <c r="F700" s="1016"/>
      <c r="G700" s="1016"/>
      <c r="H700" s="1016"/>
      <c r="I700" s="1016"/>
      <c r="J700" s="1016"/>
      <c r="K700" s="1016"/>
      <c r="L700" s="1016"/>
      <c r="M700" s="1016"/>
      <c r="N700" s="1016"/>
      <c r="O700" s="1016"/>
      <c r="P700" s="1016"/>
      <c r="Q700" s="1016"/>
      <c r="R700" s="1016"/>
      <c r="S700" s="1016"/>
      <c r="T700" s="1016" t="s">
        <v>393</v>
      </c>
      <c r="U700" s="1016"/>
      <c r="V700" s="1017"/>
      <c r="W700" s="1017"/>
      <c r="X700" s="1017"/>
      <c r="Y700" s="1013" t="s">
        <v>472</v>
      </c>
      <c r="Z700" s="1019">
        <f>501700+35.91+1119287.54-10000-5340.07</f>
        <v>1605683.38</v>
      </c>
      <c r="AA700" s="210">
        <v>1046600</v>
      </c>
      <c r="AB700" s="210">
        <f>1032100+42.52+537757.48</f>
        <v>1569900</v>
      </c>
      <c r="AC700" s="211" t="s">
        <v>472</v>
      </c>
    </row>
    <row r="701" spans="1:29" ht="134.25" customHeight="1" x14ac:dyDescent="0.3">
      <c r="A701" s="291" t="s">
        <v>1270</v>
      </c>
      <c r="B701" s="161" t="s">
        <v>18</v>
      </c>
      <c r="C701" s="161" t="s">
        <v>143</v>
      </c>
      <c r="D701" s="161" t="s">
        <v>136</v>
      </c>
      <c r="E701" s="230" t="s">
        <v>905</v>
      </c>
      <c r="F701" s="161"/>
      <c r="G701" s="161"/>
      <c r="H701" s="161"/>
      <c r="I701" s="161"/>
      <c r="J701" s="161"/>
      <c r="K701" s="161"/>
      <c r="L701" s="161"/>
      <c r="M701" s="161"/>
      <c r="N701" s="161"/>
      <c r="O701" s="161"/>
      <c r="P701" s="161"/>
      <c r="Q701" s="161"/>
      <c r="R701" s="161"/>
      <c r="S701" s="161"/>
      <c r="T701" s="161"/>
      <c r="U701" s="161"/>
      <c r="V701" s="204"/>
      <c r="W701" s="204"/>
      <c r="X701" s="204"/>
      <c r="Y701" s="153" t="s">
        <v>473</v>
      </c>
      <c r="Z701" s="235">
        <f>Z703+Z702</f>
        <v>60777.96</v>
      </c>
      <c r="AA701" s="235">
        <f>AA703+AA702</f>
        <v>63100</v>
      </c>
      <c r="AB701" s="235">
        <f>AB703</f>
        <v>63100</v>
      </c>
      <c r="AC701" s="558" t="s">
        <v>473</v>
      </c>
    </row>
    <row r="702" spans="1:29" ht="48" customHeight="1" x14ac:dyDescent="0.3">
      <c r="A702" s="135" t="s">
        <v>565</v>
      </c>
      <c r="B702" s="161" t="s">
        <v>18</v>
      </c>
      <c r="C702" s="161" t="s">
        <v>143</v>
      </c>
      <c r="D702" s="161" t="s">
        <v>136</v>
      </c>
      <c r="E702" s="230" t="s">
        <v>905</v>
      </c>
      <c r="F702" s="161"/>
      <c r="G702" s="161"/>
      <c r="H702" s="161"/>
      <c r="I702" s="161"/>
      <c r="J702" s="161"/>
      <c r="K702" s="161"/>
      <c r="L702" s="161"/>
      <c r="M702" s="161"/>
      <c r="N702" s="161"/>
      <c r="O702" s="161"/>
      <c r="P702" s="161"/>
      <c r="Q702" s="161"/>
      <c r="R702" s="161"/>
      <c r="S702" s="161"/>
      <c r="T702" s="161" t="s">
        <v>275</v>
      </c>
      <c r="U702" s="161"/>
      <c r="V702" s="204"/>
      <c r="W702" s="204"/>
      <c r="X702" s="204"/>
      <c r="Y702" s="153"/>
      <c r="Z702" s="235">
        <f>1163.2+7337.15-7600</f>
        <v>900.35000000000036</v>
      </c>
      <c r="AA702" s="235">
        <v>8500.35</v>
      </c>
      <c r="AB702" s="235">
        <v>0</v>
      </c>
      <c r="AC702" s="558"/>
    </row>
    <row r="703" spans="1:29" ht="43.5" customHeight="1" x14ac:dyDescent="0.3">
      <c r="A703" s="135" t="s">
        <v>727</v>
      </c>
      <c r="B703" s="136" t="s">
        <v>18</v>
      </c>
      <c r="C703" s="136" t="s">
        <v>143</v>
      </c>
      <c r="D703" s="136" t="s">
        <v>136</v>
      </c>
      <c r="E703" s="230" t="s">
        <v>905</v>
      </c>
      <c r="F703" s="136"/>
      <c r="G703" s="136"/>
      <c r="H703" s="136"/>
      <c r="I703" s="136"/>
      <c r="J703" s="136"/>
      <c r="K703" s="136"/>
      <c r="L703" s="136"/>
      <c r="M703" s="136"/>
      <c r="N703" s="136"/>
      <c r="O703" s="136"/>
      <c r="P703" s="136"/>
      <c r="Q703" s="136"/>
      <c r="R703" s="136"/>
      <c r="S703" s="136"/>
      <c r="T703" s="136" t="s">
        <v>393</v>
      </c>
      <c r="U703" s="136"/>
      <c r="V703" s="137"/>
      <c r="W703" s="137"/>
      <c r="X703" s="137"/>
      <c r="Y703" s="135" t="s">
        <v>474</v>
      </c>
      <c r="Z703" s="210">
        <f>52199.65+77.96+7600</f>
        <v>59877.61</v>
      </c>
      <c r="AA703" s="210">
        <f>108336.77-53737.12</f>
        <v>54599.65</v>
      </c>
      <c r="AB703" s="210">
        <f>120900+6.05-57806.05</f>
        <v>63100</v>
      </c>
      <c r="AC703" s="211" t="s">
        <v>474</v>
      </c>
    </row>
    <row r="704" spans="1:29" ht="147.6" customHeight="1" x14ac:dyDescent="0.3">
      <c r="A704" s="282" t="s">
        <v>1271</v>
      </c>
      <c r="B704" s="161" t="s">
        <v>18</v>
      </c>
      <c r="C704" s="161" t="s">
        <v>143</v>
      </c>
      <c r="D704" s="161" t="s">
        <v>136</v>
      </c>
      <c r="E704" s="230" t="s">
        <v>906</v>
      </c>
      <c r="F704" s="161"/>
      <c r="G704" s="161"/>
      <c r="H704" s="161"/>
      <c r="I704" s="161"/>
      <c r="J704" s="161"/>
      <c r="K704" s="161"/>
      <c r="L704" s="161"/>
      <c r="M704" s="161"/>
      <c r="N704" s="161"/>
      <c r="O704" s="161"/>
      <c r="P704" s="161"/>
      <c r="Q704" s="161"/>
      <c r="R704" s="161"/>
      <c r="S704" s="161"/>
      <c r="T704" s="161"/>
      <c r="U704" s="161"/>
      <c r="V704" s="204"/>
      <c r="W704" s="204"/>
      <c r="X704" s="204"/>
      <c r="Y704" s="153" t="s">
        <v>475</v>
      </c>
      <c r="Z704" s="235">
        <f>Z706+Z705</f>
        <v>12645792.370000001</v>
      </c>
      <c r="AA704" s="235">
        <f>AA706</f>
        <v>13786800</v>
      </c>
      <c r="AB704" s="235">
        <f>AB706</f>
        <v>13786800</v>
      </c>
      <c r="AC704" s="558" t="s">
        <v>475</v>
      </c>
    </row>
    <row r="705" spans="1:29" ht="0.75" hidden="1" customHeight="1" x14ac:dyDescent="0.3">
      <c r="A705" s="135" t="s">
        <v>778</v>
      </c>
      <c r="B705" s="136" t="s">
        <v>18</v>
      </c>
      <c r="C705" s="136" t="s">
        <v>143</v>
      </c>
      <c r="D705" s="136" t="s">
        <v>136</v>
      </c>
      <c r="E705" s="230" t="s">
        <v>906</v>
      </c>
      <c r="F705" s="161"/>
      <c r="G705" s="161"/>
      <c r="H705" s="161"/>
      <c r="I705" s="161"/>
      <c r="J705" s="161"/>
      <c r="K705" s="161"/>
      <c r="L705" s="161"/>
      <c r="M705" s="161"/>
      <c r="N705" s="161"/>
      <c r="O705" s="161"/>
      <c r="P705" s="161"/>
      <c r="Q705" s="161"/>
      <c r="R705" s="161"/>
      <c r="S705" s="161"/>
      <c r="T705" s="161" t="s">
        <v>275</v>
      </c>
      <c r="U705" s="161"/>
      <c r="V705" s="204"/>
      <c r="W705" s="204"/>
      <c r="X705" s="204"/>
      <c r="Y705" s="153"/>
      <c r="Z705" s="235">
        <v>0</v>
      </c>
      <c r="AA705" s="235">
        <v>0</v>
      </c>
      <c r="AB705" s="235">
        <v>0</v>
      </c>
      <c r="AC705" s="558"/>
    </row>
    <row r="706" spans="1:29" ht="53.25" customHeight="1" x14ac:dyDescent="0.3">
      <c r="A706" s="135" t="s">
        <v>727</v>
      </c>
      <c r="B706" s="136" t="s">
        <v>18</v>
      </c>
      <c r="C706" s="136" t="s">
        <v>143</v>
      </c>
      <c r="D706" s="136" t="s">
        <v>136</v>
      </c>
      <c r="E706" s="230" t="s">
        <v>906</v>
      </c>
      <c r="F706" s="136"/>
      <c r="G706" s="136"/>
      <c r="H706" s="136"/>
      <c r="I706" s="136"/>
      <c r="J706" s="136"/>
      <c r="K706" s="136"/>
      <c r="L706" s="136"/>
      <c r="M706" s="136"/>
      <c r="N706" s="136"/>
      <c r="O706" s="136"/>
      <c r="P706" s="136"/>
      <c r="Q706" s="136"/>
      <c r="R706" s="136"/>
      <c r="S706" s="136"/>
      <c r="T706" s="136" t="s">
        <v>393</v>
      </c>
      <c r="U706" s="136"/>
      <c r="V706" s="137"/>
      <c r="W706" s="137"/>
      <c r="X706" s="137"/>
      <c r="Y706" s="135" t="s">
        <v>476</v>
      </c>
      <c r="Z706" s="210">
        <f>13315800+36.49+13363.51+36.14-118305.84-565137.93</f>
        <v>12645792.370000001</v>
      </c>
      <c r="AA706" s="210">
        <f>13315836.49+470963.51</f>
        <v>13786800</v>
      </c>
      <c r="AB706" s="210">
        <f>13391400+395400</f>
        <v>13786800</v>
      </c>
      <c r="AC706" s="211" t="s">
        <v>476</v>
      </c>
    </row>
    <row r="707" spans="1:29" ht="142.9" customHeight="1" x14ac:dyDescent="0.3">
      <c r="A707" s="281" t="s">
        <v>1272</v>
      </c>
      <c r="B707" s="161" t="s">
        <v>18</v>
      </c>
      <c r="C707" s="161" t="s">
        <v>143</v>
      </c>
      <c r="D707" s="161" t="s">
        <v>136</v>
      </c>
      <c r="E707" s="230" t="s">
        <v>907</v>
      </c>
      <c r="F707" s="161"/>
      <c r="G707" s="161"/>
      <c r="H707" s="161"/>
      <c r="I707" s="161"/>
      <c r="J707" s="161"/>
      <c r="K707" s="161"/>
      <c r="L707" s="161"/>
      <c r="M707" s="161"/>
      <c r="N707" s="161"/>
      <c r="O707" s="161"/>
      <c r="P707" s="161"/>
      <c r="Q707" s="161"/>
      <c r="R707" s="161"/>
      <c r="S707" s="161"/>
      <c r="T707" s="161"/>
      <c r="U707" s="161"/>
      <c r="V707" s="204"/>
      <c r="W707" s="204"/>
      <c r="X707" s="204"/>
      <c r="Y707" s="155" t="s">
        <v>232</v>
      </c>
      <c r="Z707" s="235">
        <f>Z710+Z709+Z708</f>
        <v>14196091.119999997</v>
      </c>
      <c r="AA707" s="235">
        <f>AA709+AA710+AA708</f>
        <v>12489427.699999999</v>
      </c>
      <c r="AB707" s="235">
        <f>AB709+AB710+AB708</f>
        <v>12489427.699999999</v>
      </c>
      <c r="AC707" s="563" t="s">
        <v>232</v>
      </c>
    </row>
    <row r="708" spans="1:29" ht="45" customHeight="1" x14ac:dyDescent="0.3">
      <c r="A708" s="135" t="s">
        <v>565</v>
      </c>
      <c r="B708" s="136" t="s">
        <v>18</v>
      </c>
      <c r="C708" s="136" t="s">
        <v>143</v>
      </c>
      <c r="D708" s="136" t="s">
        <v>136</v>
      </c>
      <c r="E708" s="230" t="s">
        <v>907</v>
      </c>
      <c r="F708" s="161"/>
      <c r="G708" s="161"/>
      <c r="H708" s="161"/>
      <c r="I708" s="161"/>
      <c r="J708" s="161"/>
      <c r="K708" s="161"/>
      <c r="L708" s="161"/>
      <c r="M708" s="161"/>
      <c r="N708" s="161"/>
      <c r="O708" s="161"/>
      <c r="P708" s="161"/>
      <c r="Q708" s="161"/>
      <c r="R708" s="161"/>
      <c r="S708" s="161"/>
      <c r="T708" s="161" t="s">
        <v>275</v>
      </c>
      <c r="U708" s="161"/>
      <c r="V708" s="204"/>
      <c r="W708" s="204"/>
      <c r="X708" s="204"/>
      <c r="Y708" s="155"/>
      <c r="Z708" s="235">
        <f>30000+3546+6000</f>
        <v>39546</v>
      </c>
      <c r="AA708" s="235">
        <v>30000</v>
      </c>
      <c r="AB708" s="235">
        <v>30000</v>
      </c>
      <c r="AC708" s="563"/>
    </row>
    <row r="709" spans="1:29" ht="48.75" customHeight="1" x14ac:dyDescent="0.3">
      <c r="A709" s="1018" t="s">
        <v>727</v>
      </c>
      <c r="B709" s="1016" t="s">
        <v>18</v>
      </c>
      <c r="C709" s="1016" t="s">
        <v>143</v>
      </c>
      <c r="D709" s="1016" t="s">
        <v>136</v>
      </c>
      <c r="E709" s="1015" t="s">
        <v>907</v>
      </c>
      <c r="F709" s="1016"/>
      <c r="G709" s="1016"/>
      <c r="H709" s="1016"/>
      <c r="I709" s="1016"/>
      <c r="J709" s="1016"/>
      <c r="K709" s="1016"/>
      <c r="L709" s="1016"/>
      <c r="M709" s="1016"/>
      <c r="N709" s="1016"/>
      <c r="O709" s="1016"/>
      <c r="P709" s="1016"/>
      <c r="Q709" s="1016"/>
      <c r="R709" s="1016"/>
      <c r="S709" s="1016"/>
      <c r="T709" s="1016" t="s">
        <v>393</v>
      </c>
      <c r="U709" s="1016"/>
      <c r="V709" s="1017"/>
      <c r="W709" s="1017"/>
      <c r="X709" s="1017"/>
      <c r="Y709" s="1018" t="s">
        <v>477</v>
      </c>
      <c r="Z709" s="1019">
        <f>3249985-30000+100000+804759.29</f>
        <v>4124744.29</v>
      </c>
      <c r="AA709" s="210">
        <f>3249985-30000</f>
        <v>3219985</v>
      </c>
      <c r="AB709" s="210">
        <f>3249985-30000</f>
        <v>3219985</v>
      </c>
      <c r="AC709" s="559" t="s">
        <v>477</v>
      </c>
    </row>
    <row r="710" spans="1:29" ht="55.15" customHeight="1" x14ac:dyDescent="0.3">
      <c r="A710" s="1013" t="s">
        <v>708</v>
      </c>
      <c r="B710" s="1016" t="s">
        <v>18</v>
      </c>
      <c r="C710" s="1016" t="s">
        <v>143</v>
      </c>
      <c r="D710" s="1016" t="s">
        <v>136</v>
      </c>
      <c r="E710" s="1015" t="s">
        <v>907</v>
      </c>
      <c r="F710" s="1016"/>
      <c r="G710" s="1016"/>
      <c r="H710" s="1016"/>
      <c r="I710" s="1016"/>
      <c r="J710" s="1016"/>
      <c r="K710" s="1016"/>
      <c r="L710" s="1016"/>
      <c r="M710" s="1016"/>
      <c r="N710" s="1016"/>
      <c r="O710" s="1016"/>
      <c r="P710" s="1016"/>
      <c r="Q710" s="1016"/>
      <c r="R710" s="1016"/>
      <c r="S710" s="1016"/>
      <c r="T710" s="1016" t="s">
        <v>294</v>
      </c>
      <c r="U710" s="1016"/>
      <c r="V710" s="1017"/>
      <c r="W710" s="1017"/>
      <c r="X710" s="1017"/>
      <c r="Y710" s="1018"/>
      <c r="Z710" s="1019">
        <f>8778815-8.33+460608.33+27.7-100000-3546-6000+1706663.42-804759.29</f>
        <v>10031800.829999998</v>
      </c>
      <c r="AA710" s="210">
        <f>8778815-8.33+460608.33+27.7</f>
        <v>9239442.6999999993</v>
      </c>
      <c r="AB710" s="210">
        <f>8778815-8.33+460608.33+27.7</f>
        <v>9239442.6999999993</v>
      </c>
      <c r="AC710" s="559"/>
    </row>
    <row r="711" spans="1:29" ht="159.75" hidden="1" customHeight="1" x14ac:dyDescent="0.3">
      <c r="A711" s="153"/>
      <c r="B711" s="161"/>
      <c r="C711" s="161"/>
      <c r="D711" s="161"/>
      <c r="E711" s="230"/>
      <c r="F711" s="161"/>
      <c r="G711" s="161"/>
      <c r="H711" s="161"/>
      <c r="I711" s="161"/>
      <c r="J711" s="161"/>
      <c r="K711" s="161"/>
      <c r="L711" s="161"/>
      <c r="M711" s="161"/>
      <c r="N711" s="161"/>
      <c r="O711" s="161"/>
      <c r="P711" s="161"/>
      <c r="Q711" s="161"/>
      <c r="R711" s="161"/>
      <c r="S711" s="161"/>
      <c r="T711" s="161"/>
      <c r="U711" s="136"/>
      <c r="V711" s="137"/>
      <c r="W711" s="137"/>
      <c r="X711" s="137"/>
      <c r="Y711" s="154"/>
      <c r="Z711" s="210"/>
      <c r="AA711" s="210"/>
      <c r="AB711" s="210"/>
      <c r="AC711" s="559"/>
    </row>
    <row r="712" spans="1:29" ht="112.5" hidden="1" customHeight="1" x14ac:dyDescent="0.3">
      <c r="A712" s="154"/>
      <c r="B712" s="136"/>
      <c r="C712" s="136"/>
      <c r="D712" s="136"/>
      <c r="E712" s="230"/>
      <c r="F712" s="136"/>
      <c r="G712" s="136"/>
      <c r="H712" s="136"/>
      <c r="I712" s="136"/>
      <c r="J712" s="136"/>
      <c r="K712" s="136"/>
      <c r="L712" s="136"/>
      <c r="M712" s="136"/>
      <c r="N712" s="136"/>
      <c r="O712" s="136"/>
      <c r="P712" s="136"/>
      <c r="Q712" s="136"/>
      <c r="R712" s="136"/>
      <c r="S712" s="136"/>
      <c r="T712" s="136"/>
      <c r="U712" s="136"/>
      <c r="V712" s="137"/>
      <c r="W712" s="137"/>
      <c r="X712" s="137"/>
      <c r="Y712" s="154"/>
      <c r="Z712" s="210"/>
      <c r="AA712" s="210"/>
      <c r="AB712" s="210"/>
      <c r="AC712" s="559"/>
    </row>
    <row r="713" spans="1:29" ht="69.75" hidden="1" customHeight="1" x14ac:dyDescent="0.3">
      <c r="A713" s="135"/>
      <c r="B713" s="136"/>
      <c r="C713" s="136"/>
      <c r="D713" s="136"/>
      <c r="E713" s="230"/>
      <c r="F713" s="136"/>
      <c r="G713" s="136"/>
      <c r="H713" s="136"/>
      <c r="I713" s="136"/>
      <c r="J713" s="136"/>
      <c r="K713" s="136"/>
      <c r="L713" s="136"/>
      <c r="M713" s="136"/>
      <c r="N713" s="136"/>
      <c r="O713" s="136"/>
      <c r="P713" s="136"/>
      <c r="Q713" s="136"/>
      <c r="R713" s="136"/>
      <c r="S713" s="136"/>
      <c r="T713" s="136"/>
      <c r="U713" s="136"/>
      <c r="V713" s="137"/>
      <c r="W713" s="137"/>
      <c r="X713" s="137"/>
      <c r="Y713" s="154"/>
      <c r="Z713" s="210"/>
      <c r="AA713" s="210"/>
      <c r="AB713" s="210"/>
      <c r="AC713" s="559"/>
    </row>
    <row r="714" spans="1:29" ht="45" customHeight="1" x14ac:dyDescent="0.3">
      <c r="A714" s="159" t="s">
        <v>753</v>
      </c>
      <c r="B714" s="160" t="s">
        <v>18</v>
      </c>
      <c r="C714" s="160" t="s">
        <v>143</v>
      </c>
      <c r="D714" s="160" t="s">
        <v>125</v>
      </c>
      <c r="E714" s="230"/>
      <c r="F714" s="136"/>
      <c r="G714" s="136"/>
      <c r="H714" s="136"/>
      <c r="I714" s="136"/>
      <c r="J714" s="136"/>
      <c r="K714" s="136"/>
      <c r="L714" s="136"/>
      <c r="M714" s="136"/>
      <c r="N714" s="136"/>
      <c r="O714" s="136"/>
      <c r="P714" s="136"/>
      <c r="Q714" s="136"/>
      <c r="R714" s="136"/>
      <c r="S714" s="136"/>
      <c r="T714" s="136"/>
      <c r="U714" s="136"/>
      <c r="V714" s="137"/>
      <c r="W714" s="137"/>
      <c r="X714" s="137"/>
      <c r="Y714" s="154"/>
      <c r="Z714" s="210">
        <f>Z715</f>
        <v>1993052.68</v>
      </c>
      <c r="AA714" s="210">
        <f>AA715</f>
        <v>2069476.88</v>
      </c>
      <c r="AB714" s="210">
        <f>AB715</f>
        <v>2142929.7000000002</v>
      </c>
      <c r="AC714" s="559"/>
    </row>
    <row r="715" spans="1:29" ht="145.5" customHeight="1" x14ac:dyDescent="0.3">
      <c r="A715" s="282" t="s">
        <v>1385</v>
      </c>
      <c r="B715" s="161" t="s">
        <v>18</v>
      </c>
      <c r="C715" s="161" t="s">
        <v>143</v>
      </c>
      <c r="D715" s="161" t="s">
        <v>125</v>
      </c>
      <c r="E715" s="230" t="s">
        <v>908</v>
      </c>
      <c r="F715" s="161"/>
      <c r="G715" s="161"/>
      <c r="H715" s="161"/>
      <c r="I715" s="161"/>
      <c r="J715" s="161"/>
      <c r="K715" s="161"/>
      <c r="L715" s="161"/>
      <c r="M715" s="161"/>
      <c r="N715" s="161"/>
      <c r="O715" s="161"/>
      <c r="P715" s="161"/>
      <c r="Q715" s="161"/>
      <c r="R715" s="161"/>
      <c r="S715" s="161"/>
      <c r="T715" s="161"/>
      <c r="U715" s="136"/>
      <c r="V715" s="137"/>
      <c r="W715" s="137"/>
      <c r="X715" s="137"/>
      <c r="Y715" s="154"/>
      <c r="Z715" s="210">
        <f>Z716+Z717</f>
        <v>1993052.68</v>
      </c>
      <c r="AA715" s="210">
        <f>AA716+AA717</f>
        <v>2069476.88</v>
      </c>
      <c r="AB715" s="210">
        <f>AB716+AB717</f>
        <v>2142929.7000000002</v>
      </c>
      <c r="AC715" s="559"/>
    </row>
    <row r="716" spans="1:29" ht="110.25" customHeight="1" x14ac:dyDescent="0.3">
      <c r="A716" s="154" t="s">
        <v>723</v>
      </c>
      <c r="B716" s="136" t="s">
        <v>18</v>
      </c>
      <c r="C716" s="136" t="s">
        <v>143</v>
      </c>
      <c r="D716" s="136" t="s">
        <v>125</v>
      </c>
      <c r="E716" s="230" t="s">
        <v>908</v>
      </c>
      <c r="F716" s="136"/>
      <c r="G716" s="136"/>
      <c r="H716" s="136"/>
      <c r="I716" s="136"/>
      <c r="J716" s="136"/>
      <c r="K716" s="136"/>
      <c r="L716" s="136"/>
      <c r="M716" s="136"/>
      <c r="N716" s="136"/>
      <c r="O716" s="136"/>
      <c r="P716" s="136"/>
      <c r="Q716" s="136"/>
      <c r="R716" s="136"/>
      <c r="S716" s="136"/>
      <c r="T716" s="136" t="s">
        <v>38</v>
      </c>
      <c r="U716" s="136"/>
      <c r="V716" s="137"/>
      <c r="W716" s="137"/>
      <c r="X716" s="137"/>
      <c r="Y716" s="154"/>
      <c r="Z716" s="210">
        <f>1455064+63801.73+56007.12-37700+20.42+160732.26+60000+72710.15</f>
        <v>1830635.68</v>
      </c>
      <c r="AA716" s="210">
        <f>1518865.73+127807.12-39100-17.02+166793.9</f>
        <v>1774349.73</v>
      </c>
      <c r="AB716" s="210">
        <f>1518865.73+254007.12-97700+11.86+172617.84</f>
        <v>1847802.5500000003</v>
      </c>
      <c r="AC716" s="559"/>
    </row>
    <row r="717" spans="1:29" ht="63.75" customHeight="1" x14ac:dyDescent="0.3">
      <c r="A717" s="135" t="s">
        <v>565</v>
      </c>
      <c r="B717" s="136" t="s">
        <v>18</v>
      </c>
      <c r="C717" s="136" t="s">
        <v>143</v>
      </c>
      <c r="D717" s="136" t="s">
        <v>125</v>
      </c>
      <c r="E717" s="230" t="s">
        <v>908</v>
      </c>
      <c r="F717" s="136"/>
      <c r="G717" s="136"/>
      <c r="H717" s="136"/>
      <c r="I717" s="136"/>
      <c r="J717" s="136"/>
      <c r="K717" s="136"/>
      <c r="L717" s="136"/>
      <c r="M717" s="136"/>
      <c r="N717" s="136"/>
      <c r="O717" s="136"/>
      <c r="P717" s="136"/>
      <c r="Q717" s="136"/>
      <c r="R717" s="136"/>
      <c r="S717" s="136"/>
      <c r="T717" s="136" t="s">
        <v>275</v>
      </c>
      <c r="U717" s="136"/>
      <c r="V717" s="137"/>
      <c r="W717" s="137"/>
      <c r="X717" s="137"/>
      <c r="Y717" s="154"/>
      <c r="Z717" s="210">
        <f>295136-8.85-60000-72710.15</f>
        <v>162417.00000000003</v>
      </c>
      <c r="AA717" s="210">
        <f>295136-8.85</f>
        <v>295127.15000000002</v>
      </c>
      <c r="AB717" s="210">
        <f>295136-8.85</f>
        <v>295127.15000000002</v>
      </c>
      <c r="AC717" s="559"/>
    </row>
    <row r="718" spans="1:29" ht="44.25" customHeight="1" x14ac:dyDescent="0.3">
      <c r="A718" s="159" t="s">
        <v>1537</v>
      </c>
      <c r="B718" s="160" t="s">
        <v>19</v>
      </c>
      <c r="C718" s="160"/>
      <c r="D718" s="160"/>
      <c r="E718" s="139"/>
      <c r="F718" s="160"/>
      <c r="G718" s="160"/>
      <c r="H718" s="160"/>
      <c r="I718" s="160"/>
      <c r="J718" s="160"/>
      <c r="K718" s="160"/>
      <c r="L718" s="160"/>
      <c r="M718" s="160"/>
      <c r="N718" s="160"/>
      <c r="O718" s="160"/>
      <c r="P718" s="160"/>
      <c r="Q718" s="160"/>
      <c r="R718" s="160"/>
      <c r="S718" s="160"/>
      <c r="T718" s="160"/>
      <c r="U718" s="160"/>
      <c r="V718" s="212"/>
      <c r="W718" s="212"/>
      <c r="X718" s="212"/>
      <c r="Y718" s="159" t="s">
        <v>478</v>
      </c>
      <c r="Z718" s="213">
        <f>Z719+Z732+Z738+Z749</f>
        <v>43309450.490000002</v>
      </c>
      <c r="AA718" s="213">
        <f>AA719+AA732+AA738+AA749</f>
        <v>42106345.649999999</v>
      </c>
      <c r="AB718" s="213">
        <f>AB719+AB732+AB738+AB749</f>
        <v>40896619.700000003</v>
      </c>
      <c r="AC718" s="288" t="s">
        <v>478</v>
      </c>
    </row>
    <row r="719" spans="1:29" ht="37.15" customHeight="1" x14ac:dyDescent="0.3">
      <c r="A719" s="159" t="s">
        <v>270</v>
      </c>
      <c r="B719" s="160" t="s">
        <v>19</v>
      </c>
      <c r="C719" s="160" t="s">
        <v>122</v>
      </c>
      <c r="D719" s="160" t="s">
        <v>133</v>
      </c>
      <c r="E719" s="139"/>
      <c r="F719" s="160"/>
      <c r="G719" s="160"/>
      <c r="H719" s="160"/>
      <c r="I719" s="160"/>
      <c r="J719" s="160"/>
      <c r="K719" s="160"/>
      <c r="L719" s="160"/>
      <c r="M719" s="160"/>
      <c r="N719" s="160"/>
      <c r="O719" s="160"/>
      <c r="P719" s="160"/>
      <c r="Q719" s="160"/>
      <c r="R719" s="160"/>
      <c r="S719" s="160"/>
      <c r="T719" s="160"/>
      <c r="U719" s="160"/>
      <c r="V719" s="212"/>
      <c r="W719" s="212"/>
      <c r="X719" s="212"/>
      <c r="Y719" s="159" t="s">
        <v>270</v>
      </c>
      <c r="Z719" s="213">
        <f>Z720</f>
        <v>11221037.869999999</v>
      </c>
      <c r="AA719" s="213">
        <f>AA720</f>
        <v>9520853.6099999994</v>
      </c>
      <c r="AB719" s="213">
        <f>AB720</f>
        <v>9366823.8000000007</v>
      </c>
      <c r="AC719" s="288" t="s">
        <v>270</v>
      </c>
    </row>
    <row r="720" spans="1:29" ht="37.15" customHeight="1" x14ac:dyDescent="0.3">
      <c r="A720" s="159" t="s">
        <v>141</v>
      </c>
      <c r="B720" s="160" t="s">
        <v>19</v>
      </c>
      <c r="C720" s="160" t="s">
        <v>122</v>
      </c>
      <c r="D720" s="160" t="s">
        <v>130</v>
      </c>
      <c r="E720" s="139"/>
      <c r="F720" s="160"/>
      <c r="G720" s="160"/>
      <c r="H720" s="160"/>
      <c r="I720" s="160"/>
      <c r="J720" s="160"/>
      <c r="K720" s="160"/>
      <c r="L720" s="160"/>
      <c r="M720" s="160"/>
      <c r="N720" s="160"/>
      <c r="O720" s="160"/>
      <c r="P720" s="160"/>
      <c r="Q720" s="160"/>
      <c r="R720" s="160"/>
      <c r="S720" s="160"/>
      <c r="T720" s="160"/>
      <c r="U720" s="160"/>
      <c r="V720" s="212"/>
      <c r="W720" s="212"/>
      <c r="X720" s="212"/>
      <c r="Y720" s="159" t="s">
        <v>141</v>
      </c>
      <c r="Z720" s="213">
        <f>Z721+Z727+Z730+Z725</f>
        <v>11221037.869999999</v>
      </c>
      <c r="AA720" s="213">
        <f>AA721+AA727+AA730+AA725</f>
        <v>9520853.6099999994</v>
      </c>
      <c r="AB720" s="213">
        <f>AB721+AB727+AB730+AB725</f>
        <v>9366823.8000000007</v>
      </c>
      <c r="AC720" s="288" t="s">
        <v>141</v>
      </c>
    </row>
    <row r="721" spans="1:31" ht="174.75" customHeight="1" x14ac:dyDescent="0.3">
      <c r="A721" s="153" t="s">
        <v>1222</v>
      </c>
      <c r="B721" s="161" t="s">
        <v>19</v>
      </c>
      <c r="C721" s="161" t="s">
        <v>122</v>
      </c>
      <c r="D721" s="161" t="s">
        <v>130</v>
      </c>
      <c r="E721" s="230" t="s">
        <v>639</v>
      </c>
      <c r="F721" s="161"/>
      <c r="G721" s="161"/>
      <c r="H721" s="161"/>
      <c r="I721" s="161"/>
      <c r="J721" s="161"/>
      <c r="K721" s="161"/>
      <c r="L721" s="161"/>
      <c r="M721" s="161"/>
      <c r="N721" s="161"/>
      <c r="O721" s="161"/>
      <c r="P721" s="161"/>
      <c r="Q721" s="161"/>
      <c r="R721" s="161"/>
      <c r="S721" s="161"/>
      <c r="T721" s="161"/>
      <c r="U721" s="161"/>
      <c r="V721" s="204"/>
      <c r="W721" s="204"/>
      <c r="X721" s="204"/>
      <c r="Y721" s="153" t="s">
        <v>479</v>
      </c>
      <c r="Z721" s="235">
        <f>Z722+Z723+Z724</f>
        <v>6875959.2400000002</v>
      </c>
      <c r="AA721" s="235">
        <f>AA722+AA723+AA724</f>
        <v>5978822.0899999999</v>
      </c>
      <c r="AB721" s="235">
        <f>AB722+AB723+AB724</f>
        <v>5824792.2800000003</v>
      </c>
      <c r="AC721" s="558" t="s">
        <v>479</v>
      </c>
      <c r="AE721" s="127"/>
    </row>
    <row r="722" spans="1:31" ht="110.25" customHeight="1" x14ac:dyDescent="0.3">
      <c r="A722" s="1018" t="s">
        <v>723</v>
      </c>
      <c r="B722" s="1016" t="s">
        <v>19</v>
      </c>
      <c r="C722" s="1016" t="s">
        <v>122</v>
      </c>
      <c r="D722" s="1016" t="s">
        <v>130</v>
      </c>
      <c r="E722" s="1015" t="s">
        <v>639</v>
      </c>
      <c r="F722" s="1016"/>
      <c r="G722" s="1016"/>
      <c r="H722" s="1016"/>
      <c r="I722" s="1016"/>
      <c r="J722" s="1016"/>
      <c r="K722" s="1016"/>
      <c r="L722" s="1016"/>
      <c r="M722" s="1016"/>
      <c r="N722" s="1016"/>
      <c r="O722" s="1016"/>
      <c r="P722" s="1016"/>
      <c r="Q722" s="1016"/>
      <c r="R722" s="1016"/>
      <c r="S722" s="1016"/>
      <c r="T722" s="1016" t="s">
        <v>38</v>
      </c>
      <c r="U722" s="1016"/>
      <c r="V722" s="1017"/>
      <c r="W722" s="1017"/>
      <c r="X722" s="1017"/>
      <c r="Y722" s="1018" t="s">
        <v>480</v>
      </c>
      <c r="Z722" s="1019">
        <f>3819316.4+121599+1153433.56+272771.32+168523+50894+154029.81+848360.7-78000-150000-130000-72523.55</f>
        <v>6158404.2400000002</v>
      </c>
      <c r="AA722" s="210">
        <v>5740567.0899999999</v>
      </c>
      <c r="AB722" s="210">
        <v>5586537.2800000003</v>
      </c>
      <c r="AC722" s="559" t="s">
        <v>480</v>
      </c>
    </row>
    <row r="723" spans="1:31" ht="59.25" customHeight="1" x14ac:dyDescent="0.3">
      <c r="A723" s="135" t="s">
        <v>565</v>
      </c>
      <c r="B723" s="136" t="s">
        <v>19</v>
      </c>
      <c r="C723" s="136" t="s">
        <v>122</v>
      </c>
      <c r="D723" s="136" t="s">
        <v>130</v>
      </c>
      <c r="E723" s="230" t="s">
        <v>639</v>
      </c>
      <c r="F723" s="136"/>
      <c r="G723" s="136"/>
      <c r="H723" s="136"/>
      <c r="I723" s="136"/>
      <c r="J723" s="136"/>
      <c r="K723" s="136"/>
      <c r="L723" s="136"/>
      <c r="M723" s="136"/>
      <c r="N723" s="136"/>
      <c r="O723" s="136"/>
      <c r="P723" s="136"/>
      <c r="Q723" s="136"/>
      <c r="R723" s="136"/>
      <c r="S723" s="136"/>
      <c r="T723" s="136" t="s">
        <v>275</v>
      </c>
      <c r="U723" s="136"/>
      <c r="V723" s="137"/>
      <c r="W723" s="137"/>
      <c r="X723" s="137"/>
      <c r="Y723" s="135" t="s">
        <v>481</v>
      </c>
      <c r="Z723" s="210">
        <f>60000+18000+36256+5000+77244+38374+78000+52300+150000+29000+50000+120000</f>
        <v>714174</v>
      </c>
      <c r="AA723" s="210">
        <f>60000+18000+36256+5000+77244+38374</f>
        <v>234874</v>
      </c>
      <c r="AB723" s="210">
        <f>60000+18000+36256+5000+77244+38374</f>
        <v>234874</v>
      </c>
      <c r="AC723" s="211" t="s">
        <v>481</v>
      </c>
    </row>
    <row r="724" spans="1:31" ht="34.5" customHeight="1" x14ac:dyDescent="0.3">
      <c r="A724" s="135" t="s">
        <v>760</v>
      </c>
      <c r="B724" s="136" t="s">
        <v>19</v>
      </c>
      <c r="C724" s="136" t="s">
        <v>122</v>
      </c>
      <c r="D724" s="136" t="s">
        <v>130</v>
      </c>
      <c r="E724" s="230" t="s">
        <v>639</v>
      </c>
      <c r="F724" s="136"/>
      <c r="G724" s="136"/>
      <c r="H724" s="136"/>
      <c r="I724" s="136"/>
      <c r="J724" s="136"/>
      <c r="K724" s="136"/>
      <c r="L724" s="136"/>
      <c r="M724" s="136"/>
      <c r="N724" s="136"/>
      <c r="O724" s="136"/>
      <c r="P724" s="136"/>
      <c r="Q724" s="136"/>
      <c r="R724" s="136"/>
      <c r="S724" s="136"/>
      <c r="T724" s="136" t="s">
        <v>243</v>
      </c>
      <c r="U724" s="136"/>
      <c r="V724" s="137"/>
      <c r="W724" s="137"/>
      <c r="X724" s="137"/>
      <c r="Y724" s="135" t="s">
        <v>482</v>
      </c>
      <c r="Z724" s="210">
        <f>381+3000</f>
        <v>3381</v>
      </c>
      <c r="AA724" s="210">
        <f>381+3000</f>
        <v>3381</v>
      </c>
      <c r="AB724" s="210">
        <f>381+3000</f>
        <v>3381</v>
      </c>
      <c r="AC724" s="211" t="s">
        <v>482</v>
      </c>
    </row>
    <row r="725" spans="1:31" ht="192.75" customHeight="1" x14ac:dyDescent="0.3">
      <c r="A725" s="153" t="s">
        <v>1497</v>
      </c>
      <c r="B725" s="136" t="s">
        <v>19</v>
      </c>
      <c r="C725" s="136" t="s">
        <v>122</v>
      </c>
      <c r="D725" s="136" t="s">
        <v>130</v>
      </c>
      <c r="E725" s="230" t="s">
        <v>1496</v>
      </c>
      <c r="F725" s="136"/>
      <c r="G725" s="136"/>
      <c r="H725" s="136"/>
      <c r="I725" s="136"/>
      <c r="J725" s="136"/>
      <c r="K725" s="136"/>
      <c r="L725" s="136"/>
      <c r="M725" s="136"/>
      <c r="N725" s="136"/>
      <c r="O725" s="136"/>
      <c r="P725" s="136"/>
      <c r="Q725" s="136"/>
      <c r="R725" s="136"/>
      <c r="S725" s="136"/>
      <c r="T725" s="136"/>
      <c r="U725" s="136"/>
      <c r="V725" s="137"/>
      <c r="W725" s="137"/>
      <c r="X725" s="137"/>
      <c r="Y725" s="135"/>
      <c r="Z725" s="210">
        <f>Z726</f>
        <v>31.49</v>
      </c>
      <c r="AA725" s="210">
        <f>AA726</f>
        <v>41.99</v>
      </c>
      <c r="AB725" s="210">
        <f>AB726</f>
        <v>41.99</v>
      </c>
      <c r="AC725" s="211"/>
    </row>
    <row r="726" spans="1:31" ht="107.25" customHeight="1" x14ac:dyDescent="0.3">
      <c r="A726" s="154" t="s">
        <v>723</v>
      </c>
      <c r="B726" s="136" t="s">
        <v>19</v>
      </c>
      <c r="C726" s="136" t="s">
        <v>122</v>
      </c>
      <c r="D726" s="136" t="s">
        <v>130</v>
      </c>
      <c r="E726" s="230" t="s">
        <v>1496</v>
      </c>
      <c r="F726" s="136"/>
      <c r="G726" s="136"/>
      <c r="H726" s="136"/>
      <c r="I726" s="136"/>
      <c r="J726" s="136"/>
      <c r="K726" s="136"/>
      <c r="L726" s="136"/>
      <c r="M726" s="136"/>
      <c r="N726" s="136"/>
      <c r="O726" s="136"/>
      <c r="P726" s="136"/>
      <c r="Q726" s="136"/>
      <c r="R726" s="136"/>
      <c r="S726" s="136"/>
      <c r="T726" s="136" t="s">
        <v>38</v>
      </c>
      <c r="U726" s="136"/>
      <c r="V726" s="137"/>
      <c r="W726" s="137"/>
      <c r="X726" s="137"/>
      <c r="Y726" s="135"/>
      <c r="Z726" s="210">
        <v>31.49</v>
      </c>
      <c r="AA726" s="210">
        <v>41.99</v>
      </c>
      <c r="AB726" s="210">
        <v>41.99</v>
      </c>
      <c r="AC726" s="211"/>
    </row>
    <row r="727" spans="1:31" ht="195.6" customHeight="1" x14ac:dyDescent="0.3">
      <c r="A727" s="153" t="s">
        <v>1223</v>
      </c>
      <c r="B727" s="161" t="s">
        <v>19</v>
      </c>
      <c r="C727" s="161" t="s">
        <v>122</v>
      </c>
      <c r="D727" s="161" t="s">
        <v>130</v>
      </c>
      <c r="E727" s="230" t="s">
        <v>640</v>
      </c>
      <c r="F727" s="161"/>
      <c r="G727" s="161"/>
      <c r="H727" s="161"/>
      <c r="I727" s="161"/>
      <c r="J727" s="161"/>
      <c r="K727" s="161"/>
      <c r="L727" s="161"/>
      <c r="M727" s="161"/>
      <c r="N727" s="161"/>
      <c r="O727" s="161"/>
      <c r="P727" s="161"/>
      <c r="Q727" s="161"/>
      <c r="R727" s="161"/>
      <c r="S727" s="161"/>
      <c r="T727" s="161"/>
      <c r="U727" s="161"/>
      <c r="V727" s="204"/>
      <c r="W727" s="204"/>
      <c r="X727" s="204"/>
      <c r="Y727" s="153" t="s">
        <v>483</v>
      </c>
      <c r="Z727" s="235">
        <f>Z728+Z729</f>
        <v>4257865.1399999987</v>
      </c>
      <c r="AA727" s="235">
        <f>AA728+AA729</f>
        <v>3541989.53</v>
      </c>
      <c r="AB727" s="235">
        <f>AB728+AB729</f>
        <v>3541989.53</v>
      </c>
      <c r="AC727" s="558" t="s">
        <v>483</v>
      </c>
    </row>
    <row r="728" spans="1:31" ht="42" customHeight="1" x14ac:dyDescent="0.3">
      <c r="A728" s="135" t="s">
        <v>565</v>
      </c>
      <c r="B728" s="136" t="s">
        <v>19</v>
      </c>
      <c r="C728" s="136" t="s">
        <v>122</v>
      </c>
      <c r="D728" s="136" t="s">
        <v>130</v>
      </c>
      <c r="E728" s="230" t="s">
        <v>640</v>
      </c>
      <c r="F728" s="136"/>
      <c r="G728" s="136"/>
      <c r="H728" s="136"/>
      <c r="I728" s="136"/>
      <c r="J728" s="136"/>
      <c r="K728" s="136"/>
      <c r="L728" s="136"/>
      <c r="M728" s="136"/>
      <c r="N728" s="136"/>
      <c r="O728" s="136"/>
      <c r="P728" s="136"/>
      <c r="Q728" s="136"/>
      <c r="R728" s="136"/>
      <c r="S728" s="136"/>
      <c r="T728" s="136" t="s">
        <v>275</v>
      </c>
      <c r="U728" s="136"/>
      <c r="V728" s="137"/>
      <c r="W728" s="137"/>
      <c r="X728" s="137"/>
      <c r="Y728" s="135" t="s">
        <v>484</v>
      </c>
      <c r="Z728" s="210">
        <f>3493863.53+5000000-1465059.28-500000-1500000-200000-52300-87182-194583.11-95000-200000+57126</f>
        <v>4256865.1399999987</v>
      </c>
      <c r="AA728" s="210">
        <v>3493863.53</v>
      </c>
      <c r="AB728" s="210">
        <v>3493863.53</v>
      </c>
      <c r="AC728" s="211" t="s">
        <v>484</v>
      </c>
    </row>
    <row r="729" spans="1:31" ht="35.25" customHeight="1" x14ac:dyDescent="0.3">
      <c r="A729" s="135" t="s">
        <v>760</v>
      </c>
      <c r="B729" s="136" t="s">
        <v>19</v>
      </c>
      <c r="C729" s="136" t="s">
        <v>122</v>
      </c>
      <c r="D729" s="136" t="s">
        <v>130</v>
      </c>
      <c r="E729" s="230" t="s">
        <v>640</v>
      </c>
      <c r="F729" s="136"/>
      <c r="G729" s="136"/>
      <c r="H729" s="136"/>
      <c r="I729" s="136"/>
      <c r="J729" s="136"/>
      <c r="K729" s="136"/>
      <c r="L729" s="136"/>
      <c r="M729" s="136"/>
      <c r="N729" s="136"/>
      <c r="O729" s="136"/>
      <c r="P729" s="136"/>
      <c r="Q729" s="136"/>
      <c r="R729" s="136"/>
      <c r="S729" s="136"/>
      <c r="T729" s="136" t="s">
        <v>243</v>
      </c>
      <c r="U729" s="136"/>
      <c r="V729" s="137"/>
      <c r="W729" s="137"/>
      <c r="X729" s="137"/>
      <c r="Y729" s="135"/>
      <c r="Z729" s="210">
        <f>48126-47126</f>
        <v>1000</v>
      </c>
      <c r="AA729" s="210">
        <f>18126+30000</f>
        <v>48126</v>
      </c>
      <c r="AB729" s="210">
        <f>18126+30000</f>
        <v>48126</v>
      </c>
      <c r="AC729" s="211"/>
    </row>
    <row r="730" spans="1:31" ht="156" customHeight="1" x14ac:dyDescent="0.3">
      <c r="A730" s="486" t="s">
        <v>1536</v>
      </c>
      <c r="B730" s="136" t="s">
        <v>19</v>
      </c>
      <c r="C730" s="136" t="s">
        <v>122</v>
      </c>
      <c r="D730" s="136" t="s">
        <v>130</v>
      </c>
      <c r="E730" s="230" t="s">
        <v>768</v>
      </c>
      <c r="F730" s="136"/>
      <c r="G730" s="136"/>
      <c r="H730" s="136"/>
      <c r="I730" s="136"/>
      <c r="J730" s="136"/>
      <c r="K730" s="136"/>
      <c r="L730" s="136"/>
      <c r="M730" s="136"/>
      <c r="N730" s="136"/>
      <c r="O730" s="136"/>
      <c r="P730" s="136"/>
      <c r="Q730" s="136"/>
      <c r="R730" s="136"/>
      <c r="S730" s="136"/>
      <c r="T730" s="136"/>
      <c r="U730" s="136"/>
      <c r="V730" s="137"/>
      <c r="W730" s="137"/>
      <c r="X730" s="137"/>
      <c r="Y730" s="135"/>
      <c r="Z730" s="210">
        <f>Z731</f>
        <v>87182</v>
      </c>
      <c r="AA730" s="210">
        <f>AA731</f>
        <v>0</v>
      </c>
      <c r="AB730" s="210">
        <f>AB731</f>
        <v>0</v>
      </c>
      <c r="AC730" s="211"/>
    </row>
    <row r="731" spans="1:31" ht="36" customHeight="1" x14ac:dyDescent="0.3">
      <c r="A731" s="135" t="s">
        <v>760</v>
      </c>
      <c r="B731" s="136" t="s">
        <v>19</v>
      </c>
      <c r="C731" s="136" t="s">
        <v>122</v>
      </c>
      <c r="D731" s="136" t="s">
        <v>130</v>
      </c>
      <c r="E731" s="230" t="s">
        <v>768</v>
      </c>
      <c r="F731" s="136"/>
      <c r="G731" s="136"/>
      <c r="H731" s="136"/>
      <c r="I731" s="136"/>
      <c r="J731" s="136"/>
      <c r="K731" s="136"/>
      <c r="L731" s="136"/>
      <c r="M731" s="136"/>
      <c r="N731" s="136"/>
      <c r="O731" s="136"/>
      <c r="P731" s="136"/>
      <c r="Q731" s="136"/>
      <c r="R731" s="136"/>
      <c r="S731" s="136"/>
      <c r="T731" s="136" t="s">
        <v>243</v>
      </c>
      <c r="U731" s="136"/>
      <c r="V731" s="137"/>
      <c r="W731" s="137"/>
      <c r="X731" s="137"/>
      <c r="Y731" s="135"/>
      <c r="Z731" s="210">
        <f>87182</f>
        <v>87182</v>
      </c>
      <c r="AA731" s="210">
        <v>0</v>
      </c>
      <c r="AB731" s="210">
        <v>0</v>
      </c>
      <c r="AC731" s="211"/>
    </row>
    <row r="732" spans="1:31" ht="55.9" customHeight="1" x14ac:dyDescent="0.3">
      <c r="A732" s="159" t="s">
        <v>297</v>
      </c>
      <c r="B732" s="160" t="s">
        <v>19</v>
      </c>
      <c r="C732" s="160" t="s">
        <v>123</v>
      </c>
      <c r="D732" s="160" t="s">
        <v>133</v>
      </c>
      <c r="E732" s="139"/>
      <c r="F732" s="160"/>
      <c r="G732" s="160"/>
      <c r="H732" s="160"/>
      <c r="I732" s="160"/>
      <c r="J732" s="160"/>
      <c r="K732" s="160"/>
      <c r="L732" s="160"/>
      <c r="M732" s="160"/>
      <c r="N732" s="160"/>
      <c r="O732" s="160"/>
      <c r="P732" s="160"/>
      <c r="Q732" s="160"/>
      <c r="R732" s="160"/>
      <c r="S732" s="160"/>
      <c r="T732" s="160"/>
      <c r="U732" s="160"/>
      <c r="V732" s="212"/>
      <c r="W732" s="212"/>
      <c r="X732" s="212"/>
      <c r="Y732" s="159" t="s">
        <v>297</v>
      </c>
      <c r="Z732" s="213">
        <f t="shared" ref="Z732:AB736" si="24">Z733</f>
        <v>4021448.54</v>
      </c>
      <c r="AA732" s="213">
        <f t="shared" si="24"/>
        <v>3970036.13</v>
      </c>
      <c r="AB732" s="213">
        <f t="shared" si="24"/>
        <v>2914339.99</v>
      </c>
      <c r="AC732" s="288" t="s">
        <v>297</v>
      </c>
    </row>
    <row r="733" spans="1:31" ht="74.45" customHeight="1" x14ac:dyDescent="0.3">
      <c r="A733" s="159" t="s">
        <v>251</v>
      </c>
      <c r="B733" s="160" t="s">
        <v>19</v>
      </c>
      <c r="C733" s="160" t="s">
        <v>123</v>
      </c>
      <c r="D733" s="160" t="s">
        <v>127</v>
      </c>
      <c r="E733" s="139"/>
      <c r="F733" s="160"/>
      <c r="G733" s="160"/>
      <c r="H733" s="160"/>
      <c r="I733" s="160"/>
      <c r="J733" s="160"/>
      <c r="K733" s="160"/>
      <c r="L733" s="160"/>
      <c r="M733" s="160"/>
      <c r="N733" s="160"/>
      <c r="O733" s="160"/>
      <c r="P733" s="160"/>
      <c r="Q733" s="160"/>
      <c r="R733" s="160"/>
      <c r="S733" s="160"/>
      <c r="T733" s="160"/>
      <c r="U733" s="160"/>
      <c r="V733" s="212"/>
      <c r="W733" s="212"/>
      <c r="X733" s="212"/>
      <c r="Y733" s="159" t="s">
        <v>251</v>
      </c>
      <c r="Z733" s="213">
        <f>Z736+Z734</f>
        <v>4021448.54</v>
      </c>
      <c r="AA733" s="213">
        <f>AA736+AA734</f>
        <v>3970036.13</v>
      </c>
      <c r="AB733" s="213">
        <f>AB736+AB734</f>
        <v>2914339.99</v>
      </c>
      <c r="AC733" s="288" t="s">
        <v>251</v>
      </c>
    </row>
    <row r="734" spans="1:31" ht="206.25" customHeight="1" x14ac:dyDescent="0.3">
      <c r="A734" s="155" t="s">
        <v>1314</v>
      </c>
      <c r="B734" s="161" t="s">
        <v>19</v>
      </c>
      <c r="C734" s="161" t="s">
        <v>123</v>
      </c>
      <c r="D734" s="161" t="s">
        <v>127</v>
      </c>
      <c r="E734" s="230" t="s">
        <v>1102</v>
      </c>
      <c r="F734" s="160"/>
      <c r="G734" s="160"/>
      <c r="H734" s="160"/>
      <c r="I734" s="160"/>
      <c r="J734" s="160"/>
      <c r="K734" s="160"/>
      <c r="L734" s="160"/>
      <c r="M734" s="160"/>
      <c r="N734" s="160"/>
      <c r="O734" s="160"/>
      <c r="P734" s="160"/>
      <c r="Q734" s="160"/>
      <c r="R734" s="160"/>
      <c r="S734" s="160"/>
      <c r="T734" s="160"/>
      <c r="U734" s="160"/>
      <c r="V734" s="212"/>
      <c r="W734" s="212"/>
      <c r="X734" s="212"/>
      <c r="Y734" s="159"/>
      <c r="Z734" s="235">
        <f>Z735</f>
        <v>4021448.54</v>
      </c>
      <c r="AA734" s="235">
        <f>AA735</f>
        <v>3970036.13</v>
      </c>
      <c r="AB734" s="235">
        <f>AB735</f>
        <v>2914339.99</v>
      </c>
      <c r="AC734" s="288"/>
    </row>
    <row r="735" spans="1:31" ht="51.75" customHeight="1" x14ac:dyDescent="0.3">
      <c r="A735" s="1013" t="s">
        <v>1097</v>
      </c>
      <c r="B735" s="1016" t="s">
        <v>19</v>
      </c>
      <c r="C735" s="1016" t="s">
        <v>123</v>
      </c>
      <c r="D735" s="1016" t="s">
        <v>127</v>
      </c>
      <c r="E735" s="1015" t="s">
        <v>1102</v>
      </c>
      <c r="F735" s="1093"/>
      <c r="G735" s="1093"/>
      <c r="H735" s="1093"/>
      <c r="I735" s="1093"/>
      <c r="J735" s="1093"/>
      <c r="K735" s="1093"/>
      <c r="L735" s="1093"/>
      <c r="M735" s="1093"/>
      <c r="N735" s="1093"/>
      <c r="O735" s="1093"/>
      <c r="P735" s="1093"/>
      <c r="Q735" s="1093"/>
      <c r="R735" s="1093"/>
      <c r="S735" s="1093"/>
      <c r="T735" s="1067" t="s">
        <v>294</v>
      </c>
      <c r="U735" s="1093"/>
      <c r="V735" s="1094"/>
      <c r="W735" s="1094"/>
      <c r="X735" s="1094"/>
      <c r="Y735" s="1095"/>
      <c r="Z735" s="1069">
        <f>2700000+996686.13+602839.71-278077.3</f>
        <v>4021448.54</v>
      </c>
      <c r="AA735" s="235">
        <f>2700000+1270036.13</f>
        <v>3970036.13</v>
      </c>
      <c r="AB735" s="235">
        <f>2700000+214339.99</f>
        <v>2914339.99</v>
      </c>
      <c r="AC735" s="288"/>
    </row>
    <row r="736" spans="1:31" ht="0.75" hidden="1" customHeight="1" x14ac:dyDescent="0.3">
      <c r="A736" s="153" t="s">
        <v>641</v>
      </c>
      <c r="B736" s="161" t="s">
        <v>19</v>
      </c>
      <c r="C736" s="161" t="s">
        <v>123</v>
      </c>
      <c r="D736" s="161" t="s">
        <v>127</v>
      </c>
      <c r="E736" s="230" t="s">
        <v>1004</v>
      </c>
      <c r="F736" s="161"/>
      <c r="G736" s="161"/>
      <c r="H736" s="161"/>
      <c r="I736" s="161"/>
      <c r="J736" s="161"/>
      <c r="K736" s="161"/>
      <c r="L736" s="161"/>
      <c r="M736" s="161"/>
      <c r="N736" s="161"/>
      <c r="O736" s="161"/>
      <c r="P736" s="161"/>
      <c r="Q736" s="161"/>
      <c r="R736" s="161"/>
      <c r="S736" s="161"/>
      <c r="T736" s="161"/>
      <c r="U736" s="161"/>
      <c r="V736" s="204"/>
      <c r="W736" s="204"/>
      <c r="X736" s="204"/>
      <c r="Y736" s="153" t="s">
        <v>485</v>
      </c>
      <c r="Z736" s="235">
        <f t="shared" si="24"/>
        <v>0</v>
      </c>
      <c r="AA736" s="235">
        <f t="shared" si="24"/>
        <v>0</v>
      </c>
      <c r="AB736" s="235">
        <f t="shared" si="24"/>
        <v>0</v>
      </c>
      <c r="AC736" s="558" t="s">
        <v>485</v>
      </c>
    </row>
    <row r="737" spans="1:29" ht="1.5" hidden="1" customHeight="1" x14ac:dyDescent="0.3">
      <c r="A737" s="135" t="s">
        <v>486</v>
      </c>
      <c r="B737" s="136" t="s">
        <v>19</v>
      </c>
      <c r="C737" s="136" t="s">
        <v>123</v>
      </c>
      <c r="D737" s="136" t="s">
        <v>127</v>
      </c>
      <c r="E737" s="230" t="s">
        <v>1004</v>
      </c>
      <c r="F737" s="136"/>
      <c r="G737" s="136"/>
      <c r="H737" s="136"/>
      <c r="I737" s="136"/>
      <c r="J737" s="136"/>
      <c r="K737" s="136"/>
      <c r="L737" s="136"/>
      <c r="M737" s="136"/>
      <c r="N737" s="136"/>
      <c r="O737" s="136"/>
      <c r="P737" s="136"/>
      <c r="Q737" s="136"/>
      <c r="R737" s="136"/>
      <c r="S737" s="136"/>
      <c r="T737" s="136" t="s">
        <v>294</v>
      </c>
      <c r="U737" s="136"/>
      <c r="V737" s="137"/>
      <c r="W737" s="137"/>
      <c r="X737" s="137"/>
      <c r="Y737" s="135" t="s">
        <v>486</v>
      </c>
      <c r="Z737" s="210">
        <v>0</v>
      </c>
      <c r="AA737" s="210">
        <v>0</v>
      </c>
      <c r="AB737" s="210">
        <v>0</v>
      </c>
      <c r="AC737" s="211" t="s">
        <v>486</v>
      </c>
    </row>
    <row r="738" spans="1:29" ht="22.5" customHeight="1" x14ac:dyDescent="0.3">
      <c r="A738" s="159" t="s">
        <v>366</v>
      </c>
      <c r="B738" s="160" t="s">
        <v>19</v>
      </c>
      <c r="C738" s="160" t="s">
        <v>138</v>
      </c>
      <c r="D738" s="160" t="s">
        <v>133</v>
      </c>
      <c r="E738" s="139"/>
      <c r="F738" s="160"/>
      <c r="G738" s="160"/>
      <c r="H738" s="160"/>
      <c r="I738" s="160"/>
      <c r="J738" s="160"/>
      <c r="K738" s="160"/>
      <c r="L738" s="160"/>
      <c r="M738" s="160"/>
      <c r="N738" s="160"/>
      <c r="O738" s="160"/>
      <c r="P738" s="160"/>
      <c r="Q738" s="160"/>
      <c r="R738" s="160"/>
      <c r="S738" s="160"/>
      <c r="T738" s="160"/>
      <c r="U738" s="160"/>
      <c r="V738" s="212"/>
      <c r="W738" s="212"/>
      <c r="X738" s="212"/>
      <c r="Y738" s="159" t="s">
        <v>366</v>
      </c>
      <c r="Z738" s="213">
        <f>Z739+Z742</f>
        <v>9422801.5</v>
      </c>
      <c r="AA738" s="213">
        <f>AA739+AA742</f>
        <v>8631387.4399999995</v>
      </c>
      <c r="AB738" s="213">
        <f>AB739+AB742</f>
        <v>8631387.4399999995</v>
      </c>
      <c r="AC738" s="288" t="s">
        <v>366</v>
      </c>
    </row>
    <row r="739" spans="1:29" ht="1.5" hidden="1" customHeight="1" x14ac:dyDescent="0.3">
      <c r="A739" s="159" t="s">
        <v>156</v>
      </c>
      <c r="B739" s="160" t="s">
        <v>19</v>
      </c>
      <c r="C739" s="160" t="s">
        <v>138</v>
      </c>
      <c r="D739" s="160" t="s">
        <v>132</v>
      </c>
      <c r="E739" s="139"/>
      <c r="F739" s="160"/>
      <c r="G739" s="160"/>
      <c r="H739" s="160"/>
      <c r="I739" s="160"/>
      <c r="J739" s="160"/>
      <c r="K739" s="160"/>
      <c r="L739" s="160"/>
      <c r="M739" s="160"/>
      <c r="N739" s="160"/>
      <c r="O739" s="160"/>
      <c r="P739" s="160"/>
      <c r="Q739" s="160"/>
      <c r="R739" s="160"/>
      <c r="S739" s="160"/>
      <c r="T739" s="160"/>
      <c r="U739" s="160"/>
      <c r="V739" s="212"/>
      <c r="W739" s="212"/>
      <c r="X739" s="212"/>
      <c r="Y739" s="159" t="s">
        <v>156</v>
      </c>
      <c r="Z739" s="213">
        <f t="shared" ref="Z739:AB740" si="25">Z740</f>
        <v>0</v>
      </c>
      <c r="AA739" s="213">
        <f t="shared" si="25"/>
        <v>0</v>
      </c>
      <c r="AB739" s="213">
        <f t="shared" si="25"/>
        <v>0</v>
      </c>
      <c r="AC739" s="288" t="s">
        <v>156</v>
      </c>
    </row>
    <row r="740" spans="1:29" ht="66.75" hidden="1" customHeight="1" x14ac:dyDescent="0.3">
      <c r="A740" s="153" t="s">
        <v>643</v>
      </c>
      <c r="B740" s="161" t="s">
        <v>19</v>
      </c>
      <c r="C740" s="161" t="s">
        <v>138</v>
      </c>
      <c r="D740" s="161" t="s">
        <v>132</v>
      </c>
      <c r="E740" s="230" t="s">
        <v>644</v>
      </c>
      <c r="F740" s="161"/>
      <c r="G740" s="161"/>
      <c r="H740" s="161"/>
      <c r="I740" s="161"/>
      <c r="J740" s="161"/>
      <c r="K740" s="161"/>
      <c r="L740" s="161"/>
      <c r="M740" s="161"/>
      <c r="N740" s="161"/>
      <c r="O740" s="161"/>
      <c r="P740" s="161"/>
      <c r="Q740" s="161"/>
      <c r="R740" s="161"/>
      <c r="S740" s="161"/>
      <c r="T740" s="161"/>
      <c r="U740" s="161"/>
      <c r="V740" s="204"/>
      <c r="W740" s="204"/>
      <c r="X740" s="204"/>
      <c r="Y740" s="153" t="s">
        <v>487</v>
      </c>
      <c r="Z740" s="235">
        <f t="shared" si="25"/>
        <v>0</v>
      </c>
      <c r="AA740" s="235">
        <f t="shared" si="25"/>
        <v>0</v>
      </c>
      <c r="AB740" s="235">
        <f t="shared" si="25"/>
        <v>0</v>
      </c>
      <c r="AC740" s="558" t="s">
        <v>487</v>
      </c>
    </row>
    <row r="741" spans="1:29" ht="73.5" hidden="1" customHeight="1" x14ac:dyDescent="0.3">
      <c r="A741" s="135" t="s">
        <v>488</v>
      </c>
      <c r="B741" s="136" t="s">
        <v>19</v>
      </c>
      <c r="C741" s="136" t="s">
        <v>138</v>
      </c>
      <c r="D741" s="136" t="s">
        <v>132</v>
      </c>
      <c r="E741" s="230" t="s">
        <v>644</v>
      </c>
      <c r="F741" s="136"/>
      <c r="G741" s="136"/>
      <c r="H741" s="136"/>
      <c r="I741" s="136"/>
      <c r="J741" s="136"/>
      <c r="K741" s="136"/>
      <c r="L741" s="136"/>
      <c r="M741" s="136"/>
      <c r="N741" s="136"/>
      <c r="O741" s="136"/>
      <c r="P741" s="136"/>
      <c r="Q741" s="136"/>
      <c r="R741" s="136"/>
      <c r="S741" s="136"/>
      <c r="T741" s="136" t="s">
        <v>294</v>
      </c>
      <c r="U741" s="136"/>
      <c r="V741" s="137"/>
      <c r="W741" s="137"/>
      <c r="X741" s="137"/>
      <c r="Y741" s="135" t="s">
        <v>488</v>
      </c>
      <c r="Z741" s="210">
        <f>7636834.56-2600000-5036834.56</f>
        <v>0</v>
      </c>
      <c r="AA741" s="210">
        <f>7636834.56-7636834.56</f>
        <v>0</v>
      </c>
      <c r="AB741" s="210">
        <f>7636834.56-7636834.56</f>
        <v>0</v>
      </c>
      <c r="AC741" s="211" t="s">
        <v>488</v>
      </c>
    </row>
    <row r="742" spans="1:29" ht="24" customHeight="1" x14ac:dyDescent="0.3">
      <c r="A742" s="159" t="s">
        <v>745</v>
      </c>
      <c r="B742" s="160" t="s">
        <v>19</v>
      </c>
      <c r="C742" s="160" t="s">
        <v>138</v>
      </c>
      <c r="D742" s="160" t="s">
        <v>123</v>
      </c>
      <c r="E742" s="230"/>
      <c r="F742" s="136"/>
      <c r="G742" s="136"/>
      <c r="H742" s="136"/>
      <c r="I742" s="136"/>
      <c r="J742" s="136"/>
      <c r="K742" s="136"/>
      <c r="L742" s="136"/>
      <c r="M742" s="136"/>
      <c r="N742" s="136"/>
      <c r="O742" s="136"/>
      <c r="P742" s="136"/>
      <c r="Q742" s="136"/>
      <c r="R742" s="136"/>
      <c r="S742" s="136"/>
      <c r="T742" s="136"/>
      <c r="U742" s="136"/>
      <c r="V742" s="137"/>
      <c r="W742" s="137"/>
      <c r="X742" s="137"/>
      <c r="Y742" s="135"/>
      <c r="Z742" s="210">
        <f>Z747+Z745+Z744</f>
        <v>9422801.5</v>
      </c>
      <c r="AA742" s="210">
        <f>AA747+AA745</f>
        <v>8631387.4399999995</v>
      </c>
      <c r="AB742" s="210">
        <f>AB747+AB745</f>
        <v>8631387.4399999995</v>
      </c>
      <c r="AC742" s="211"/>
    </row>
    <row r="743" spans="1:29" ht="154.5" customHeight="1" x14ac:dyDescent="0.3">
      <c r="A743" s="153" t="s">
        <v>1335</v>
      </c>
      <c r="B743" s="161" t="s">
        <v>19</v>
      </c>
      <c r="C743" s="161" t="s">
        <v>138</v>
      </c>
      <c r="D743" s="161" t="s">
        <v>123</v>
      </c>
      <c r="E743" s="230" t="s">
        <v>644</v>
      </c>
      <c r="F743" s="161"/>
      <c r="G743" s="161"/>
      <c r="H743" s="161"/>
      <c r="I743" s="161"/>
      <c r="J743" s="161"/>
      <c r="K743" s="161"/>
      <c r="L743" s="161"/>
      <c r="M743" s="161"/>
      <c r="N743" s="161"/>
      <c r="O743" s="161"/>
      <c r="P743" s="161"/>
      <c r="Q743" s="161"/>
      <c r="R743" s="161"/>
      <c r="S743" s="161"/>
      <c r="T743" s="161"/>
      <c r="U743" s="136"/>
      <c r="V743" s="137"/>
      <c r="W743" s="137"/>
      <c r="X743" s="137"/>
      <c r="Y743" s="135"/>
      <c r="Z743" s="210">
        <f>Z744</f>
        <v>501484</v>
      </c>
      <c r="AA743" s="210">
        <v>0</v>
      </c>
      <c r="AB743" s="210">
        <v>0</v>
      </c>
      <c r="AC743" s="211"/>
    </row>
    <row r="744" spans="1:29" ht="63" customHeight="1" x14ac:dyDescent="0.3">
      <c r="A744" s="135" t="s">
        <v>708</v>
      </c>
      <c r="B744" s="136" t="s">
        <v>19</v>
      </c>
      <c r="C744" s="136" t="s">
        <v>138</v>
      </c>
      <c r="D744" s="136" t="s">
        <v>123</v>
      </c>
      <c r="E744" s="230" t="s">
        <v>644</v>
      </c>
      <c r="F744" s="136"/>
      <c r="G744" s="136"/>
      <c r="H744" s="136"/>
      <c r="I744" s="136"/>
      <c r="J744" s="136"/>
      <c r="K744" s="136"/>
      <c r="L744" s="136"/>
      <c r="M744" s="136"/>
      <c r="N744" s="136"/>
      <c r="O744" s="136"/>
      <c r="P744" s="136"/>
      <c r="Q744" s="136"/>
      <c r="R744" s="136"/>
      <c r="S744" s="136"/>
      <c r="T744" s="136" t="s">
        <v>294</v>
      </c>
      <c r="U744" s="136"/>
      <c r="V744" s="137"/>
      <c r="W744" s="137"/>
      <c r="X744" s="137"/>
      <c r="Y744" s="135"/>
      <c r="Z744" s="210">
        <v>501484</v>
      </c>
      <c r="AA744" s="210">
        <v>0</v>
      </c>
      <c r="AB744" s="210">
        <v>0</v>
      </c>
      <c r="AC744" s="211"/>
    </row>
    <row r="745" spans="1:29" ht="141.75" customHeight="1" x14ac:dyDescent="0.3">
      <c r="A745" s="155" t="s">
        <v>1326</v>
      </c>
      <c r="B745" s="161" t="s">
        <v>19</v>
      </c>
      <c r="C745" s="161" t="s">
        <v>138</v>
      </c>
      <c r="D745" s="161" t="s">
        <v>123</v>
      </c>
      <c r="E745" s="230" t="s">
        <v>1101</v>
      </c>
      <c r="F745" s="136"/>
      <c r="G745" s="136"/>
      <c r="H745" s="136"/>
      <c r="I745" s="136"/>
      <c r="J745" s="136"/>
      <c r="K745" s="136"/>
      <c r="L745" s="136"/>
      <c r="M745" s="136"/>
      <c r="N745" s="136"/>
      <c r="O745" s="136"/>
      <c r="P745" s="136"/>
      <c r="Q745" s="136"/>
      <c r="R745" s="136"/>
      <c r="S745" s="136"/>
      <c r="T745" s="136"/>
      <c r="U745" s="136"/>
      <c r="V745" s="137"/>
      <c r="W745" s="137"/>
      <c r="X745" s="137"/>
      <c r="Y745" s="135"/>
      <c r="Z745" s="210">
        <f>Z746</f>
        <v>8921317.5</v>
      </c>
      <c r="AA745" s="210">
        <f>AA746</f>
        <v>8631387.4399999995</v>
      </c>
      <c r="AB745" s="210">
        <f>AB746</f>
        <v>8631387.4399999995</v>
      </c>
      <c r="AC745" s="211"/>
    </row>
    <row r="746" spans="1:29" ht="61.5" customHeight="1" x14ac:dyDescent="0.3">
      <c r="A746" s="1013" t="s">
        <v>1097</v>
      </c>
      <c r="B746" s="1067" t="s">
        <v>19</v>
      </c>
      <c r="C746" s="1067" t="s">
        <v>138</v>
      </c>
      <c r="D746" s="1067" t="s">
        <v>123</v>
      </c>
      <c r="E746" s="1015" t="s">
        <v>1101</v>
      </c>
      <c r="F746" s="1016"/>
      <c r="G746" s="1016"/>
      <c r="H746" s="1016"/>
      <c r="I746" s="1016"/>
      <c r="J746" s="1016"/>
      <c r="K746" s="1016"/>
      <c r="L746" s="1016"/>
      <c r="M746" s="1016"/>
      <c r="N746" s="1016"/>
      <c r="O746" s="1016"/>
      <c r="P746" s="1016"/>
      <c r="Q746" s="1016"/>
      <c r="R746" s="1016"/>
      <c r="S746" s="1016"/>
      <c r="T746" s="1016" t="s">
        <v>294</v>
      </c>
      <c r="U746" s="1016"/>
      <c r="V746" s="1017"/>
      <c r="W746" s="1017"/>
      <c r="X746" s="1017"/>
      <c r="Y746" s="1013"/>
      <c r="Z746" s="1019">
        <f>8631387.44+289930.06</f>
        <v>8921317.5</v>
      </c>
      <c r="AA746" s="210">
        <v>8631387.4399999995</v>
      </c>
      <c r="AB746" s="210">
        <v>8631387.4399999995</v>
      </c>
      <c r="AC746" s="211"/>
    </row>
    <row r="747" spans="1:29" ht="150" hidden="1" customHeight="1" x14ac:dyDescent="0.3">
      <c r="A747" s="153" t="s">
        <v>643</v>
      </c>
      <c r="B747" s="161" t="s">
        <v>19</v>
      </c>
      <c r="C747" s="161" t="s">
        <v>138</v>
      </c>
      <c r="D747" s="161" t="s">
        <v>123</v>
      </c>
      <c r="E747" s="230" t="s">
        <v>644</v>
      </c>
      <c r="F747" s="161"/>
      <c r="G747" s="161"/>
      <c r="H747" s="161"/>
      <c r="I747" s="161"/>
      <c r="J747" s="161"/>
      <c r="K747" s="161"/>
      <c r="L747" s="161"/>
      <c r="M747" s="161"/>
      <c r="N747" s="161"/>
      <c r="O747" s="161"/>
      <c r="P747" s="161"/>
      <c r="Q747" s="161"/>
      <c r="R747" s="161"/>
      <c r="S747" s="161"/>
      <c r="T747" s="161"/>
      <c r="U747" s="136"/>
      <c r="V747" s="137"/>
      <c r="W747" s="137"/>
      <c r="X747" s="137"/>
      <c r="Y747" s="135"/>
      <c r="Z747" s="210">
        <f>Z748</f>
        <v>0</v>
      </c>
      <c r="AA747" s="210">
        <f t="shared" ref="AA747:AB747" si="26">AA748</f>
        <v>0</v>
      </c>
      <c r="AB747" s="210">
        <f t="shared" si="26"/>
        <v>0</v>
      </c>
      <c r="AC747" s="211"/>
    </row>
    <row r="748" spans="1:29" ht="0.75" customHeight="1" x14ac:dyDescent="0.3">
      <c r="A748" s="135" t="s">
        <v>488</v>
      </c>
      <c r="B748" s="136" t="s">
        <v>19</v>
      </c>
      <c r="C748" s="136" t="s">
        <v>138</v>
      </c>
      <c r="D748" s="136" t="s">
        <v>123</v>
      </c>
      <c r="E748" s="230" t="s">
        <v>644</v>
      </c>
      <c r="F748" s="136"/>
      <c r="G748" s="136"/>
      <c r="H748" s="136"/>
      <c r="I748" s="136"/>
      <c r="J748" s="136"/>
      <c r="K748" s="136"/>
      <c r="L748" s="136"/>
      <c r="M748" s="136"/>
      <c r="N748" s="136"/>
      <c r="O748" s="136"/>
      <c r="P748" s="136"/>
      <c r="Q748" s="136"/>
      <c r="R748" s="136"/>
      <c r="S748" s="136"/>
      <c r="T748" s="136" t="s">
        <v>294</v>
      </c>
      <c r="U748" s="136"/>
      <c r="V748" s="137"/>
      <c r="W748" s="137"/>
      <c r="X748" s="137"/>
      <c r="Y748" s="135"/>
      <c r="Z748" s="210">
        <v>0</v>
      </c>
      <c r="AA748" s="210">
        <v>0</v>
      </c>
      <c r="AB748" s="210">
        <v>0</v>
      </c>
      <c r="AC748" s="211"/>
    </row>
    <row r="749" spans="1:29" ht="18.600000000000001" customHeight="1" x14ac:dyDescent="0.3">
      <c r="A749" s="159" t="s">
        <v>379</v>
      </c>
      <c r="B749" s="160" t="s">
        <v>19</v>
      </c>
      <c r="C749" s="160" t="s">
        <v>126</v>
      </c>
      <c r="D749" s="160" t="s">
        <v>133</v>
      </c>
      <c r="E749" s="139"/>
      <c r="F749" s="160"/>
      <c r="G749" s="160"/>
      <c r="H749" s="160"/>
      <c r="I749" s="160"/>
      <c r="J749" s="160"/>
      <c r="K749" s="160"/>
      <c r="L749" s="160"/>
      <c r="M749" s="160"/>
      <c r="N749" s="160"/>
      <c r="O749" s="160"/>
      <c r="P749" s="160"/>
      <c r="Q749" s="160"/>
      <c r="R749" s="160"/>
      <c r="S749" s="160"/>
      <c r="T749" s="160"/>
      <c r="U749" s="160"/>
      <c r="V749" s="212"/>
      <c r="W749" s="212"/>
      <c r="X749" s="212"/>
      <c r="Y749" s="159" t="s">
        <v>379</v>
      </c>
      <c r="Z749" s="213">
        <f>Z750</f>
        <v>18644162.580000002</v>
      </c>
      <c r="AA749" s="213">
        <f>AA750</f>
        <v>19984068.469999999</v>
      </c>
      <c r="AB749" s="213">
        <f>AB750</f>
        <v>19984068.469999999</v>
      </c>
      <c r="AC749" s="288" t="s">
        <v>379</v>
      </c>
    </row>
    <row r="750" spans="1:29" ht="18.600000000000001" customHeight="1" x14ac:dyDescent="0.3">
      <c r="A750" s="159" t="s">
        <v>159</v>
      </c>
      <c r="B750" s="160" t="s">
        <v>19</v>
      </c>
      <c r="C750" s="160" t="s">
        <v>126</v>
      </c>
      <c r="D750" s="160" t="s">
        <v>122</v>
      </c>
      <c r="E750" s="139"/>
      <c r="F750" s="160"/>
      <c r="G750" s="160"/>
      <c r="H750" s="160"/>
      <c r="I750" s="160"/>
      <c r="J750" s="160"/>
      <c r="K750" s="160"/>
      <c r="L750" s="160"/>
      <c r="M750" s="160"/>
      <c r="N750" s="160"/>
      <c r="O750" s="160"/>
      <c r="P750" s="160"/>
      <c r="Q750" s="160"/>
      <c r="R750" s="160"/>
      <c r="S750" s="160"/>
      <c r="T750" s="160"/>
      <c r="U750" s="160"/>
      <c r="V750" s="212"/>
      <c r="W750" s="212"/>
      <c r="X750" s="212"/>
      <c r="Y750" s="159" t="s">
        <v>159</v>
      </c>
      <c r="Z750" s="213">
        <f>Z753+Z757+Z761+Z763+Z751+Z755+Z759</f>
        <v>18644162.580000002</v>
      </c>
      <c r="AA750" s="213">
        <f>AA753+AA757+AA761+AA763</f>
        <v>19984068.469999999</v>
      </c>
      <c r="AB750" s="213">
        <f>AB753+AB757+AB761+AB763</f>
        <v>19984068.469999999</v>
      </c>
      <c r="AC750" s="288" t="s">
        <v>159</v>
      </c>
    </row>
    <row r="751" spans="1:29" ht="112.5" customHeight="1" x14ac:dyDescent="0.3">
      <c r="A751" s="153" t="s">
        <v>1337</v>
      </c>
      <c r="B751" s="161" t="s">
        <v>19</v>
      </c>
      <c r="C751" s="161" t="s">
        <v>126</v>
      </c>
      <c r="D751" s="161" t="s">
        <v>122</v>
      </c>
      <c r="E751" s="230" t="s">
        <v>1336</v>
      </c>
      <c r="F751" s="161"/>
      <c r="G751" s="161"/>
      <c r="H751" s="161"/>
      <c r="I751" s="161"/>
      <c r="J751" s="161"/>
      <c r="K751" s="161"/>
      <c r="L751" s="161"/>
      <c r="M751" s="161"/>
      <c r="N751" s="161"/>
      <c r="O751" s="161"/>
      <c r="P751" s="161"/>
      <c r="Q751" s="161"/>
      <c r="R751" s="161"/>
      <c r="S751" s="161"/>
      <c r="T751" s="161"/>
      <c r="U751" s="160"/>
      <c r="V751" s="212"/>
      <c r="W751" s="212"/>
      <c r="X751" s="212"/>
      <c r="Y751" s="159"/>
      <c r="Z751" s="235">
        <f>Z752</f>
        <v>192657</v>
      </c>
      <c r="AA751" s="235">
        <v>0</v>
      </c>
      <c r="AB751" s="235">
        <v>0</v>
      </c>
      <c r="AC751" s="288"/>
    </row>
    <row r="752" spans="1:29" ht="60.75" customHeight="1" x14ac:dyDescent="0.3">
      <c r="A752" s="135" t="s">
        <v>708</v>
      </c>
      <c r="B752" s="136" t="s">
        <v>19</v>
      </c>
      <c r="C752" s="136" t="s">
        <v>126</v>
      </c>
      <c r="D752" s="136" t="s">
        <v>122</v>
      </c>
      <c r="E752" s="230" t="s">
        <v>1336</v>
      </c>
      <c r="F752" s="136"/>
      <c r="G752" s="136"/>
      <c r="H752" s="136"/>
      <c r="I752" s="136"/>
      <c r="J752" s="136"/>
      <c r="K752" s="136"/>
      <c r="L752" s="136"/>
      <c r="M752" s="136"/>
      <c r="N752" s="136"/>
      <c r="O752" s="136"/>
      <c r="P752" s="136"/>
      <c r="Q752" s="136"/>
      <c r="R752" s="136"/>
      <c r="S752" s="136"/>
      <c r="T752" s="136" t="s">
        <v>294</v>
      </c>
      <c r="U752" s="160"/>
      <c r="V752" s="212"/>
      <c r="W752" s="212"/>
      <c r="X752" s="212"/>
      <c r="Y752" s="159"/>
      <c r="Z752" s="235">
        <f>238657-43000-3000</f>
        <v>192657</v>
      </c>
      <c r="AA752" s="235">
        <v>0</v>
      </c>
      <c r="AB752" s="235">
        <v>0</v>
      </c>
      <c r="AC752" s="288"/>
    </row>
    <row r="753" spans="1:31" ht="145.5" customHeight="1" x14ac:dyDescent="0.3">
      <c r="A753" s="155" t="s">
        <v>1315</v>
      </c>
      <c r="B753" s="161" t="s">
        <v>19</v>
      </c>
      <c r="C753" s="161" t="s">
        <v>126</v>
      </c>
      <c r="D753" s="161" t="s">
        <v>122</v>
      </c>
      <c r="E753" s="230" t="s">
        <v>1321</v>
      </c>
      <c r="F753" s="161"/>
      <c r="G753" s="161"/>
      <c r="H753" s="161"/>
      <c r="I753" s="161"/>
      <c r="J753" s="161"/>
      <c r="K753" s="161"/>
      <c r="L753" s="161"/>
      <c r="M753" s="161"/>
      <c r="N753" s="161"/>
      <c r="O753" s="161"/>
      <c r="P753" s="161"/>
      <c r="Q753" s="161"/>
      <c r="R753" s="161"/>
      <c r="S753" s="161"/>
      <c r="T753" s="161"/>
      <c r="U753" s="161"/>
      <c r="V753" s="204"/>
      <c r="W753" s="204"/>
      <c r="X753" s="204"/>
      <c r="Y753" s="153" t="s">
        <v>489</v>
      </c>
      <c r="Z753" s="235">
        <f>Z754</f>
        <v>8534222.4399999995</v>
      </c>
      <c r="AA753" s="235">
        <f>AA754</f>
        <v>6836053.7699999996</v>
      </c>
      <c r="AB753" s="235">
        <f>AB754</f>
        <v>6836053.7699999996</v>
      </c>
      <c r="AC753" s="558" t="s">
        <v>489</v>
      </c>
    </row>
    <row r="754" spans="1:31" ht="62.25" customHeight="1" x14ac:dyDescent="0.3">
      <c r="A754" s="1013" t="s">
        <v>1097</v>
      </c>
      <c r="B754" s="1016" t="s">
        <v>19</v>
      </c>
      <c r="C754" s="1016" t="s">
        <v>126</v>
      </c>
      <c r="D754" s="1016" t="s">
        <v>122</v>
      </c>
      <c r="E754" s="1015" t="s">
        <v>1321</v>
      </c>
      <c r="F754" s="1016"/>
      <c r="G754" s="1016"/>
      <c r="H754" s="1016"/>
      <c r="I754" s="1016"/>
      <c r="J754" s="1016"/>
      <c r="K754" s="1016"/>
      <c r="L754" s="1016"/>
      <c r="M754" s="1016"/>
      <c r="N754" s="1016"/>
      <c r="O754" s="1016"/>
      <c r="P754" s="1016"/>
      <c r="Q754" s="1016"/>
      <c r="R754" s="1016"/>
      <c r="S754" s="1016"/>
      <c r="T754" s="1016" t="s">
        <v>294</v>
      </c>
      <c r="U754" s="1016"/>
      <c r="V754" s="1017"/>
      <c r="W754" s="1017"/>
      <c r="X754" s="1017"/>
      <c r="Y754" s="1013" t="s">
        <v>490</v>
      </c>
      <c r="Z754" s="1019">
        <f>6836053.77+1215000+483168.67</f>
        <v>8534222.4399999995</v>
      </c>
      <c r="AA754" s="210">
        <v>6836053.7699999996</v>
      </c>
      <c r="AB754" s="210">
        <v>6836053.7699999996</v>
      </c>
      <c r="AC754" s="211" t="s">
        <v>490</v>
      </c>
    </row>
    <row r="755" spans="1:31" ht="114" customHeight="1" x14ac:dyDescent="0.3">
      <c r="A755" s="153" t="s">
        <v>1339</v>
      </c>
      <c r="B755" s="161" t="s">
        <v>19</v>
      </c>
      <c r="C755" s="161" t="s">
        <v>126</v>
      </c>
      <c r="D755" s="161" t="s">
        <v>122</v>
      </c>
      <c r="E755" s="230" t="s">
        <v>1338</v>
      </c>
      <c r="F755" s="161"/>
      <c r="G755" s="161"/>
      <c r="H755" s="161"/>
      <c r="I755" s="161"/>
      <c r="J755" s="161"/>
      <c r="K755" s="161"/>
      <c r="L755" s="161"/>
      <c r="M755" s="161"/>
      <c r="N755" s="161"/>
      <c r="O755" s="161"/>
      <c r="P755" s="161"/>
      <c r="Q755" s="161"/>
      <c r="R755" s="161"/>
      <c r="S755" s="161"/>
      <c r="T755" s="161"/>
      <c r="U755" s="136"/>
      <c r="V755" s="137"/>
      <c r="W755" s="137"/>
      <c r="X755" s="137"/>
      <c r="Y755" s="135"/>
      <c r="Z755" s="210">
        <f>Z756</f>
        <v>86388</v>
      </c>
      <c r="AA755" s="210">
        <v>0</v>
      </c>
      <c r="AB755" s="210">
        <v>0</v>
      </c>
      <c r="AC755" s="211"/>
    </row>
    <row r="756" spans="1:31" ht="58.9" customHeight="1" x14ac:dyDescent="0.3">
      <c r="A756" s="135" t="s">
        <v>708</v>
      </c>
      <c r="B756" s="136" t="s">
        <v>19</v>
      </c>
      <c r="C756" s="136" t="s">
        <v>126</v>
      </c>
      <c r="D756" s="136" t="s">
        <v>122</v>
      </c>
      <c r="E756" s="230" t="s">
        <v>1338</v>
      </c>
      <c r="F756" s="136"/>
      <c r="G756" s="136"/>
      <c r="H756" s="136"/>
      <c r="I756" s="136"/>
      <c r="J756" s="136"/>
      <c r="K756" s="136"/>
      <c r="L756" s="136"/>
      <c r="M756" s="136"/>
      <c r="N756" s="136"/>
      <c r="O756" s="136"/>
      <c r="P756" s="136"/>
      <c r="Q756" s="136"/>
      <c r="R756" s="136"/>
      <c r="S756" s="136"/>
      <c r="T756" s="136" t="s">
        <v>294</v>
      </c>
      <c r="U756" s="136"/>
      <c r="V756" s="137"/>
      <c r="W756" s="137"/>
      <c r="X756" s="137"/>
      <c r="Y756" s="135"/>
      <c r="Z756" s="210">
        <f>286388-200000</f>
        <v>86388</v>
      </c>
      <c r="AA756" s="210">
        <v>0</v>
      </c>
      <c r="AB756" s="210">
        <v>0</v>
      </c>
      <c r="AC756" s="211"/>
    </row>
    <row r="757" spans="1:31" ht="136.15" customHeight="1" x14ac:dyDescent="0.3">
      <c r="A757" s="155" t="s">
        <v>1316</v>
      </c>
      <c r="B757" s="161" t="s">
        <v>19</v>
      </c>
      <c r="C757" s="161" t="s">
        <v>126</v>
      </c>
      <c r="D757" s="161" t="s">
        <v>122</v>
      </c>
      <c r="E757" s="230" t="s">
        <v>1322</v>
      </c>
      <c r="F757" s="161"/>
      <c r="G757" s="161"/>
      <c r="H757" s="161"/>
      <c r="I757" s="161"/>
      <c r="J757" s="161"/>
      <c r="K757" s="161"/>
      <c r="L757" s="161"/>
      <c r="M757" s="161"/>
      <c r="N757" s="161"/>
      <c r="O757" s="161"/>
      <c r="P757" s="161"/>
      <c r="Q757" s="161"/>
      <c r="R757" s="161"/>
      <c r="S757" s="161"/>
      <c r="T757" s="161"/>
      <c r="U757" s="161"/>
      <c r="V757" s="204"/>
      <c r="W757" s="204"/>
      <c r="X757" s="204"/>
      <c r="Y757" s="153" t="s">
        <v>491</v>
      </c>
      <c r="Z757" s="235">
        <f>Z758</f>
        <v>4469259.1800000006</v>
      </c>
      <c r="AA757" s="235">
        <f>AA758</f>
        <v>5068123.9000000004</v>
      </c>
      <c r="AB757" s="235">
        <f>AB758</f>
        <v>5068123.9000000004</v>
      </c>
      <c r="AC757" s="558" t="s">
        <v>491</v>
      </c>
    </row>
    <row r="758" spans="1:31" ht="51.75" customHeight="1" x14ac:dyDescent="0.3">
      <c r="A758" s="1013" t="s">
        <v>708</v>
      </c>
      <c r="B758" s="1016" t="s">
        <v>19</v>
      </c>
      <c r="C758" s="1016" t="s">
        <v>126</v>
      </c>
      <c r="D758" s="1016" t="s">
        <v>122</v>
      </c>
      <c r="E758" s="1015" t="s">
        <v>1322</v>
      </c>
      <c r="F758" s="1016"/>
      <c r="G758" s="1016"/>
      <c r="H758" s="1016"/>
      <c r="I758" s="1016"/>
      <c r="J758" s="1016"/>
      <c r="K758" s="1016"/>
      <c r="L758" s="1016"/>
      <c r="M758" s="1016"/>
      <c r="N758" s="1016"/>
      <c r="O758" s="1016"/>
      <c r="P758" s="1016"/>
      <c r="Q758" s="1016"/>
      <c r="R758" s="1016"/>
      <c r="S758" s="1016"/>
      <c r="T758" s="1016" t="s">
        <v>294</v>
      </c>
      <c r="U758" s="1016"/>
      <c r="V758" s="1017"/>
      <c r="W758" s="1017"/>
      <c r="X758" s="1017"/>
      <c r="Y758" s="1013" t="s">
        <v>492</v>
      </c>
      <c r="Z758" s="1019">
        <f>5068123.9-598864.72</f>
        <v>4469259.1800000006</v>
      </c>
      <c r="AA758" s="210">
        <v>5068123.9000000004</v>
      </c>
      <c r="AB758" s="210">
        <v>5068123.9000000004</v>
      </c>
      <c r="AC758" s="211" t="s">
        <v>492</v>
      </c>
    </row>
    <row r="759" spans="1:31" ht="109.5" customHeight="1" x14ac:dyDescent="0.3">
      <c r="A759" s="153" t="s">
        <v>1341</v>
      </c>
      <c r="B759" s="161" t="s">
        <v>19</v>
      </c>
      <c r="C759" s="161" t="s">
        <v>126</v>
      </c>
      <c r="D759" s="161" t="s">
        <v>122</v>
      </c>
      <c r="E759" s="230" t="s">
        <v>1340</v>
      </c>
      <c r="F759" s="161"/>
      <c r="G759" s="161"/>
      <c r="H759" s="161"/>
      <c r="I759" s="161"/>
      <c r="J759" s="161"/>
      <c r="K759" s="161"/>
      <c r="L759" s="161"/>
      <c r="M759" s="161"/>
      <c r="N759" s="161"/>
      <c r="O759" s="161"/>
      <c r="P759" s="161"/>
      <c r="Q759" s="161"/>
      <c r="R759" s="161"/>
      <c r="S759" s="161"/>
      <c r="T759" s="161"/>
      <c r="U759" s="136"/>
      <c r="V759" s="137"/>
      <c r="W759" s="137"/>
      <c r="X759" s="137"/>
      <c r="Y759" s="135"/>
      <c r="Z759" s="210">
        <f>Z760</f>
        <v>85646.57</v>
      </c>
      <c r="AA759" s="210">
        <v>0</v>
      </c>
      <c r="AB759" s="210">
        <v>0</v>
      </c>
      <c r="AC759" s="211"/>
    </row>
    <row r="760" spans="1:31" ht="51.75" customHeight="1" x14ac:dyDescent="0.3">
      <c r="A760" s="135" t="s">
        <v>708</v>
      </c>
      <c r="B760" s="136" t="s">
        <v>19</v>
      </c>
      <c r="C760" s="136" t="s">
        <v>126</v>
      </c>
      <c r="D760" s="165" t="s">
        <v>122</v>
      </c>
      <c r="E760" s="230" t="s">
        <v>1340</v>
      </c>
      <c r="F760" s="136"/>
      <c r="G760" s="136"/>
      <c r="H760" s="136"/>
      <c r="I760" s="136"/>
      <c r="J760" s="136"/>
      <c r="K760" s="136"/>
      <c r="L760" s="136"/>
      <c r="M760" s="136"/>
      <c r="N760" s="136"/>
      <c r="O760" s="136"/>
      <c r="P760" s="136"/>
      <c r="Q760" s="136"/>
      <c r="R760" s="136"/>
      <c r="S760" s="136"/>
      <c r="T760" s="136" t="s">
        <v>294</v>
      </c>
      <c r="U760" s="136"/>
      <c r="V760" s="137"/>
      <c r="W760" s="137"/>
      <c r="X760" s="137"/>
      <c r="Y760" s="135"/>
      <c r="Z760" s="210">
        <f>620507-300000-280860.43+43000+3000</f>
        <v>85646.57</v>
      </c>
      <c r="AA760" s="210">
        <v>0</v>
      </c>
      <c r="AB760" s="210">
        <v>0</v>
      </c>
      <c r="AC760" s="211"/>
    </row>
    <row r="761" spans="1:31" ht="137.25" customHeight="1" x14ac:dyDescent="0.3">
      <c r="A761" s="155" t="s">
        <v>1317</v>
      </c>
      <c r="B761" s="161" t="s">
        <v>19</v>
      </c>
      <c r="C761" s="161" t="s">
        <v>126</v>
      </c>
      <c r="D761" s="161" t="s">
        <v>122</v>
      </c>
      <c r="E761" s="230" t="s">
        <v>1323</v>
      </c>
      <c r="F761" s="161"/>
      <c r="G761" s="161"/>
      <c r="H761" s="161"/>
      <c r="I761" s="161"/>
      <c r="J761" s="161"/>
      <c r="K761" s="161"/>
      <c r="L761" s="161"/>
      <c r="M761" s="161"/>
      <c r="N761" s="161"/>
      <c r="O761" s="161"/>
      <c r="P761" s="161"/>
      <c r="Q761" s="161"/>
      <c r="R761" s="161"/>
      <c r="S761" s="161"/>
      <c r="T761" s="161"/>
      <c r="U761" s="161"/>
      <c r="V761" s="204"/>
      <c r="W761" s="204"/>
      <c r="X761" s="204"/>
      <c r="Y761" s="153" t="s">
        <v>493</v>
      </c>
      <c r="Z761" s="235">
        <f>Z762</f>
        <v>5275989.3899999997</v>
      </c>
      <c r="AA761" s="235">
        <f>AA762</f>
        <v>8079890.7999999998</v>
      </c>
      <c r="AB761" s="235">
        <f>AB762</f>
        <v>8079890.7999999998</v>
      </c>
      <c r="AC761" s="558" t="s">
        <v>493</v>
      </c>
    </row>
    <row r="762" spans="1:31" ht="56.25" customHeight="1" x14ac:dyDescent="0.3">
      <c r="A762" s="1013" t="s">
        <v>708</v>
      </c>
      <c r="B762" s="1016" t="s">
        <v>19</v>
      </c>
      <c r="C762" s="1016" t="s">
        <v>126</v>
      </c>
      <c r="D762" s="1092" t="s">
        <v>122</v>
      </c>
      <c r="E762" s="1015" t="s">
        <v>1323</v>
      </c>
      <c r="F762" s="1016"/>
      <c r="G762" s="1016"/>
      <c r="H762" s="1016"/>
      <c r="I762" s="1016"/>
      <c r="J762" s="1016"/>
      <c r="K762" s="1016"/>
      <c r="L762" s="1016"/>
      <c r="M762" s="1016"/>
      <c r="N762" s="1016"/>
      <c r="O762" s="1016"/>
      <c r="P762" s="1016"/>
      <c r="Q762" s="1016"/>
      <c r="R762" s="1016"/>
      <c r="S762" s="1016"/>
      <c r="T762" s="1016" t="s">
        <v>294</v>
      </c>
      <c r="U762" s="1016"/>
      <c r="V762" s="1017"/>
      <c r="W762" s="1017"/>
      <c r="X762" s="1017"/>
      <c r="Y762" s="1013" t="s">
        <v>494</v>
      </c>
      <c r="Z762" s="1019">
        <f>8079890.8-1215000-602839.71-986061.7</f>
        <v>5275989.3899999997</v>
      </c>
      <c r="AA762" s="210">
        <v>8079890.7999999998</v>
      </c>
      <c r="AB762" s="210">
        <v>8079890.7999999998</v>
      </c>
      <c r="AC762" s="211" t="s">
        <v>494</v>
      </c>
    </row>
    <row r="763" spans="1:31" ht="1.5" hidden="1" customHeight="1" x14ac:dyDescent="0.3">
      <c r="A763" s="155" t="s">
        <v>1096</v>
      </c>
      <c r="B763" s="136" t="s">
        <v>19</v>
      </c>
      <c r="C763" s="136" t="s">
        <v>126</v>
      </c>
      <c r="D763" s="165" t="s">
        <v>122</v>
      </c>
      <c r="E763" s="161" t="s">
        <v>1094</v>
      </c>
      <c r="F763" s="136"/>
      <c r="G763" s="136"/>
      <c r="H763" s="136"/>
      <c r="I763" s="136"/>
      <c r="J763" s="136"/>
      <c r="K763" s="136"/>
      <c r="L763" s="136"/>
      <c r="M763" s="136"/>
      <c r="N763" s="136"/>
      <c r="O763" s="136"/>
      <c r="P763" s="136"/>
      <c r="Q763" s="136"/>
      <c r="R763" s="136"/>
      <c r="S763" s="136"/>
      <c r="T763" s="136"/>
      <c r="U763" s="136"/>
      <c r="V763" s="137"/>
      <c r="W763" s="137"/>
      <c r="X763" s="137"/>
      <c r="Y763" s="135"/>
      <c r="Z763" s="210">
        <f>Z764</f>
        <v>0</v>
      </c>
      <c r="AA763" s="210">
        <f>AA764</f>
        <v>0</v>
      </c>
      <c r="AB763" s="210">
        <f>AB764</f>
        <v>0</v>
      </c>
      <c r="AC763" s="211"/>
    </row>
    <row r="764" spans="1:31" ht="58.5" hidden="1" customHeight="1" x14ac:dyDescent="0.3">
      <c r="A764" s="135" t="s">
        <v>708</v>
      </c>
      <c r="B764" s="136" t="s">
        <v>19</v>
      </c>
      <c r="C764" s="136" t="s">
        <v>126</v>
      </c>
      <c r="D764" s="165" t="s">
        <v>122</v>
      </c>
      <c r="E764" s="161" t="s">
        <v>1094</v>
      </c>
      <c r="F764" s="136"/>
      <c r="G764" s="136"/>
      <c r="H764" s="136"/>
      <c r="I764" s="136"/>
      <c r="J764" s="136"/>
      <c r="K764" s="136"/>
      <c r="L764" s="136"/>
      <c r="M764" s="136"/>
      <c r="N764" s="136"/>
      <c r="O764" s="136"/>
      <c r="P764" s="136"/>
      <c r="Q764" s="136"/>
      <c r="R764" s="136"/>
      <c r="S764" s="136"/>
      <c r="T764" s="136" t="s">
        <v>294</v>
      </c>
      <c r="U764" s="136"/>
      <c r="V764" s="137"/>
      <c r="W764" s="137"/>
      <c r="X764" s="137"/>
      <c r="Y764" s="135"/>
      <c r="Z764" s="210">
        <v>0</v>
      </c>
      <c r="AA764" s="210">
        <v>0</v>
      </c>
      <c r="AB764" s="210">
        <v>0</v>
      </c>
      <c r="AC764" s="211"/>
    </row>
    <row r="765" spans="1:31" ht="27" customHeight="1" x14ac:dyDescent="0.3">
      <c r="A765" s="207" t="s">
        <v>495</v>
      </c>
      <c r="B765" s="160"/>
      <c r="C765" s="160"/>
      <c r="D765" s="160"/>
      <c r="E765" s="160"/>
      <c r="F765" s="160"/>
      <c r="G765" s="160"/>
      <c r="H765" s="160"/>
      <c r="I765" s="160"/>
      <c r="J765" s="160"/>
      <c r="K765" s="160"/>
      <c r="L765" s="160"/>
      <c r="M765" s="160"/>
      <c r="N765" s="160"/>
      <c r="O765" s="160"/>
      <c r="P765" s="160"/>
      <c r="Q765" s="160"/>
      <c r="R765" s="160"/>
      <c r="S765" s="160"/>
      <c r="T765" s="160"/>
      <c r="U765" s="160"/>
      <c r="V765" s="212"/>
      <c r="W765" s="212"/>
      <c r="X765" s="212"/>
      <c r="Y765" s="207" t="s">
        <v>495</v>
      </c>
      <c r="Z765" s="213">
        <f>Z11+Z363+Z596+Z718</f>
        <v>1006891333.1199999</v>
      </c>
      <c r="AA765" s="213">
        <f>AA11+AA363+AA596+AA718</f>
        <v>759856163.04999983</v>
      </c>
      <c r="AB765" s="213">
        <f>AB11+AB363+AB596+AB718</f>
        <v>784078404.68000007</v>
      </c>
      <c r="AC765" s="566" t="s">
        <v>495</v>
      </c>
      <c r="AE765" s="127"/>
    </row>
    <row r="766" spans="1:31" ht="19.5" customHeight="1" x14ac:dyDescent="0.3">
      <c r="A766" s="530"/>
      <c r="B766" s="530"/>
      <c r="C766" s="530"/>
      <c r="D766" s="530"/>
      <c r="E766" s="530"/>
      <c r="F766" s="530"/>
      <c r="G766" s="530"/>
      <c r="H766" s="530"/>
      <c r="I766" s="530"/>
      <c r="J766" s="530"/>
      <c r="K766" s="530"/>
      <c r="L766" s="530"/>
      <c r="M766" s="530"/>
      <c r="N766" s="530"/>
      <c r="O766" s="530"/>
      <c r="P766" s="530"/>
      <c r="Q766" s="530"/>
      <c r="R766" s="530"/>
      <c r="S766" s="530"/>
      <c r="T766" s="530"/>
      <c r="U766" s="530"/>
      <c r="V766" s="530"/>
      <c r="W766" s="530"/>
      <c r="X766" s="530"/>
      <c r="Y766" s="530"/>
      <c r="Z766" s="531"/>
      <c r="AA766" s="576"/>
      <c r="AB766" s="576"/>
      <c r="AC766" s="209"/>
    </row>
    <row r="767" spans="1:31" ht="0.75" customHeight="1" x14ac:dyDescent="0.3">
      <c r="A767" s="530"/>
      <c r="B767" s="530"/>
      <c r="C767" s="530"/>
      <c r="D767" s="530"/>
      <c r="E767" s="530"/>
      <c r="F767" s="530"/>
      <c r="G767" s="530"/>
      <c r="H767" s="530"/>
      <c r="I767" s="530"/>
      <c r="J767" s="530"/>
      <c r="K767" s="530"/>
      <c r="L767" s="530"/>
      <c r="M767" s="530"/>
      <c r="N767" s="530"/>
      <c r="O767" s="530"/>
      <c r="P767" s="530"/>
      <c r="Q767" s="530"/>
      <c r="R767" s="530"/>
      <c r="S767" s="530"/>
      <c r="T767" s="530"/>
      <c r="U767" s="530"/>
      <c r="V767" s="530"/>
      <c r="W767" s="530"/>
      <c r="X767" s="530"/>
      <c r="Y767" s="530"/>
      <c r="Z767" s="576">
        <f>П1ИВФ!C21+П2ДОХОДЫ!E177</f>
        <v>1006891333.1200001</v>
      </c>
      <c r="AA767" s="576">
        <f>П1ИВФ!D21+П2ДОХОДЫ!F177</f>
        <v>759856163.04999995</v>
      </c>
      <c r="AB767" s="576">
        <f>П1ИВФ!E21+П2ДОХОДЫ!G177</f>
        <v>784078404.68000007</v>
      </c>
      <c r="AC767" s="209"/>
    </row>
    <row r="768" spans="1:31" ht="37.5" hidden="1" customHeight="1" x14ac:dyDescent="0.3">
      <c r="A768" s="530"/>
      <c r="B768" s="530"/>
      <c r="C768" s="530"/>
      <c r="D768" s="530"/>
      <c r="E768" s="530"/>
      <c r="F768" s="530"/>
      <c r="G768" s="530"/>
      <c r="H768" s="530"/>
      <c r="I768" s="530"/>
      <c r="J768" s="530"/>
      <c r="K768" s="530"/>
      <c r="L768" s="530"/>
      <c r="M768" s="530"/>
      <c r="N768" s="530"/>
      <c r="O768" s="530"/>
      <c r="P768" s="530"/>
      <c r="Q768" s="530"/>
      <c r="R768" s="530"/>
      <c r="S768" s="530"/>
      <c r="T768" s="530"/>
      <c r="U768" s="530"/>
      <c r="V768" s="530"/>
      <c r="W768" s="530"/>
      <c r="X768" s="530"/>
      <c r="Y768" s="530"/>
      <c r="Z768" s="576">
        <f>П1ИВФ!C21+П2ДОХОДЫ!E177</f>
        <v>1006891333.1200001</v>
      </c>
      <c r="AA768" s="531"/>
      <c r="AB768" s="531"/>
      <c r="AC768" s="209"/>
    </row>
    <row r="769" spans="1:29" ht="52.5" hidden="1" customHeight="1" x14ac:dyDescent="0.3">
      <c r="A769" s="530"/>
      <c r="B769" s="530" t="s">
        <v>504</v>
      </c>
      <c r="C769" s="530"/>
      <c r="D769" s="530"/>
      <c r="E769" s="530"/>
      <c r="F769" s="530"/>
      <c r="G769" s="530"/>
      <c r="H769" s="530"/>
      <c r="I769" s="530"/>
      <c r="J769" s="530"/>
      <c r="K769" s="530"/>
      <c r="L769" s="530"/>
      <c r="M769" s="530"/>
      <c r="N769" s="530"/>
      <c r="O769" s="530"/>
      <c r="P769" s="530"/>
      <c r="Q769" s="530"/>
      <c r="R769" s="530"/>
      <c r="S769" s="530"/>
      <c r="T769" s="530"/>
      <c r="U769" s="530"/>
      <c r="V769" s="530"/>
      <c r="W769" s="530"/>
      <c r="X769" s="530"/>
      <c r="Y769" s="530"/>
      <c r="Z769" s="576">
        <f>Z13+Z16+Z34+Z40+Z98+Z110+Z312+Z321+Z323+Z338+Z341+Z656+Z613+Z658+Z694+Z95+Z32+Z384+Z293+Z379+Z93</f>
        <v>14302343.359999999</v>
      </c>
      <c r="AA769" s="576">
        <f>AA13+AA16+AA34+AA40+AA98+AA110+AA312+AA321+AA323+AA338+AA341+AA656+AA613+AA658+AA694+AA95+AA32+AA384+AA293+AA379</f>
        <v>8839927.1799999997</v>
      </c>
      <c r="AB769" s="576">
        <f>AB13+AB16+AB34+AB40+AB98+AB110+AB312+AB321+AB323+AB338+AB341+AB656+AB613+AB658+AB694+AB95+AB32+AB384+AB293+AB379</f>
        <v>8839927.1799999997</v>
      </c>
      <c r="AC769" s="209"/>
    </row>
    <row r="770" spans="1:29" ht="18.75" hidden="1" x14ac:dyDescent="0.3">
      <c r="A770" s="530"/>
      <c r="B770" s="530" t="s">
        <v>505</v>
      </c>
      <c r="C770" s="530"/>
      <c r="D770" s="530"/>
      <c r="E770" s="530"/>
      <c r="F770" s="530"/>
      <c r="G770" s="530"/>
      <c r="H770" s="530"/>
      <c r="I770" s="530"/>
      <c r="J770" s="530"/>
      <c r="K770" s="530"/>
      <c r="L770" s="530"/>
      <c r="M770" s="530"/>
      <c r="N770" s="530"/>
      <c r="O770" s="530"/>
      <c r="P770" s="530"/>
      <c r="Q770" s="530"/>
      <c r="R770" s="530"/>
      <c r="S770" s="530"/>
      <c r="T770" s="530"/>
      <c r="U770" s="530"/>
      <c r="V770" s="530"/>
      <c r="W770" s="530"/>
      <c r="X770" s="530"/>
      <c r="Y770" s="530"/>
      <c r="Z770" s="576">
        <f>Z90+Z240+Z314+Z343+Z611+Z648+Z698+Z701+Z704+Z707+Z711+Z139+Z669+Z714+Z233+Z666+Z330+Z160+Z81+Z87+Z642+Z39+Z190+Z644+Z272+Z331+Z328+Z273+Z192+Z301+Z275+Z595+Z376+Z175+Z334+Z228+Z226+Z260+Z633+Z725+Z640+Z229+Z634+Z84+Z199+Z269+Z336+Z646-250000-281263.02-5177262.72-259567.29-999999.75-170225.91-1980500-153948.12-45789.47-154925.78-0.25+Z242</f>
        <v>437046605.11999995</v>
      </c>
      <c r="AA770" s="576">
        <f>AA90+AA240+AA292+AA314+AA343+AA611+AA648+AA698+AA701+AA704+AA707+AA711+AA139+AA669+AA714+AA233+AA666+AA330+AA160+AA81+AA87+AA642+AA39+AA190+AA644+AA272+AA331+AA328+AA273+AA192+AA301+AA275+AA595+AA376+AA175+AA304+AA332+AA725+AA84</f>
        <v>340924342.14999998</v>
      </c>
      <c r="AB770" s="576">
        <f>AB90+AB240+AB292+AB314+AB343+AB611+AB648+AB698+AB701+AB704+AB707+AB711+AB139+AB669+AB714+AB233+AB666+AB330+AB160+AB81+AB87+AB642+AB39+AB190+AB644+AB272+AB331+AB328+AB273+AB192+AB301+AB275+AB595+AB376+AB175+AB304+AB332+AB725+AB84</f>
        <v>355513904.46999991</v>
      </c>
      <c r="AC770" s="209"/>
    </row>
    <row r="771" spans="1:29" ht="18.75" hidden="1" x14ac:dyDescent="0.3">
      <c r="A771" s="530"/>
      <c r="B771" s="530" t="s">
        <v>506</v>
      </c>
      <c r="C771" s="530"/>
      <c r="D771" s="530"/>
      <c r="E771" s="530"/>
      <c r="F771" s="530"/>
      <c r="G771" s="530"/>
      <c r="H771" s="530"/>
      <c r="I771" s="530"/>
      <c r="J771" s="530"/>
      <c r="K771" s="530"/>
      <c r="L771" s="530"/>
      <c r="M771" s="530"/>
      <c r="N771" s="530"/>
      <c r="O771" s="530"/>
      <c r="P771" s="530"/>
      <c r="Q771" s="530"/>
      <c r="R771" s="530"/>
      <c r="S771" s="530"/>
      <c r="T771" s="530"/>
      <c r="U771" s="530"/>
      <c r="V771" s="530"/>
      <c r="W771" s="530"/>
      <c r="X771" s="530"/>
      <c r="Y771" s="530"/>
      <c r="Z771" s="576">
        <f>П5МП!I57</f>
        <v>555542384.63999999</v>
      </c>
      <c r="AA771" s="576">
        <f>П5МП!J57</f>
        <v>405671881.21999997</v>
      </c>
      <c r="AB771" s="576">
        <f>П5МП!K57</f>
        <v>410630105.26999998</v>
      </c>
      <c r="AC771" s="209"/>
    </row>
    <row r="772" spans="1:29" ht="18.75" hidden="1" x14ac:dyDescent="0.3">
      <c r="A772" s="530"/>
      <c r="B772" s="530" t="s">
        <v>647</v>
      </c>
      <c r="C772" s="530"/>
      <c r="D772" s="530"/>
      <c r="E772" s="530"/>
      <c r="F772" s="530"/>
      <c r="G772" s="530"/>
      <c r="H772" s="530"/>
      <c r="I772" s="530"/>
      <c r="J772" s="530"/>
      <c r="K772" s="530"/>
      <c r="L772" s="530"/>
      <c r="M772" s="530"/>
      <c r="N772" s="530"/>
      <c r="O772" s="530"/>
      <c r="P772" s="530"/>
      <c r="Q772" s="530"/>
      <c r="R772" s="530"/>
      <c r="S772" s="530"/>
      <c r="T772" s="530"/>
      <c r="U772" s="530"/>
      <c r="V772" s="530"/>
      <c r="W772" s="530"/>
      <c r="X772" s="530"/>
      <c r="Y772" s="530"/>
      <c r="Z772" s="1021"/>
      <c r="AA772" s="659">
        <f>AA364</f>
        <v>4420012.5</v>
      </c>
      <c r="AB772" s="659">
        <f>AB364</f>
        <v>9094467.7599999998</v>
      </c>
      <c r="AC772" s="209"/>
    </row>
    <row r="773" spans="1:29" ht="33.75" hidden="1" customHeight="1" x14ac:dyDescent="0.3">
      <c r="A773" s="530"/>
      <c r="B773" s="530"/>
      <c r="C773" s="530"/>
      <c r="D773" s="530"/>
      <c r="E773" s="530"/>
      <c r="F773" s="530"/>
      <c r="G773" s="530"/>
      <c r="H773" s="530"/>
      <c r="I773" s="530"/>
      <c r="J773" s="530"/>
      <c r="K773" s="530"/>
      <c r="L773" s="530"/>
      <c r="M773" s="530"/>
      <c r="N773" s="530"/>
      <c r="O773" s="530"/>
      <c r="P773" s="530"/>
      <c r="Q773" s="530"/>
      <c r="R773" s="530"/>
      <c r="S773" s="530"/>
      <c r="T773" s="530"/>
      <c r="U773" s="530"/>
      <c r="V773" s="530"/>
      <c r="W773" s="530"/>
      <c r="X773" s="530"/>
      <c r="Y773" s="530"/>
      <c r="Z773" s="1022"/>
      <c r="AA773" s="1022"/>
      <c r="AB773" s="1022"/>
      <c r="AC773" s="209"/>
    </row>
    <row r="774" spans="1:29" ht="17.25" hidden="1" customHeight="1" x14ac:dyDescent="0.3">
      <c r="A774" s="530"/>
      <c r="B774" s="530"/>
      <c r="C774" s="530"/>
      <c r="D774" s="530"/>
      <c r="E774" s="530"/>
      <c r="F774" s="530"/>
      <c r="G774" s="530"/>
      <c r="H774" s="530"/>
      <c r="I774" s="530"/>
      <c r="J774" s="530"/>
      <c r="K774" s="530"/>
      <c r="L774" s="530"/>
      <c r="M774" s="530"/>
      <c r="N774" s="530"/>
      <c r="O774" s="530"/>
      <c r="P774" s="530"/>
      <c r="Q774" s="530"/>
      <c r="R774" s="530"/>
      <c r="S774" s="530"/>
      <c r="T774" s="530"/>
      <c r="U774" s="530"/>
      <c r="V774" s="530"/>
      <c r="W774" s="530"/>
      <c r="X774" s="530"/>
      <c r="Y774" s="530"/>
      <c r="Z774" s="659">
        <f>Z767-Z765</f>
        <v>0</v>
      </c>
      <c r="AA774" s="659">
        <f>AA767-AA765</f>
        <v>0</v>
      </c>
      <c r="AB774" s="659">
        <f>AB767-AB765</f>
        <v>0</v>
      </c>
      <c r="AC774" s="209"/>
    </row>
    <row r="775" spans="1:29" ht="40.5" hidden="1" customHeight="1" x14ac:dyDescent="0.3">
      <c r="A775" s="530"/>
      <c r="B775" s="530"/>
      <c r="C775" s="530"/>
      <c r="D775" s="530"/>
      <c r="E775" s="530"/>
      <c r="F775" s="530"/>
      <c r="G775" s="530"/>
      <c r="H775" s="530"/>
      <c r="I775" s="530"/>
      <c r="J775" s="530"/>
      <c r="K775" s="530"/>
      <c r="L775" s="530"/>
      <c r="M775" s="530"/>
      <c r="N775" s="530"/>
      <c r="O775" s="530"/>
      <c r="P775" s="530"/>
      <c r="Q775" s="530"/>
      <c r="R775" s="530"/>
      <c r="S775" s="530"/>
      <c r="T775" s="530"/>
      <c r="U775" s="530"/>
      <c r="V775" s="530"/>
      <c r="W775" s="530"/>
      <c r="X775" s="530"/>
      <c r="Y775" s="530"/>
      <c r="Z775" s="576"/>
      <c r="AA775" s="576"/>
      <c r="AB775" s="576"/>
      <c r="AC775" s="209"/>
    </row>
    <row r="776" spans="1:29" ht="30" hidden="1" customHeight="1" x14ac:dyDescent="0.3">
      <c r="A776" s="530"/>
      <c r="B776" s="530"/>
      <c r="C776" s="530"/>
      <c r="D776" s="530"/>
      <c r="E776" s="530"/>
      <c r="F776" s="530"/>
      <c r="G776" s="530"/>
      <c r="H776" s="530"/>
      <c r="I776" s="530"/>
      <c r="J776" s="530"/>
      <c r="K776" s="530"/>
      <c r="L776" s="530"/>
      <c r="M776" s="530"/>
      <c r="N776" s="530"/>
      <c r="O776" s="530"/>
      <c r="P776" s="530"/>
      <c r="Q776" s="530"/>
      <c r="R776" s="530"/>
      <c r="S776" s="530"/>
      <c r="T776" s="530"/>
      <c r="U776" s="530"/>
      <c r="V776" s="530"/>
      <c r="W776" s="530"/>
      <c r="X776" s="530"/>
      <c r="Y776" s="530"/>
      <c r="Z776" s="576">
        <f>Z52+Z603+Z622+Z688+Z734+Z763+Z745+Z592+Z680+Z675+Z753+Z757+Z761+Z672+Z630+Z609</f>
        <v>227835810.41999996</v>
      </c>
      <c r="AA776" s="576">
        <f>AA52+AA603+AA622+AA688+AA734+AA763+AA745+AA592+AA680+AA675+AA231+AA753+AA757+AA761+AA672</f>
        <v>251545959.37000003</v>
      </c>
      <c r="AB776" s="576">
        <f>AB52+AB603+AB622+AB688+AB734+AB763+AB745+AB592+AB680+AB675+AB231+AB753+AB757+AB761+AB672</f>
        <v>256285671.87000003</v>
      </c>
      <c r="AC776" s="209"/>
    </row>
    <row r="777" spans="1:29" ht="24.75" hidden="1" customHeight="1" x14ac:dyDescent="0.3">
      <c r="A777" s="530"/>
      <c r="B777" s="530"/>
      <c r="C777" s="530"/>
      <c r="D777" s="530"/>
      <c r="E777" s="530"/>
      <c r="F777" s="530"/>
      <c r="G777" s="530"/>
      <c r="H777" s="530"/>
      <c r="I777" s="530"/>
      <c r="J777" s="530"/>
      <c r="K777" s="530"/>
      <c r="L777" s="530"/>
      <c r="M777" s="530"/>
      <c r="N777" s="530"/>
      <c r="O777" s="530"/>
      <c r="P777" s="530"/>
      <c r="Q777" s="530"/>
      <c r="R777" s="530"/>
      <c r="S777" s="530"/>
      <c r="T777" s="530"/>
      <c r="U777" s="530"/>
      <c r="V777" s="530"/>
      <c r="W777" s="530"/>
      <c r="X777" s="530"/>
      <c r="Y777" s="530"/>
      <c r="Z777" s="576"/>
      <c r="AA777" s="576"/>
      <c r="AB777" s="576"/>
      <c r="AC777" s="209"/>
    </row>
    <row r="778" spans="1:29" ht="22.5" hidden="1" customHeight="1" x14ac:dyDescent="0.25">
      <c r="A778" s="530"/>
      <c r="B778" s="530"/>
      <c r="C778" s="530"/>
      <c r="D778" s="530"/>
      <c r="E778" s="530"/>
      <c r="F778" s="530"/>
      <c r="G778" s="530"/>
      <c r="H778" s="530"/>
      <c r="I778" s="530"/>
      <c r="J778" s="530"/>
      <c r="K778" s="530"/>
      <c r="L778" s="530"/>
      <c r="M778" s="530"/>
      <c r="N778" s="530"/>
      <c r="O778" s="530"/>
      <c r="P778" s="530"/>
      <c r="Q778" s="530"/>
      <c r="R778" s="530"/>
      <c r="S778" s="530"/>
      <c r="T778" s="530"/>
      <c r="U778" s="530"/>
      <c r="V778" s="530"/>
      <c r="W778" s="530"/>
      <c r="X778" s="530"/>
      <c r="Y778" s="530"/>
      <c r="Z778" s="660">
        <v>276413625</v>
      </c>
      <c r="AA778" s="660">
        <v>305635125</v>
      </c>
      <c r="AB778" s="660">
        <v>299298750</v>
      </c>
    </row>
    <row r="779" spans="1:29" ht="17.25" hidden="1" customHeight="1" x14ac:dyDescent="0.25">
      <c r="A779" s="530"/>
      <c r="B779" s="530"/>
      <c r="C779" s="530"/>
      <c r="D779" s="530"/>
      <c r="E779" s="530"/>
      <c r="F779" s="530"/>
      <c r="G779" s="530"/>
      <c r="H779" s="530"/>
      <c r="I779" s="530"/>
      <c r="J779" s="530"/>
      <c r="K779" s="530"/>
      <c r="L779" s="530"/>
      <c r="M779" s="530"/>
      <c r="N779" s="530"/>
      <c r="O779" s="530"/>
      <c r="P779" s="530"/>
      <c r="Q779" s="530"/>
      <c r="R779" s="530"/>
      <c r="S779" s="530"/>
      <c r="T779" s="530"/>
      <c r="U779" s="530"/>
      <c r="V779" s="530"/>
      <c r="W779" s="530"/>
      <c r="X779" s="530"/>
      <c r="Y779" s="530"/>
      <c r="Z779" s="660"/>
      <c r="AA779" s="660"/>
      <c r="AB779" s="660"/>
    </row>
    <row r="780" spans="1:29" ht="24.75" hidden="1" customHeight="1" x14ac:dyDescent="0.25">
      <c r="A780" s="530"/>
      <c r="B780" s="530"/>
      <c r="C780" s="530"/>
      <c r="D780" s="530"/>
      <c r="E780" s="530"/>
      <c r="F780" s="530"/>
      <c r="G780" s="530"/>
      <c r="H780" s="530"/>
      <c r="I780" s="530"/>
      <c r="J780" s="530"/>
      <c r="K780" s="530"/>
      <c r="L780" s="530"/>
      <c r="M780" s="530"/>
      <c r="N780" s="530"/>
      <c r="O780" s="530"/>
      <c r="P780" s="530"/>
      <c r="Q780" s="530"/>
      <c r="R780" s="530"/>
      <c r="S780" s="530"/>
      <c r="T780" s="530"/>
      <c r="U780" s="530"/>
      <c r="V780" s="530"/>
      <c r="W780" s="530"/>
      <c r="X780" s="530"/>
      <c r="Y780" s="530"/>
      <c r="Z780" s="660">
        <f>Z778-Z776</f>
        <v>48577814.580000043</v>
      </c>
      <c r="AA780" s="660">
        <f>AA778-AA776</f>
        <v>54089165.629999965</v>
      </c>
      <c r="AB780" s="660">
        <f>AB778-AB776</f>
        <v>43013078.129999965</v>
      </c>
    </row>
    <row r="781" spans="1:29" ht="27.75" hidden="1" customHeight="1" x14ac:dyDescent="0.25">
      <c r="A781" s="530"/>
      <c r="B781" s="530"/>
      <c r="C781" s="530"/>
      <c r="D781" s="530"/>
      <c r="E781" s="530"/>
      <c r="F781" s="530"/>
      <c r="G781" s="530"/>
      <c r="H781" s="530"/>
      <c r="I781" s="530"/>
      <c r="J781" s="530"/>
      <c r="K781" s="530"/>
      <c r="L781" s="530"/>
      <c r="M781" s="530"/>
      <c r="N781" s="530"/>
      <c r="O781" s="530"/>
      <c r="P781" s="530"/>
      <c r="Q781" s="530"/>
      <c r="R781" s="530"/>
      <c r="S781" s="530"/>
      <c r="T781" s="530"/>
      <c r="U781" s="530"/>
      <c r="V781" s="530"/>
      <c r="W781" s="530"/>
      <c r="X781" s="530"/>
      <c r="Y781" s="530"/>
      <c r="Z781" s="660">
        <v>227835810.41999999</v>
      </c>
      <c r="AA781" s="660">
        <v>251545959.37</v>
      </c>
      <c r="AB781" s="660">
        <v>256285671.87</v>
      </c>
    </row>
    <row r="782" spans="1:29" hidden="1" x14ac:dyDescent="0.25">
      <c r="A782" s="530"/>
      <c r="B782" s="530"/>
      <c r="C782" s="530"/>
      <c r="D782" s="530"/>
      <c r="E782" s="530"/>
      <c r="F782" s="530"/>
      <c r="G782" s="530"/>
      <c r="H782" s="530"/>
      <c r="I782" s="530"/>
      <c r="J782" s="530"/>
      <c r="K782" s="530"/>
      <c r="L782" s="530"/>
      <c r="M782" s="530"/>
      <c r="N782" s="530"/>
      <c r="O782" s="530"/>
      <c r="P782" s="530"/>
      <c r="Q782" s="530"/>
      <c r="R782" s="530"/>
      <c r="S782" s="530"/>
      <c r="T782" s="530"/>
      <c r="U782" s="530"/>
      <c r="V782" s="530"/>
      <c r="W782" s="530"/>
      <c r="X782" s="530"/>
      <c r="Y782" s="530"/>
      <c r="Z782" s="660">
        <v>218722378</v>
      </c>
      <c r="AA782" s="660">
        <v>241484121</v>
      </c>
      <c r="AB782" s="660">
        <v>246034245</v>
      </c>
    </row>
    <row r="783" spans="1:29" hidden="1" x14ac:dyDescent="0.25">
      <c r="A783" s="530"/>
      <c r="B783" s="530"/>
      <c r="C783" s="530"/>
      <c r="D783" s="530"/>
      <c r="E783" s="530"/>
      <c r="F783" s="530"/>
      <c r="G783" s="530"/>
      <c r="H783" s="530"/>
      <c r="I783" s="530"/>
      <c r="J783" s="530"/>
      <c r="K783" s="530"/>
      <c r="L783" s="530"/>
      <c r="M783" s="530"/>
      <c r="N783" s="530"/>
      <c r="O783" s="530"/>
      <c r="P783" s="530"/>
      <c r="Q783" s="530"/>
      <c r="R783" s="530"/>
      <c r="S783" s="530"/>
      <c r="T783" s="530"/>
      <c r="U783" s="530"/>
      <c r="V783" s="530"/>
      <c r="W783" s="530"/>
      <c r="X783" s="530"/>
      <c r="Y783" s="530"/>
      <c r="Z783" s="660">
        <f>Z781-Z782</f>
        <v>9113432.4199999869</v>
      </c>
      <c r="AA783" s="660">
        <f>AA781-AA782</f>
        <v>10061838.370000005</v>
      </c>
      <c r="AB783" s="660">
        <f>AB781-AB782</f>
        <v>10251426.870000005</v>
      </c>
    </row>
    <row r="784" spans="1:29" hidden="1" x14ac:dyDescent="0.25">
      <c r="A784" s="530"/>
      <c r="B784" s="530"/>
      <c r="C784" s="530"/>
      <c r="D784" s="530"/>
      <c r="E784" s="530"/>
      <c r="F784" s="530"/>
      <c r="G784" s="530"/>
      <c r="H784" s="530"/>
      <c r="I784" s="530"/>
      <c r="J784" s="530"/>
      <c r="K784" s="530"/>
      <c r="L784" s="530"/>
      <c r="M784" s="530"/>
      <c r="N784" s="530"/>
      <c r="O784" s="530"/>
      <c r="P784" s="530"/>
      <c r="Q784" s="530"/>
      <c r="R784" s="530"/>
      <c r="S784" s="530"/>
      <c r="T784" s="530"/>
      <c r="U784" s="530"/>
      <c r="V784" s="530"/>
      <c r="W784" s="530"/>
      <c r="X784" s="530"/>
      <c r="Y784" s="530"/>
      <c r="Z784" s="530"/>
      <c r="AA784" s="530"/>
      <c r="AB784" s="530"/>
    </row>
    <row r="785" spans="1:28" hidden="1" x14ac:dyDescent="0.25">
      <c r="A785" s="530"/>
      <c r="B785" s="530"/>
      <c r="C785" s="530"/>
      <c r="D785" s="530"/>
      <c r="E785" s="530"/>
      <c r="F785" s="530"/>
      <c r="G785" s="530"/>
      <c r="H785" s="530"/>
      <c r="I785" s="530"/>
      <c r="J785" s="530"/>
      <c r="K785" s="530"/>
      <c r="L785" s="530"/>
      <c r="M785" s="530"/>
      <c r="N785" s="530"/>
      <c r="O785" s="530"/>
      <c r="P785" s="530"/>
      <c r="Q785" s="530"/>
      <c r="R785" s="530"/>
      <c r="S785" s="530"/>
      <c r="T785" s="530"/>
      <c r="U785" s="530"/>
      <c r="V785" s="530"/>
      <c r="W785" s="530"/>
      <c r="X785" s="530"/>
      <c r="Y785" s="530"/>
      <c r="Z785" s="530"/>
      <c r="AA785" s="530"/>
      <c r="AB785" s="530"/>
    </row>
    <row r="786" spans="1:28" hidden="1" x14ac:dyDescent="0.25">
      <c r="A786" s="530"/>
      <c r="B786" s="530"/>
      <c r="C786" s="530"/>
      <c r="D786" s="530"/>
      <c r="E786" s="530"/>
      <c r="F786" s="530"/>
      <c r="G786" s="530"/>
      <c r="H786" s="530"/>
      <c r="I786" s="530"/>
      <c r="J786" s="530"/>
      <c r="K786" s="530"/>
      <c r="L786" s="530"/>
      <c r="M786" s="530"/>
      <c r="N786" s="530"/>
      <c r="O786" s="530"/>
      <c r="P786" s="530"/>
      <c r="Q786" s="530"/>
      <c r="R786" s="530"/>
      <c r="S786" s="530"/>
      <c r="T786" s="530"/>
      <c r="U786" s="530"/>
      <c r="V786" s="530"/>
      <c r="W786" s="530"/>
      <c r="X786" s="530"/>
      <c r="Y786" s="530"/>
      <c r="Z786" s="530"/>
      <c r="AA786" s="660"/>
      <c r="AB786" s="660"/>
    </row>
    <row r="787" spans="1:28" hidden="1" x14ac:dyDescent="0.25">
      <c r="A787" s="530"/>
      <c r="B787" s="530"/>
      <c r="C787" s="530"/>
      <c r="D787" s="530"/>
      <c r="E787" s="530"/>
      <c r="F787" s="530"/>
      <c r="G787" s="530"/>
      <c r="H787" s="530"/>
      <c r="I787" s="530"/>
      <c r="J787" s="530"/>
      <c r="K787" s="530"/>
      <c r="L787" s="530"/>
      <c r="M787" s="530"/>
      <c r="N787" s="530"/>
      <c r="O787" s="530"/>
      <c r="P787" s="530"/>
      <c r="Q787" s="530"/>
      <c r="R787" s="530"/>
      <c r="S787" s="530"/>
      <c r="T787" s="530"/>
      <c r="U787" s="530"/>
      <c r="V787" s="530"/>
      <c r="W787" s="530"/>
      <c r="X787" s="530"/>
      <c r="Y787" s="530"/>
      <c r="Z787" s="660">
        <f>Z778-Z781</f>
        <v>48577814.580000013</v>
      </c>
      <c r="AA787" s="660">
        <f>AA778-AA781</f>
        <v>54089165.629999995</v>
      </c>
      <c r="AB787" s="660">
        <f>AB778-AB781</f>
        <v>43013078.129999995</v>
      </c>
    </row>
    <row r="788" spans="1:28" ht="0.75" hidden="1" customHeight="1" x14ac:dyDescent="0.25">
      <c r="A788" s="530"/>
      <c r="B788" s="530"/>
      <c r="C788" s="530"/>
      <c r="D788" s="530"/>
      <c r="E788" s="530"/>
      <c r="F788" s="530"/>
      <c r="G788" s="530"/>
      <c r="H788" s="530"/>
      <c r="I788" s="530"/>
      <c r="J788" s="530"/>
      <c r="K788" s="530"/>
      <c r="L788" s="530"/>
      <c r="M788" s="530"/>
      <c r="N788" s="530"/>
      <c r="O788" s="530"/>
      <c r="P788" s="530"/>
      <c r="Q788" s="530"/>
      <c r="R788" s="530"/>
      <c r="S788" s="530"/>
      <c r="T788" s="530"/>
      <c r="U788" s="530"/>
      <c r="V788" s="530"/>
      <c r="W788" s="530"/>
      <c r="X788" s="530"/>
      <c r="Y788" s="530"/>
      <c r="Z788" s="530"/>
      <c r="AA788" s="530"/>
      <c r="AB788" s="530"/>
    </row>
    <row r="789" spans="1:28" hidden="1" x14ac:dyDescent="0.25">
      <c r="A789" s="530"/>
      <c r="B789" s="530"/>
      <c r="C789" s="530"/>
      <c r="D789" s="530"/>
      <c r="E789" s="530"/>
      <c r="F789" s="530"/>
      <c r="G789" s="530"/>
      <c r="H789" s="530"/>
      <c r="I789" s="530"/>
      <c r="J789" s="530"/>
      <c r="K789" s="530"/>
      <c r="L789" s="530"/>
      <c r="M789" s="530"/>
      <c r="N789" s="530"/>
      <c r="O789" s="530"/>
      <c r="P789" s="530"/>
      <c r="Q789" s="530"/>
      <c r="R789" s="530"/>
      <c r="S789" s="530"/>
      <c r="T789" s="530"/>
      <c r="U789" s="530"/>
      <c r="V789" s="530"/>
      <c r="W789" s="530"/>
      <c r="X789" s="530"/>
      <c r="Y789" s="530"/>
      <c r="Z789" s="660">
        <f>Z13+Z17+Z19+Z27+Z40+Z369+Z674+Z721</f>
        <v>62472287.150000006</v>
      </c>
      <c r="AA789" s="660">
        <f>AA13+AA17+AA19+AA27+AA40+AA369+AA674+AA721</f>
        <v>59586300.189999998</v>
      </c>
      <c r="AB789" s="660">
        <f>AB13+AB17+AB19+AB27+AB40+AB369+AB674+AB721</f>
        <v>59432270.380000003</v>
      </c>
    </row>
    <row r="790" spans="1:28" hidden="1" x14ac:dyDescent="0.25"/>
    <row r="791" spans="1:28" hidden="1" x14ac:dyDescent="0.25">
      <c r="Z791" s="127">
        <f>Z787-Z780</f>
        <v>0</v>
      </c>
      <c r="AA791" s="127">
        <f>AA787-AA780</f>
        <v>0</v>
      </c>
      <c r="AB791" s="127">
        <f>AB787-AB780</f>
        <v>0</v>
      </c>
    </row>
    <row r="792" spans="1:28" ht="1.5" customHeight="1" x14ac:dyDescent="0.25">
      <c r="Z792" s="127">
        <f>Z776-П2ДОХОДЫ!E154</f>
        <v>9113432.4199999571</v>
      </c>
      <c r="AA792" s="127">
        <f>AA776-П2ДОХОДЫ!F154</f>
        <v>10061838.370000035</v>
      </c>
      <c r="AB792" s="127">
        <f>AB776-П2ДОХОДЫ!G154</f>
        <v>10251426.870000035</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1201" t="s">
        <v>104</v>
      </c>
      <c r="B1" s="1201"/>
      <c r="C1" s="1201"/>
      <c r="D1" s="1201"/>
      <c r="E1" s="1201"/>
      <c r="F1" s="1201"/>
      <c r="G1" s="1201"/>
    </row>
    <row r="2" spans="1:7" x14ac:dyDescent="0.25">
      <c r="A2" s="1201" t="s">
        <v>30</v>
      </c>
      <c r="B2" s="1201"/>
      <c r="C2" s="1201"/>
      <c r="D2" s="1201"/>
      <c r="E2" s="1201"/>
      <c r="F2" s="1201"/>
      <c r="G2" s="1201"/>
    </row>
    <row r="3" spans="1:7" x14ac:dyDescent="0.25">
      <c r="A3" s="1201" t="s">
        <v>32</v>
      </c>
      <c r="B3" s="1201"/>
      <c r="C3" s="1201"/>
      <c r="D3" s="1201"/>
      <c r="E3" s="1201"/>
      <c r="F3" s="1201"/>
      <c r="G3" s="1201"/>
    </row>
    <row r="4" spans="1:7" x14ac:dyDescent="0.25">
      <c r="A4" s="1201" t="s">
        <v>29</v>
      </c>
      <c r="B4" s="1201"/>
      <c r="C4" s="1201"/>
      <c r="D4" s="1201"/>
      <c r="E4" s="1201"/>
      <c r="F4" s="1201"/>
      <c r="G4" s="1201"/>
    </row>
    <row r="5" spans="1:7" x14ac:dyDescent="0.25">
      <c r="A5" s="4" t="s">
        <v>33</v>
      </c>
      <c r="B5" s="1"/>
      <c r="C5" s="5"/>
    </row>
    <row r="6" spans="1:7" x14ac:dyDescent="0.25">
      <c r="A6" s="1150" t="s">
        <v>50</v>
      </c>
      <c r="B6" s="1150"/>
      <c r="C6" s="1150"/>
      <c r="D6" s="1150"/>
      <c r="E6" s="1150"/>
      <c r="F6" s="1150"/>
      <c r="G6" s="1150"/>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1198" t="s">
        <v>103</v>
      </c>
      <c r="B40" s="1199"/>
      <c r="C40" s="1199"/>
      <c r="D40" s="1200"/>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5"/>
  <sheetViews>
    <sheetView workbookViewId="0">
      <selection activeCell="V50" sqref="V50"/>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13.5703125" style="31" bestFit="1" customWidth="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1225" t="s">
        <v>1413</v>
      </c>
      <c r="L1" s="1225"/>
      <c r="M1" s="1225"/>
    </row>
    <row r="2" spans="1:17" x14ac:dyDescent="0.25">
      <c r="K2" s="1225" t="s">
        <v>30</v>
      </c>
      <c r="L2" s="1225"/>
      <c r="M2" s="1225"/>
    </row>
    <row r="3" spans="1:17" x14ac:dyDescent="0.25">
      <c r="K3" s="1225" t="s">
        <v>0</v>
      </c>
      <c r="L3" s="1225"/>
      <c r="M3" s="1225"/>
    </row>
    <row r="4" spans="1:17" x14ac:dyDescent="0.25">
      <c r="K4" s="1225" t="s">
        <v>1682</v>
      </c>
      <c r="L4" s="1225"/>
      <c r="M4" s="1225"/>
    </row>
    <row r="6" spans="1:17" x14ac:dyDescent="0.25">
      <c r="A6" s="1226" t="s">
        <v>1085</v>
      </c>
      <c r="B6" s="1226"/>
      <c r="C6" s="1226"/>
      <c r="D6" s="1226"/>
      <c r="E6" s="1226"/>
      <c r="F6" s="1226"/>
      <c r="G6" s="1226"/>
      <c r="H6" s="1226"/>
      <c r="I6" s="1226"/>
      <c r="J6" s="1226"/>
      <c r="K6" s="1226"/>
      <c r="L6" s="1226"/>
      <c r="M6" s="1226"/>
    </row>
    <row r="7" spans="1:17" x14ac:dyDescent="0.25">
      <c r="M7" s="34" t="s">
        <v>927</v>
      </c>
    </row>
    <row r="8" spans="1:17" x14ac:dyDescent="0.25">
      <c r="A8" s="1216"/>
      <c r="B8" s="1227" t="s">
        <v>188</v>
      </c>
      <c r="C8" s="1230" t="s">
        <v>189</v>
      </c>
      <c r="D8" s="1230"/>
      <c r="E8" s="1230"/>
      <c r="F8" s="1231" t="s">
        <v>190</v>
      </c>
      <c r="G8" s="1232"/>
      <c r="H8" s="1232"/>
      <c r="I8" s="1232"/>
      <c r="J8" s="1232"/>
      <c r="K8" s="1232"/>
      <c r="L8" s="1233" t="s">
        <v>191</v>
      </c>
      <c r="M8" s="1233"/>
    </row>
    <row r="9" spans="1:17" x14ac:dyDescent="0.25">
      <c r="A9" s="1217"/>
      <c r="B9" s="1228"/>
      <c r="C9" s="1230" t="s">
        <v>192</v>
      </c>
      <c r="D9" s="1230" t="s">
        <v>193</v>
      </c>
      <c r="E9" s="1230" t="s">
        <v>1</v>
      </c>
      <c r="F9" s="1136" t="s">
        <v>194</v>
      </c>
      <c r="G9" s="1137"/>
      <c r="H9" s="1138"/>
      <c r="I9" s="1234" t="s">
        <v>195</v>
      </c>
      <c r="J9" s="1234"/>
      <c r="K9" s="1234"/>
      <c r="L9" s="1234" t="s">
        <v>196</v>
      </c>
      <c r="M9" s="1214" t="s">
        <v>197</v>
      </c>
    </row>
    <row r="10" spans="1:17" ht="15" customHeight="1" x14ac:dyDescent="0.25">
      <c r="A10" s="1218"/>
      <c r="B10" s="1229"/>
      <c r="C10" s="1230"/>
      <c r="D10" s="1230"/>
      <c r="E10" s="1230"/>
      <c r="F10" s="35">
        <v>2014</v>
      </c>
      <c r="G10" s="36">
        <v>2015</v>
      </c>
      <c r="H10" s="36">
        <v>2016</v>
      </c>
      <c r="I10" s="35">
        <v>2019</v>
      </c>
      <c r="J10" s="36">
        <v>2020</v>
      </c>
      <c r="K10" s="36">
        <v>2021</v>
      </c>
      <c r="L10" s="1234"/>
      <c r="M10" s="1224"/>
    </row>
    <row r="11" spans="1:17" ht="81.75" hidden="1" customHeight="1" x14ac:dyDescent="0.25">
      <c r="A11" s="277"/>
      <c r="B11" s="1204" t="s">
        <v>1297</v>
      </c>
      <c r="C11" s="276"/>
      <c r="D11" s="276"/>
      <c r="E11" s="276"/>
      <c r="F11" s="35"/>
      <c r="G11" s="36"/>
      <c r="H11" s="36"/>
      <c r="I11" s="278">
        <f>П4ВСР!Z444</f>
        <v>0</v>
      </c>
      <c r="J11" s="278">
        <f>П4ВСР!AA444</f>
        <v>0</v>
      </c>
      <c r="K11" s="278">
        <f>П4ВСР!AB444</f>
        <v>0</v>
      </c>
      <c r="L11" s="43" t="s">
        <v>31</v>
      </c>
      <c r="M11" s="1204" t="s">
        <v>507</v>
      </c>
      <c r="O11" s="242"/>
    </row>
    <row r="12" spans="1:17" ht="54.75" customHeight="1" x14ac:dyDescent="0.25">
      <c r="A12" s="37"/>
      <c r="B12" s="1206"/>
      <c r="C12" s="39">
        <v>41537</v>
      </c>
      <c r="D12" s="40">
        <v>1159</v>
      </c>
      <c r="E12" s="40" t="s">
        <v>198</v>
      </c>
      <c r="F12" s="41">
        <v>3500000</v>
      </c>
      <c r="G12" s="41">
        <v>4500000</v>
      </c>
      <c r="H12" s="41">
        <v>6000000</v>
      </c>
      <c r="I12" s="41">
        <f>П4ВСР!Z123+П4ВСР!Z125+П4ВСР!Z135+П4ВСР!Z141+П4ВСР!Z119</f>
        <v>443000</v>
      </c>
      <c r="J12" s="41">
        <f>П4ВСР!AA123+П4ВСР!AA125+П4ВСР!AA135+П4ВСР!AA141+П4ВСР!AA119</f>
        <v>225000</v>
      </c>
      <c r="K12" s="41">
        <f>П4ВСР!AB123+П4ВСР!AB125+П4ВСР!AB135+П4ВСР!AB141+П4ВСР!AB119</f>
        <v>225000</v>
      </c>
      <c r="L12" s="43" t="s">
        <v>28</v>
      </c>
      <c r="M12" s="1205"/>
      <c r="N12" s="242"/>
      <c r="O12" s="242"/>
      <c r="P12" s="242"/>
      <c r="Q12" s="242"/>
    </row>
    <row r="13" spans="1:17" x14ac:dyDescent="0.25">
      <c r="A13" s="37">
        <v>1</v>
      </c>
      <c r="B13" s="44" t="s">
        <v>199</v>
      </c>
      <c r="C13" s="44"/>
      <c r="D13" s="44"/>
      <c r="E13" s="45"/>
      <c r="F13" s="46">
        <f>SUM(F12:F12)</f>
        <v>3500000</v>
      </c>
      <c r="G13" s="46">
        <f>SUM(G12:G12)</f>
        <v>4500000</v>
      </c>
      <c r="H13" s="46">
        <f>H12</f>
        <v>6000000</v>
      </c>
      <c r="I13" s="46">
        <f>I12+I11</f>
        <v>443000</v>
      </c>
      <c r="J13" s="46">
        <f>J12</f>
        <v>225000</v>
      </c>
      <c r="K13" s="46">
        <f>SUM(K12:K12)</f>
        <v>225000</v>
      </c>
      <c r="L13" s="47"/>
      <c r="M13" s="1206"/>
      <c r="O13" s="242"/>
      <c r="P13" s="242"/>
      <c r="Q13" s="242"/>
    </row>
    <row r="14" spans="1:17" ht="47.25" x14ac:dyDescent="0.25">
      <c r="A14" s="35"/>
      <c r="B14" s="38" t="s">
        <v>1298</v>
      </c>
      <c r="C14" s="48">
        <v>40533</v>
      </c>
      <c r="D14" s="38">
        <v>1496</v>
      </c>
      <c r="E14" s="40" t="s">
        <v>198</v>
      </c>
      <c r="F14" s="41">
        <v>1142460</v>
      </c>
      <c r="G14" s="41">
        <v>0</v>
      </c>
      <c r="H14" s="41">
        <v>0</v>
      </c>
      <c r="I14" s="42">
        <f>П4ВСР!Z326</f>
        <v>0</v>
      </c>
      <c r="J14" s="42">
        <f>П4ВСР!AA326</f>
        <v>50000</v>
      </c>
      <c r="K14" s="42">
        <f>П4ВСР!AB326</f>
        <v>50000</v>
      </c>
      <c r="L14" s="43" t="s">
        <v>28</v>
      </c>
      <c r="M14" s="1204" t="s">
        <v>508</v>
      </c>
      <c r="N14" s="242"/>
      <c r="O14" s="242"/>
      <c r="P14" s="242"/>
      <c r="Q14" s="242"/>
    </row>
    <row r="15" spans="1:17" x14ac:dyDescent="0.25">
      <c r="A15" s="35">
        <v>2</v>
      </c>
      <c r="B15" s="44" t="s">
        <v>199</v>
      </c>
      <c r="C15" s="44"/>
      <c r="D15" s="44"/>
      <c r="E15" s="45"/>
      <c r="F15" s="46">
        <f t="shared" ref="F15:K15" si="0">SUM(F14:F14)</f>
        <v>1142460</v>
      </c>
      <c r="G15" s="46">
        <f t="shared" si="0"/>
        <v>0</v>
      </c>
      <c r="H15" s="46">
        <f t="shared" si="0"/>
        <v>0</v>
      </c>
      <c r="I15" s="46">
        <f t="shared" si="0"/>
        <v>0</v>
      </c>
      <c r="J15" s="46">
        <f t="shared" si="0"/>
        <v>50000</v>
      </c>
      <c r="K15" s="46">
        <f t="shared" si="0"/>
        <v>50000</v>
      </c>
      <c r="L15" s="47"/>
      <c r="M15" s="1206"/>
      <c r="O15" s="242"/>
      <c r="P15" s="242"/>
      <c r="Q15" s="242"/>
    </row>
    <row r="16" spans="1:17" ht="63" x14ac:dyDescent="0.25">
      <c r="A16" s="35"/>
      <c r="B16" s="1204" t="s">
        <v>1299</v>
      </c>
      <c r="C16" s="172"/>
      <c r="D16" s="172"/>
      <c r="E16" s="173"/>
      <c r="F16" s="46"/>
      <c r="G16" s="46"/>
      <c r="H16" s="46"/>
      <c r="I16" s="41">
        <f>П4ВСР!Z753+П4ВСР!Z757+П4ВСР!Z761+П4ВСР!Z751+П4ВСР!Z755+П4ВСР!Z759</f>
        <v>18644162.580000002</v>
      </c>
      <c r="J16" s="41">
        <f>П4ВСР!AA753+П4ВСР!AA757+П4ВСР!AA761+П4ВСР!AA751+П4ВСР!AA755+П4ВСР!AA759</f>
        <v>19984068.469999999</v>
      </c>
      <c r="K16" s="41">
        <f>П4ВСР!AB753+П4ВСР!AB757+П4ВСР!AB761+П4ВСР!AB751+П4ВСР!AB755+П4ВСР!AB759</f>
        <v>19984068.469999999</v>
      </c>
      <c r="L16" s="43" t="s">
        <v>503</v>
      </c>
      <c r="M16" s="1204" t="s">
        <v>509</v>
      </c>
      <c r="N16" s="242"/>
      <c r="O16" s="242"/>
    </row>
    <row r="17" spans="1:15" ht="80.25" customHeight="1" x14ac:dyDescent="0.25">
      <c r="A17" s="35"/>
      <c r="B17" s="1205"/>
      <c r="C17" s="172"/>
      <c r="D17" s="172"/>
      <c r="E17" s="173"/>
      <c r="F17" s="46"/>
      <c r="G17" s="46"/>
      <c r="H17" s="46"/>
      <c r="I17" s="41">
        <f>П4ВСР!Z566+П4ВСР!Z578</f>
        <v>4942125.46</v>
      </c>
      <c r="J17" s="41">
        <v>0</v>
      </c>
      <c r="K17" s="41">
        <v>0</v>
      </c>
      <c r="L17" s="43" t="s">
        <v>31</v>
      </c>
      <c r="M17" s="1205"/>
      <c r="N17" s="242"/>
      <c r="O17" s="242"/>
    </row>
    <row r="18" spans="1:15" ht="47.25" x14ac:dyDescent="0.25">
      <c r="A18" s="37"/>
      <c r="B18" s="1206"/>
      <c r="C18" s="39">
        <v>41537</v>
      </c>
      <c r="D18" s="40">
        <v>1161</v>
      </c>
      <c r="E18" s="40" t="s">
        <v>198</v>
      </c>
      <c r="F18" s="41">
        <v>5000000</v>
      </c>
      <c r="G18" s="41">
        <v>7000000</v>
      </c>
      <c r="H18" s="41">
        <v>9000000</v>
      </c>
      <c r="I18" s="41">
        <f>П4ВСР!Z25+П4ВСР!Z298+П4ВСР!Z302+П4ВСР!Z306+П4ВСР!Z308+П4ВСР!Z304</f>
        <v>6774801</v>
      </c>
      <c r="J18" s="41">
        <f>П4ВСР!AA25+П4ВСР!AA298+П4ВСР!AA302+П4ВСР!AA306+П4ВСР!AA308</f>
        <v>150000</v>
      </c>
      <c r="K18" s="41">
        <f>П4ВСР!AB25+П4ВСР!AB298+П4ВСР!AB302+П4ВСР!AB306+П4ВСР!AB308</f>
        <v>150000</v>
      </c>
      <c r="L18" s="43" t="s">
        <v>28</v>
      </c>
      <c r="M18" s="1205"/>
      <c r="O18" s="242"/>
    </row>
    <row r="19" spans="1:15" x14ac:dyDescent="0.25">
      <c r="A19" s="37">
        <v>3</v>
      </c>
      <c r="B19" s="44" t="s">
        <v>199</v>
      </c>
      <c r="C19" s="44"/>
      <c r="D19" s="44"/>
      <c r="E19" s="45"/>
      <c r="F19" s="46">
        <f t="shared" ref="F19:H19" si="1">SUM(F18:F18)</f>
        <v>5000000</v>
      </c>
      <c r="G19" s="46">
        <f t="shared" si="1"/>
        <v>7000000</v>
      </c>
      <c r="H19" s="46">
        <f t="shared" si="1"/>
        <v>9000000</v>
      </c>
      <c r="I19" s="46">
        <f>I16+I18+I17</f>
        <v>30361089.040000003</v>
      </c>
      <c r="J19" s="46">
        <f>J16+J18</f>
        <v>20134068.469999999</v>
      </c>
      <c r="K19" s="46">
        <f>K16+K18</f>
        <v>20134068.469999999</v>
      </c>
      <c r="L19" s="47"/>
      <c r="M19" s="290"/>
    </row>
    <row r="20" spans="1:15" ht="78.75" x14ac:dyDescent="0.25">
      <c r="A20" s="37"/>
      <c r="B20" s="1214" t="s">
        <v>1300</v>
      </c>
      <c r="C20" s="44"/>
      <c r="D20" s="44"/>
      <c r="E20" s="173"/>
      <c r="F20" s="46"/>
      <c r="G20" s="46"/>
      <c r="H20" s="46"/>
      <c r="I20" s="41">
        <f>П4ВСР!Z520+П4ВСР!Z507+П4ВСР!Z429+П4ВСР!Z452</f>
        <v>2442055.75</v>
      </c>
      <c r="J20" s="41">
        <v>0</v>
      </c>
      <c r="K20" s="41">
        <v>0</v>
      </c>
      <c r="L20" s="43" t="s">
        <v>31</v>
      </c>
      <c r="M20" s="1214" t="s">
        <v>510</v>
      </c>
    </row>
    <row r="21" spans="1:15" ht="45.75" customHeight="1" x14ac:dyDescent="0.25">
      <c r="A21" s="37"/>
      <c r="B21" s="1215"/>
      <c r="C21" s="49">
        <v>41540</v>
      </c>
      <c r="D21" s="36">
        <v>1181</v>
      </c>
      <c r="E21" s="40" t="s">
        <v>198</v>
      </c>
      <c r="F21" s="41">
        <v>100000</v>
      </c>
      <c r="G21" s="41">
        <v>100000</v>
      </c>
      <c r="H21" s="41">
        <v>100000</v>
      </c>
      <c r="I21" s="42">
        <f>П4ВСР!Z113+П4ВСР!Z148+П4ВСР!Z152+П4ВСР!Z245+П4ВСР!Z247+П4ВСР!Z249+П4ВСР!Z102</f>
        <v>184944.25</v>
      </c>
      <c r="J21" s="42">
        <f>П4ВСР!AA113+П4ВСР!AA148+П4ВСР!AA152+П4ВСР!AA245+П4ВСР!AA247+П4ВСР!AA249+П4ВСР!AA102</f>
        <v>400000</v>
      </c>
      <c r="K21" s="42">
        <f>П4ВСР!AB113+П4ВСР!AB148+П4ВСР!AB152+П4ВСР!AB245+П4ВСР!AB247+П4ВСР!AB249+П4ВСР!AB102</f>
        <v>400000</v>
      </c>
      <c r="L21" s="43" t="s">
        <v>28</v>
      </c>
      <c r="M21" s="1215"/>
      <c r="O21" s="242"/>
    </row>
    <row r="22" spans="1:15" ht="78" hidden="1" customHeight="1" x14ac:dyDescent="0.25">
      <c r="A22" s="50"/>
      <c r="B22" s="1224"/>
      <c r="C22" s="49"/>
      <c r="D22" s="36"/>
      <c r="E22" s="251"/>
      <c r="F22" s="41"/>
      <c r="G22" s="41"/>
      <c r="H22" s="41"/>
      <c r="I22" s="42">
        <v>0</v>
      </c>
      <c r="J22" s="42">
        <f>П4ВСР!AA508+П4ВСР!AA519</f>
        <v>0</v>
      </c>
      <c r="K22" s="42">
        <f>П4ВСР!AB508+П4ВСР!AB519</f>
        <v>0</v>
      </c>
      <c r="L22" s="43" t="s">
        <v>31</v>
      </c>
      <c r="M22" s="1215"/>
      <c r="O22" s="242"/>
    </row>
    <row r="23" spans="1:15" x14ac:dyDescent="0.25">
      <c r="A23" s="50">
        <v>4</v>
      </c>
      <c r="B23" s="44" t="s">
        <v>199</v>
      </c>
      <c r="C23" s="36"/>
      <c r="D23" s="36"/>
      <c r="E23" s="40"/>
      <c r="F23" s="46">
        <f t="shared" ref="F23:K23" si="2">SUM(F21)</f>
        <v>100000</v>
      </c>
      <c r="G23" s="46">
        <f t="shared" si="2"/>
        <v>100000</v>
      </c>
      <c r="H23" s="46">
        <f t="shared" si="2"/>
        <v>100000</v>
      </c>
      <c r="I23" s="46">
        <f>SUM(I21)+I22+I20</f>
        <v>2627000</v>
      </c>
      <c r="J23" s="46">
        <f t="shared" si="2"/>
        <v>400000</v>
      </c>
      <c r="K23" s="46">
        <f t="shared" si="2"/>
        <v>400000</v>
      </c>
      <c r="L23" s="51"/>
      <c r="M23" s="1215"/>
    </row>
    <row r="24" spans="1:15" ht="47.25" customHeight="1" x14ac:dyDescent="0.25">
      <c r="A24" s="50"/>
      <c r="B24" s="1202" t="s">
        <v>1301</v>
      </c>
      <c r="C24" s="36"/>
      <c r="D24" s="36"/>
      <c r="E24" s="171"/>
      <c r="F24" s="46"/>
      <c r="G24" s="46"/>
      <c r="H24" s="46"/>
      <c r="I24" s="41">
        <f>П4ВСР!Z238+П4ВСР!Z220+П4ВСР!Z221</f>
        <v>9960629.2500000019</v>
      </c>
      <c r="J24" s="41">
        <f>П4ВСР!AA238+П4ВСР!AA220</f>
        <v>1718956.1900000004</v>
      </c>
      <c r="K24" s="41">
        <f>П4ВСР!AB238+П4ВСР!AB220</f>
        <v>1718956.1900000004</v>
      </c>
      <c r="L24" s="43" t="s">
        <v>28</v>
      </c>
      <c r="M24" s="1205" t="s">
        <v>511</v>
      </c>
    </row>
    <row r="25" spans="1:15" ht="78.75" x14ac:dyDescent="0.25">
      <c r="A25" s="52"/>
      <c r="B25" s="1213"/>
      <c r="C25" s="49">
        <v>40564</v>
      </c>
      <c r="D25" s="36">
        <v>75</v>
      </c>
      <c r="E25" s="53" t="s">
        <v>198</v>
      </c>
      <c r="F25" s="41">
        <v>2674000</v>
      </c>
      <c r="G25" s="41">
        <v>2684000</v>
      </c>
      <c r="H25" s="41">
        <v>0</v>
      </c>
      <c r="I25" s="42">
        <f>П4ВСР!Z599+П4ВСР!Z616+П4ВСР!Z601+П4ВСР!Z618</f>
        <v>2879089.49</v>
      </c>
      <c r="J25" s="42">
        <f>П4ВСР!AA599+П4ВСР!AA616+П4ВСР!AA601+П4ВСР!AA618</f>
        <v>600000</v>
      </c>
      <c r="K25" s="42">
        <f>П4ВСР!AB599+П4ВСР!AB616+П4ВСР!AB601+П4ВСР!AB618</f>
        <v>600000</v>
      </c>
      <c r="L25" s="54" t="s">
        <v>717</v>
      </c>
      <c r="M25" s="1205"/>
    </row>
    <row r="26" spans="1:15" ht="78" customHeight="1" x14ac:dyDescent="0.25">
      <c r="A26" s="238"/>
      <c r="B26" s="1203"/>
      <c r="C26" s="49"/>
      <c r="D26" s="36"/>
      <c r="E26" s="239"/>
      <c r="F26" s="41"/>
      <c r="G26" s="41"/>
      <c r="H26" s="41"/>
      <c r="I26" s="41">
        <f>П4ВСР!Z486+П4ВСР!Z498+П4ВСР!Z502+П4ВСР!Z475</f>
        <v>9283062.7599999998</v>
      </c>
      <c r="J26" s="42">
        <f>П4ВСР!AA486</f>
        <v>0</v>
      </c>
      <c r="K26" s="42">
        <f>П4ВСР!AB486</f>
        <v>0</v>
      </c>
      <c r="L26" s="43" t="s">
        <v>31</v>
      </c>
      <c r="M26" s="1205"/>
    </row>
    <row r="27" spans="1:15" x14ac:dyDescent="0.25">
      <c r="A27" s="35">
        <v>5</v>
      </c>
      <c r="B27" s="44" t="s">
        <v>199</v>
      </c>
      <c r="C27" s="44"/>
      <c r="D27" s="44"/>
      <c r="E27" s="45"/>
      <c r="F27" s="46">
        <f t="shared" ref="F27:H27" si="3">SUM(F25)</f>
        <v>2674000</v>
      </c>
      <c r="G27" s="46">
        <f t="shared" si="3"/>
        <v>2684000</v>
      </c>
      <c r="H27" s="46">
        <f t="shared" si="3"/>
        <v>0</v>
      </c>
      <c r="I27" s="46">
        <f>I24+I25+I26</f>
        <v>22122781.5</v>
      </c>
      <c r="J27" s="46">
        <f>J24+J25</f>
        <v>2318956.1900000004</v>
      </c>
      <c r="K27" s="46">
        <f>K24+K25</f>
        <v>2318956.1900000004</v>
      </c>
      <c r="L27" s="47"/>
      <c r="M27" s="1206"/>
    </row>
    <row r="28" spans="1:15" ht="47.25" x14ac:dyDescent="0.25">
      <c r="A28" s="52"/>
      <c r="B28" s="36" t="s">
        <v>1439</v>
      </c>
      <c r="C28" s="49">
        <v>39800</v>
      </c>
      <c r="D28" s="36">
        <v>978</v>
      </c>
      <c r="E28" s="53" t="s">
        <v>200</v>
      </c>
      <c r="F28" s="41">
        <v>23996000</v>
      </c>
      <c r="G28" s="41">
        <v>22033000</v>
      </c>
      <c r="H28" s="41">
        <v>0</v>
      </c>
      <c r="I28" s="41">
        <f>П4ВСР!Z278</f>
        <v>50000</v>
      </c>
      <c r="J28" s="41">
        <f>П4ВСР!AA278</f>
        <v>50000</v>
      </c>
      <c r="K28" s="41">
        <f>П4ВСР!AB278</f>
        <v>50000</v>
      </c>
      <c r="L28" s="54" t="s">
        <v>28</v>
      </c>
      <c r="M28" s="1204" t="s">
        <v>512</v>
      </c>
    </row>
    <row r="29" spans="1:15" x14ac:dyDescent="0.25">
      <c r="A29" s="35">
        <v>6</v>
      </c>
      <c r="B29" s="44" t="s">
        <v>199</v>
      </c>
      <c r="C29" s="44"/>
      <c r="D29" s="44"/>
      <c r="E29" s="45"/>
      <c r="F29" s="46">
        <f t="shared" ref="F29:K29" si="4">F28</f>
        <v>23996000</v>
      </c>
      <c r="G29" s="46">
        <f t="shared" si="4"/>
        <v>22033000</v>
      </c>
      <c r="H29" s="46">
        <f t="shared" si="4"/>
        <v>0</v>
      </c>
      <c r="I29" s="46">
        <f t="shared" si="4"/>
        <v>50000</v>
      </c>
      <c r="J29" s="46">
        <f t="shared" si="4"/>
        <v>50000</v>
      </c>
      <c r="K29" s="46">
        <f t="shared" si="4"/>
        <v>50000</v>
      </c>
      <c r="L29" s="55"/>
      <c r="M29" s="1206"/>
    </row>
    <row r="30" spans="1:15" ht="47.25" x14ac:dyDescent="0.25">
      <c r="A30" s="35"/>
      <c r="B30" s="36" t="s">
        <v>1303</v>
      </c>
      <c r="C30" s="49">
        <v>41176</v>
      </c>
      <c r="D30" s="56">
        <v>1127</v>
      </c>
      <c r="E30" s="57" t="s">
        <v>198</v>
      </c>
      <c r="F30" s="41">
        <v>1033000</v>
      </c>
      <c r="G30" s="41">
        <v>1083000</v>
      </c>
      <c r="H30" s="41">
        <v>1133000</v>
      </c>
      <c r="I30" s="41">
        <f>П4ВСР!Z223+П4ВСР!Z332+П4ВСР!Z328+П4ВСР!Z225-1355000-24+П4ВСР!Z334-7133935.3</f>
        <v>6779710.9699999997</v>
      </c>
      <c r="J30" s="41">
        <f>П4ВСР!AA221+П4ВСР!AA223+П4ВСР!AA332+П4ВСР!AA328+П4ВСР!AA225++П4ВСР!AA231</f>
        <v>10000000</v>
      </c>
      <c r="K30" s="41">
        <f>П4ВСР!AB221+П4ВСР!AB223+П4ВСР!AB332+П4ВСР!AB328+П4ВСР!AB225++П4ВСР!AB231</f>
        <v>10000000</v>
      </c>
      <c r="L30" s="43" t="s">
        <v>28</v>
      </c>
      <c r="M30" s="1204" t="s">
        <v>513</v>
      </c>
    </row>
    <row r="31" spans="1:15" x14ac:dyDescent="0.25">
      <c r="A31" s="35">
        <v>7</v>
      </c>
      <c r="B31" s="44" t="s">
        <v>199</v>
      </c>
      <c r="C31" s="44"/>
      <c r="D31" s="44"/>
      <c r="E31" s="53"/>
      <c r="F31" s="46">
        <f t="shared" ref="F31:K31" si="5">SUM(F30)</f>
        <v>1033000</v>
      </c>
      <c r="G31" s="46">
        <f t="shared" si="5"/>
        <v>1083000</v>
      </c>
      <c r="H31" s="46">
        <f t="shared" si="5"/>
        <v>1133000</v>
      </c>
      <c r="I31" s="46">
        <f t="shared" si="5"/>
        <v>6779710.9699999997</v>
      </c>
      <c r="J31" s="46">
        <f t="shared" si="5"/>
        <v>10000000</v>
      </c>
      <c r="K31" s="46">
        <f t="shared" si="5"/>
        <v>10000000</v>
      </c>
      <c r="L31" s="47"/>
      <c r="M31" s="1206"/>
    </row>
    <row r="32" spans="1:15" ht="47.25" x14ac:dyDescent="0.25">
      <c r="A32" s="35"/>
      <c r="B32" s="36" t="s">
        <v>1304</v>
      </c>
      <c r="C32" s="49">
        <v>41540</v>
      </c>
      <c r="D32" s="36">
        <v>1188</v>
      </c>
      <c r="E32" s="53" t="s">
        <v>198</v>
      </c>
      <c r="F32" s="41">
        <v>500000</v>
      </c>
      <c r="G32" s="41">
        <v>600000</v>
      </c>
      <c r="H32" s="41">
        <v>800000</v>
      </c>
      <c r="I32" s="41">
        <f>П4ВСР!Z143+П4ВСР!Z145+П4ВСР!Z195+П4ВСР!Z197+П4ВСР!Z201+П4ВСР!Z203+П4ВСР!Z215+П4ВСР!Z213+П4ВСР!Z211+П4ВСР!Z209+П4ВСР!Z207+П4ВСР!Z205+П4ВСР!Z199-870000</f>
        <v>460000</v>
      </c>
      <c r="J32" s="41">
        <f>П4ВСР!AA143+П4ВСР!AA145+П4ВСР!AA195+П4ВСР!AA197+П4ВСР!AA201+П4ВСР!AA203</f>
        <v>200000</v>
      </c>
      <c r="K32" s="41">
        <f>П4ВСР!AB143+П4ВСР!AB145+П4ВСР!AB195+П4ВСР!AB197+П4ВСР!AB201+П4ВСР!AB203</f>
        <v>200000</v>
      </c>
      <c r="L32" s="43" t="s">
        <v>28</v>
      </c>
      <c r="M32" s="1204" t="s">
        <v>514</v>
      </c>
    </row>
    <row r="33" spans="1:13" x14ac:dyDescent="0.25">
      <c r="A33" s="35">
        <v>8</v>
      </c>
      <c r="B33" s="44" t="s">
        <v>199</v>
      </c>
      <c r="C33" s="44"/>
      <c r="D33" s="44"/>
      <c r="E33" s="53"/>
      <c r="F33" s="46">
        <f t="shared" ref="F33:K33" si="6">SUM(F32)</f>
        <v>500000</v>
      </c>
      <c r="G33" s="46">
        <f t="shared" si="6"/>
        <v>600000</v>
      </c>
      <c r="H33" s="46">
        <f t="shared" si="6"/>
        <v>800000</v>
      </c>
      <c r="I33" s="46">
        <f t="shared" si="6"/>
        <v>460000</v>
      </c>
      <c r="J33" s="46">
        <f t="shared" si="6"/>
        <v>200000</v>
      </c>
      <c r="K33" s="46">
        <f t="shared" si="6"/>
        <v>200000</v>
      </c>
      <c r="L33" s="47"/>
      <c r="M33" s="1206"/>
    </row>
    <row r="34" spans="1:13" ht="78.75" x14ac:dyDescent="0.25">
      <c r="A34" s="35"/>
      <c r="B34" s="1202" t="s">
        <v>1305</v>
      </c>
      <c r="C34" s="172"/>
      <c r="D34" s="172"/>
      <c r="E34" s="762"/>
      <c r="F34" s="46"/>
      <c r="G34" s="46"/>
      <c r="H34" s="46"/>
      <c r="I34" s="41">
        <f>П4ВСР!Z585</f>
        <v>277538.23</v>
      </c>
      <c r="J34" s="41">
        <v>0</v>
      </c>
      <c r="K34" s="41">
        <v>0</v>
      </c>
      <c r="L34" s="43" t="s">
        <v>31</v>
      </c>
      <c r="M34" s="1214" t="s">
        <v>515</v>
      </c>
    </row>
    <row r="35" spans="1:13" ht="47.25" x14ac:dyDescent="0.25">
      <c r="A35" s="35"/>
      <c r="B35" s="1203"/>
      <c r="C35" s="39">
        <v>41537</v>
      </c>
      <c r="D35" s="40">
        <v>1167</v>
      </c>
      <c r="E35" s="40" t="s">
        <v>200</v>
      </c>
      <c r="F35" s="41">
        <v>50000</v>
      </c>
      <c r="G35" s="41">
        <v>100000</v>
      </c>
      <c r="H35" s="41">
        <v>150000</v>
      </c>
      <c r="I35" s="41">
        <f>П4ВСР!Z350+П4ВСР!Z352+П4ВСР!Z354+П4ВСР!Z357+П4ВСР!Z359</f>
        <v>2400671.5</v>
      </c>
      <c r="J35" s="41">
        <f>П4ВСР!AA350+П4ВСР!AA352+П4ВСР!AA354+П4ВСР!AA357+П4ВСР!AA359+П4ВСР!AA361</f>
        <v>250000</v>
      </c>
      <c r="K35" s="41">
        <f>П4ВСР!AB350+П4ВСР!AB352+П4ВСР!AB354+П4ВСР!AB357+П4ВСР!AB359</f>
        <v>250000</v>
      </c>
      <c r="L35" s="43" t="s">
        <v>28</v>
      </c>
      <c r="M35" s="1215"/>
    </row>
    <row r="36" spans="1:13" x14ac:dyDescent="0.25">
      <c r="A36" s="35">
        <v>9</v>
      </c>
      <c r="B36" s="44" t="s">
        <v>199</v>
      </c>
      <c r="C36" s="44"/>
      <c r="D36" s="44"/>
      <c r="E36" s="53"/>
      <c r="F36" s="46">
        <f t="shared" ref="F36:K36" si="7">SUM(F35:F35)</f>
        <v>50000</v>
      </c>
      <c r="G36" s="46">
        <f t="shared" si="7"/>
        <v>100000</v>
      </c>
      <c r="H36" s="46">
        <f t="shared" si="7"/>
        <v>150000</v>
      </c>
      <c r="I36" s="46">
        <f>SUM(I35:I35)+I34</f>
        <v>2678209.73</v>
      </c>
      <c r="J36" s="46">
        <f t="shared" si="7"/>
        <v>250000</v>
      </c>
      <c r="K36" s="46">
        <f t="shared" si="7"/>
        <v>250000</v>
      </c>
      <c r="L36" s="47"/>
      <c r="M36" s="1224"/>
    </row>
    <row r="37" spans="1:13" ht="47.25" x14ac:dyDescent="0.25">
      <c r="A37" s="1216"/>
      <c r="B37" s="1204" t="s">
        <v>1306</v>
      </c>
      <c r="C37" s="1219">
        <v>41537</v>
      </c>
      <c r="D37" s="1222">
        <v>1165</v>
      </c>
      <c r="E37" s="1214" t="s">
        <v>200</v>
      </c>
      <c r="F37" s="41">
        <v>2000000</v>
      </c>
      <c r="G37" s="41">
        <v>2700000</v>
      </c>
      <c r="H37" s="41">
        <v>3000000</v>
      </c>
      <c r="I37" s="41">
        <f>П4ВСР!Z27+П4ВСР!Z44+П4ВСР!Z47+П4ВСР!Z52+П4ВСР!Z60+П4ВСР!Z62+П4ВСР!Z66+П4ВСР!Z77+П4ВСР!Z54+П4ВСР!Z70+П4ВСР!Z76+П4ВСР!Z72+П4ВСР!Z79</f>
        <v>101376101.21000001</v>
      </c>
      <c r="J37" s="41">
        <f>П4ВСР!AA27+П4ВСР!AA44+П4ВСР!AA47+П4ВСР!AA52+П4ВСР!AA60+П4ВСР!AA62+П4ВСР!AA66+П4ВСР!AA54</f>
        <v>70638247.460000008</v>
      </c>
      <c r="K37" s="41">
        <f>П4ВСР!AB27+П4ВСР!AB44+П4ВСР!AB47+П4ВСР!AB52+П4ВСР!AB60+П4ВСР!AB62+П4ВСР!AB66</f>
        <v>70338247.460000008</v>
      </c>
      <c r="L37" s="58" t="s">
        <v>28</v>
      </c>
      <c r="M37" s="1204" t="s">
        <v>516</v>
      </c>
    </row>
    <row r="38" spans="1:13" ht="63" x14ac:dyDescent="0.25">
      <c r="A38" s="1217"/>
      <c r="B38" s="1205"/>
      <c r="C38" s="1220"/>
      <c r="D38" s="1223"/>
      <c r="E38" s="1215"/>
      <c r="F38" s="41"/>
      <c r="G38" s="41"/>
      <c r="H38" s="41"/>
      <c r="I38" s="41">
        <f>П4ВСР!Z721+П4ВСР!Z727+П4ВСР!Z730</f>
        <v>11221006.379999999</v>
      </c>
      <c r="J38" s="41">
        <f>П4ВСР!AA721+П4ВСР!AA727+П4ВСР!AA730</f>
        <v>9520811.6199999992</v>
      </c>
      <c r="K38" s="41">
        <f>П4ВСР!AB721+П4ВСР!AB727+П4ВСР!AB730</f>
        <v>9366781.8100000005</v>
      </c>
      <c r="L38" s="43" t="s">
        <v>503</v>
      </c>
      <c r="M38" s="1205"/>
    </row>
    <row r="39" spans="1:13" ht="78.75" x14ac:dyDescent="0.25">
      <c r="A39" s="1218"/>
      <c r="B39" s="1206"/>
      <c r="C39" s="1221"/>
      <c r="D39" s="1221"/>
      <c r="E39" s="1224"/>
      <c r="F39" s="41">
        <v>15000</v>
      </c>
      <c r="G39" s="41">
        <v>15000</v>
      </c>
      <c r="H39" s="41">
        <v>15000</v>
      </c>
      <c r="I39" s="41">
        <f>П4ВСР!Z369+П4ВСР!Z377+П4ВСР!Z592+П4ВСР!Z405+П4ВСР!Z411+П4ВСР!Z419+П4ВСР!Z415+П4ВСР!Z373+П4ВСР!Z388+П4ВСР!Z399+П4ВСР!Z392</f>
        <v>50486081.079999998</v>
      </c>
      <c r="J39" s="41">
        <f>П4ВСР!AA369+П4ВСР!AA377+П4ВСР!AA592</f>
        <v>32133451.77</v>
      </c>
      <c r="K39" s="41">
        <f>П4ВСР!AB369+П4ВСР!AB377+П4ВСР!AB592</f>
        <v>32133451.77</v>
      </c>
      <c r="L39" s="43" t="s">
        <v>31</v>
      </c>
      <c r="M39" s="1205"/>
    </row>
    <row r="40" spans="1:13" x14ac:dyDescent="0.25">
      <c r="A40" s="35">
        <v>10</v>
      </c>
      <c r="B40" s="44" t="s">
        <v>199</v>
      </c>
      <c r="C40" s="44"/>
      <c r="D40" s="44"/>
      <c r="E40" s="53"/>
      <c r="F40" s="46">
        <f t="shared" ref="F40:K40" si="8">SUM(F37:F39)</f>
        <v>2015000</v>
      </c>
      <c r="G40" s="46">
        <f t="shared" si="8"/>
        <v>2715000</v>
      </c>
      <c r="H40" s="46">
        <f t="shared" si="8"/>
        <v>3015000</v>
      </c>
      <c r="I40" s="46">
        <f t="shared" si="8"/>
        <v>163083188.67000002</v>
      </c>
      <c r="J40" s="46">
        <f t="shared" si="8"/>
        <v>112292510.85000001</v>
      </c>
      <c r="K40" s="46">
        <f t="shared" si="8"/>
        <v>111838481.04000001</v>
      </c>
      <c r="L40" s="47"/>
      <c r="M40" s="290"/>
    </row>
    <row r="41" spans="1:13" ht="63" x14ac:dyDescent="0.25">
      <c r="A41" s="35"/>
      <c r="B41" s="1202" t="s">
        <v>1307</v>
      </c>
      <c r="C41" s="44"/>
      <c r="D41" s="44"/>
      <c r="E41" s="131"/>
      <c r="F41" s="46"/>
      <c r="G41" s="46"/>
      <c r="H41" s="46"/>
      <c r="I41" s="41">
        <f>П4ВСР!Z734</f>
        <v>4021448.54</v>
      </c>
      <c r="J41" s="41">
        <f>П4ВСР!AA734</f>
        <v>3970036.13</v>
      </c>
      <c r="K41" s="41">
        <f>П4ВСР!AB734</f>
        <v>2914339.99</v>
      </c>
      <c r="L41" s="43" t="s">
        <v>503</v>
      </c>
      <c r="M41" s="1214" t="s">
        <v>517</v>
      </c>
    </row>
    <row r="42" spans="1:13" ht="81" customHeight="1" x14ac:dyDescent="0.25">
      <c r="A42" s="35"/>
      <c r="B42" s="1213"/>
      <c r="C42" s="44"/>
      <c r="D42" s="44"/>
      <c r="E42" s="130"/>
      <c r="F42" s="46"/>
      <c r="G42" s="46"/>
      <c r="H42" s="46"/>
      <c r="I42" s="41">
        <f>П4ВСР!Z620</f>
        <v>199421</v>
      </c>
      <c r="J42" s="41">
        <f>П4ВСР!AA620</f>
        <v>100000</v>
      </c>
      <c r="K42" s="41">
        <f>П4ВСР!AB620</f>
        <v>100000</v>
      </c>
      <c r="L42" s="43" t="s">
        <v>717</v>
      </c>
      <c r="M42" s="1215"/>
    </row>
    <row r="43" spans="1:13" ht="47.25" x14ac:dyDescent="0.25">
      <c r="A43" s="35"/>
      <c r="B43" s="1213"/>
      <c r="C43" s="49">
        <v>41176</v>
      </c>
      <c r="D43" s="56">
        <v>1126</v>
      </c>
      <c r="E43" s="49" t="s">
        <v>198</v>
      </c>
      <c r="F43" s="41">
        <v>2670405</v>
      </c>
      <c r="G43" s="41">
        <v>0</v>
      </c>
      <c r="H43" s="41">
        <v>0</v>
      </c>
      <c r="I43" s="41">
        <f>П4ВСР!Z104+П4ВСР!Z108+П4ВСР!Z280+П4ВСР!Z282+П4ВСР!Z284+П4ВСР!Z106+П4ВСР!Z286</f>
        <v>906368.75</v>
      </c>
      <c r="J43" s="41">
        <f>П4ВСР!AA104+П4ВСР!AA108+П4ВСР!AA280+П4ВСР!AA282+П4ВСР!AA284+П4ВСР!AA106+П4ВСР!AA286</f>
        <v>353000</v>
      </c>
      <c r="K43" s="41">
        <f>П4ВСР!AB104+П4ВСР!AB108+П4ВСР!AB280+П4ВСР!AB282+П4ВСР!AB284+П4ВСР!AB106+П4ВСР!AB286</f>
        <v>653000</v>
      </c>
      <c r="L43" s="43" t="s">
        <v>28</v>
      </c>
      <c r="M43" s="1215"/>
    </row>
    <row r="44" spans="1:13" ht="78.75" x14ac:dyDescent="0.25">
      <c r="A44" s="869"/>
      <c r="B44" s="1203"/>
      <c r="C44" s="870"/>
      <c r="D44" s="871"/>
      <c r="E44" s="870"/>
      <c r="F44" s="872"/>
      <c r="G44" s="872"/>
      <c r="H44" s="872"/>
      <c r="I44" s="872">
        <f>П4ВСР!Z446</f>
        <v>64931.25</v>
      </c>
      <c r="J44" s="872">
        <v>0</v>
      </c>
      <c r="K44" s="872">
        <v>0</v>
      </c>
      <c r="L44" s="43" t="s">
        <v>31</v>
      </c>
      <c r="M44" s="1215"/>
    </row>
    <row r="45" spans="1:13" x14ac:dyDescent="0.25">
      <c r="A45" s="35">
        <v>11</v>
      </c>
      <c r="B45" s="44" t="s">
        <v>199</v>
      </c>
      <c r="C45" s="44"/>
      <c r="D45" s="44"/>
      <c r="E45" s="53"/>
      <c r="F45" s="46">
        <f>SUM(F43)</f>
        <v>2670405</v>
      </c>
      <c r="G45" s="46">
        <f>SUM(G43)</f>
        <v>0</v>
      </c>
      <c r="H45" s="46">
        <f>SUM(H43)</f>
        <v>0</v>
      </c>
      <c r="I45" s="46">
        <f>I41+I42+I43+I44</f>
        <v>5192169.54</v>
      </c>
      <c r="J45" s="46">
        <f>J41+J42+J43</f>
        <v>4423036.13</v>
      </c>
      <c r="K45" s="46">
        <f>K41+K42+K43</f>
        <v>3667339.99</v>
      </c>
      <c r="L45" s="47"/>
      <c r="M45" s="290"/>
    </row>
    <row r="46" spans="1:13" ht="85.5" customHeight="1" x14ac:dyDescent="0.25">
      <c r="A46" s="35"/>
      <c r="B46" s="1202" t="s">
        <v>1308</v>
      </c>
      <c r="C46" s="44"/>
      <c r="D46" s="44"/>
      <c r="E46" s="129"/>
      <c r="F46" s="46"/>
      <c r="G46" s="46"/>
      <c r="H46" s="46"/>
      <c r="I46" s="41">
        <f>П4ВСР!Z603+П4ВСР!Z607+П4ВСР!Z622+П4ВСР!Z628+П4ВСР!Z636+П4ВСР!Z638+П4ВСР!Z661+П4ВСР!Z674+П4ВСР!Z680+П4ВСР!Z688+П4ВСР!Z672+П4ВСР!Z684+П4ВСР!Z624-659188.21+П4ВСР!Z605+П4ВСР!Z632+П4ВСР!Z642-3234292.31+П4ВСР!Z666-1394332.02-679787.84+П4ВСР!Z640-17824500+П4ВСР!Z634+П4ВСР!Z630+П4ВСР!Z609+П4ВСР!Z690-41199.27</f>
        <v>249574409.24999997</v>
      </c>
      <c r="J46" s="41">
        <f>П4ВСР!AA603+П4ВСР!AA607+П4ВСР!AA622+П4ВСР!AA628+П4ВСР!AA636+П4ВСР!AA638+П4ВСР!AA661+П4ВСР!AA674+П4ВСР!AA680+П4ВСР!AA688+П4ВСР!AA672+П4ВСР!AA684+П4ВСР!AA624</f>
        <v>220625141.46999997</v>
      </c>
      <c r="K46" s="41">
        <f>П4ВСР!AB603+П4ВСР!AB607+П4ВСР!AB622+П4ВСР!AB628+П4ВСР!AB636+П4ВСР!AB638+П4ВСР!AB661+П4ВСР!AB674+П4ВСР!AB680+П4ВСР!AB688+П4ВСР!AB672+П4ВСР!AB684+П4ВСР!AB624</f>
        <v>230610827.93000001</v>
      </c>
      <c r="L46" s="43" t="s">
        <v>717</v>
      </c>
      <c r="M46" s="1204" t="s">
        <v>518</v>
      </c>
    </row>
    <row r="47" spans="1:13" ht="63" x14ac:dyDescent="0.25">
      <c r="A47" s="35"/>
      <c r="B47" s="1213"/>
      <c r="C47" s="44"/>
      <c r="D47" s="44"/>
      <c r="E47" s="130"/>
      <c r="F47" s="46"/>
      <c r="G47" s="46"/>
      <c r="H47" s="46"/>
      <c r="I47" s="41">
        <f>П4ВСР!Z745+П4ВСР!Z743</f>
        <v>9422801.5</v>
      </c>
      <c r="J47" s="41">
        <f>П4ВСР!AA745</f>
        <v>8631387.4399999995</v>
      </c>
      <c r="K47" s="41">
        <f>П4ВСР!AB745</f>
        <v>8631387.4399999995</v>
      </c>
      <c r="L47" s="59" t="s">
        <v>503</v>
      </c>
      <c r="M47" s="1205"/>
    </row>
    <row r="48" spans="1:13" ht="47.25" x14ac:dyDescent="0.25">
      <c r="A48" s="35"/>
      <c r="B48" s="1203"/>
      <c r="C48" s="57">
        <v>40869</v>
      </c>
      <c r="D48" s="53">
        <v>1218</v>
      </c>
      <c r="E48" s="53" t="s">
        <v>198</v>
      </c>
      <c r="F48" s="41">
        <v>100000</v>
      </c>
      <c r="G48" s="41">
        <v>0</v>
      </c>
      <c r="H48" s="41">
        <v>0</v>
      </c>
      <c r="I48" s="41">
        <f>П4ВСР!Z288+П4ВСР!Z290+П4ВСР!Z269</f>
        <v>473000</v>
      </c>
      <c r="J48" s="41">
        <f>П4ВСР!AA288+П4ВСР!AA290</f>
        <v>50000</v>
      </c>
      <c r="K48" s="41">
        <f>П4ВСР!AB288+П4ВСР!AB290</f>
        <v>50000</v>
      </c>
      <c r="L48" s="59" t="s">
        <v>28</v>
      </c>
      <c r="M48" s="1205"/>
    </row>
    <row r="49" spans="1:13" ht="14.25" customHeight="1" x14ac:dyDescent="0.25">
      <c r="A49" s="35">
        <v>12</v>
      </c>
      <c r="B49" s="44" t="s">
        <v>199</v>
      </c>
      <c r="C49" s="44"/>
      <c r="D49" s="44"/>
      <c r="E49" s="53"/>
      <c r="F49" s="46">
        <f>F48</f>
        <v>100000</v>
      </c>
      <c r="G49" s="46">
        <f>G48</f>
        <v>0</v>
      </c>
      <c r="H49" s="46">
        <f>H48</f>
        <v>0</v>
      </c>
      <c r="I49" s="46">
        <f>I46+I47+I48</f>
        <v>259470210.74999997</v>
      </c>
      <c r="J49" s="46">
        <f>J46+J47+J48</f>
        <v>229306528.90999997</v>
      </c>
      <c r="K49" s="46">
        <f>K46+K47+K48</f>
        <v>239292215.37</v>
      </c>
      <c r="L49" s="47"/>
      <c r="M49" s="290"/>
    </row>
    <row r="50" spans="1:13" ht="87" customHeight="1" x14ac:dyDescent="0.25">
      <c r="A50" s="35"/>
      <c r="B50" s="1202" t="s">
        <v>1309</v>
      </c>
      <c r="C50" s="44"/>
      <c r="D50" s="44"/>
      <c r="E50" s="132"/>
      <c r="F50" s="46"/>
      <c r="G50" s="46"/>
      <c r="H50" s="46"/>
      <c r="I50" s="41">
        <f>П4ВСР!Z457</f>
        <v>8950999.4000000004</v>
      </c>
      <c r="J50" s="41">
        <v>0</v>
      </c>
      <c r="K50" s="41">
        <v>0</v>
      </c>
      <c r="L50" s="43" t="s">
        <v>31</v>
      </c>
      <c r="M50" s="1204" t="s">
        <v>519</v>
      </c>
    </row>
    <row r="51" spans="1:13" ht="78.75" x14ac:dyDescent="0.25">
      <c r="A51" s="35"/>
      <c r="B51" s="1213"/>
      <c r="C51" s="44"/>
      <c r="D51" s="44"/>
      <c r="E51" s="174"/>
      <c r="F51" s="46"/>
      <c r="G51" s="46"/>
      <c r="H51" s="46"/>
      <c r="I51" s="41">
        <f>П4ВСР!Z650+П4ВСР!Z652+П4ВСР!Z654</f>
        <v>150000</v>
      </c>
      <c r="J51" s="41">
        <f>П4ВСР!AA650+П4ВСР!AA652+П4ВСР!AA654</f>
        <v>110000</v>
      </c>
      <c r="K51" s="41">
        <f>П4ВСР!AB650+П4ВСР!AB652+П4ВСР!AB654</f>
        <v>110000</v>
      </c>
      <c r="L51" s="43" t="s">
        <v>717</v>
      </c>
      <c r="M51" s="1205"/>
    </row>
    <row r="52" spans="1:13" ht="47.25" x14ac:dyDescent="0.25">
      <c r="A52" s="35"/>
      <c r="B52" s="1203"/>
      <c r="C52" s="49">
        <v>40192</v>
      </c>
      <c r="D52" s="60">
        <v>12</v>
      </c>
      <c r="E52" s="49" t="s">
        <v>198</v>
      </c>
      <c r="F52" s="41">
        <v>100000</v>
      </c>
      <c r="G52" s="41">
        <v>0</v>
      </c>
      <c r="H52" s="41">
        <v>0</v>
      </c>
      <c r="I52" s="41">
        <f>П4ВСР!Z155+П4ВСР!Z157+П4ВСР!Z161+П4ВСР!Z163+П4ВСР!Z165+П4ВСР!Z167+П4ВСР!Z173+П4ВСР!Z177+П4ВСР!Z182+П4ВСР!Z184+П4ВСР!Z187+П4ВСР!Z179+П4ВСР!Z169+П4ВСР!Z160+П4ВСР!Z188+П4ВСР!Z175-64000+П4ВСР!Z171+П4ВСР!Z192-3000000</f>
        <v>43373854.830000006</v>
      </c>
      <c r="J52" s="41">
        <f>П4ВСР!AA155+П4ВСР!AA157+П4ВСР!AA161+П4ВСР!AA163+П4ВСР!AA165+П4ВСР!AA167+П4ВСР!AA173+П4ВСР!AA177+П4ВСР!AA182+П4ВСР!AA184+П4ВСР!AA187+П4ВСР!AA179+П4ВСР!AA169+П4ВСР!AA160</f>
        <v>25761780.670000002</v>
      </c>
      <c r="K52" s="41">
        <f>П4ВСР!AB155+П4ВСР!AB157+П4ВСР!AB161+П4ВСР!AB163+П4ВСР!AB165+П4ВСР!AB167+П4ВСР!AB173+П4ВСР!AB177+П4ВСР!AB182+П4ВСР!AB184+П4ВСР!AB187+П4ВСР!AB179+П4ВСР!AB169+П4ВСР!AB160</f>
        <v>21944044.210000001</v>
      </c>
      <c r="L52" s="59" t="s">
        <v>28</v>
      </c>
      <c r="M52" s="1205"/>
    </row>
    <row r="53" spans="1:13" ht="15" customHeight="1" x14ac:dyDescent="0.25">
      <c r="A53" s="35">
        <v>13</v>
      </c>
      <c r="B53" s="44" t="s">
        <v>199</v>
      </c>
      <c r="C53" s="44"/>
      <c r="D53" s="44"/>
      <c r="E53" s="53"/>
      <c r="F53" s="46">
        <f>F52</f>
        <v>100000</v>
      </c>
      <c r="G53" s="46">
        <f>G52</f>
        <v>0</v>
      </c>
      <c r="H53" s="46">
        <f>H52</f>
        <v>0</v>
      </c>
      <c r="I53" s="46">
        <f>I50+I52+I51</f>
        <v>52474854.230000004</v>
      </c>
      <c r="J53" s="46">
        <f>J50+J52+J51</f>
        <v>25871780.670000002</v>
      </c>
      <c r="K53" s="46">
        <f>K50+K52+K51</f>
        <v>22054044.210000001</v>
      </c>
      <c r="L53" s="47"/>
      <c r="M53" s="290"/>
    </row>
    <row r="54" spans="1:13" ht="81.75" customHeight="1" x14ac:dyDescent="0.25">
      <c r="A54" s="35"/>
      <c r="B54" s="1202" t="s">
        <v>1310</v>
      </c>
      <c r="C54" s="44"/>
      <c r="D54" s="44"/>
      <c r="E54" s="272"/>
      <c r="F54" s="46"/>
      <c r="G54" s="46"/>
      <c r="H54" s="46"/>
      <c r="I54" s="41">
        <f>П4ВСР!Z552+П4ВСР!Z537+П4ВСР!Z540+П4ВСР!Z548+П4ВСР!Z561</f>
        <v>5435503.9900000002</v>
      </c>
      <c r="J54" s="41">
        <v>0</v>
      </c>
      <c r="K54" s="41">
        <v>0</v>
      </c>
      <c r="L54" s="43" t="s">
        <v>31</v>
      </c>
      <c r="M54" s="1204" t="s">
        <v>520</v>
      </c>
    </row>
    <row r="55" spans="1:13" ht="51" customHeight="1" x14ac:dyDescent="0.25">
      <c r="A55" s="35"/>
      <c r="B55" s="1203"/>
      <c r="C55" s="49">
        <v>41108</v>
      </c>
      <c r="D55" s="36">
        <v>814</v>
      </c>
      <c r="E55" s="53" t="s">
        <v>198</v>
      </c>
      <c r="F55" s="41">
        <v>150000</v>
      </c>
      <c r="G55" s="41">
        <v>150000</v>
      </c>
      <c r="H55" s="41">
        <v>150000</v>
      </c>
      <c r="I55" s="41">
        <f>П4ВСР!Z251+П4ВСР!Z253+П4ВСР!Z255+П4ВСР!Z261+П4ВСР!Z263+П4ВСР!Z257+П4ВСР!Z265+П4ВСР!Z259-2595672.91+П4ВСР!Z242</f>
        <v>4364666.2200000007</v>
      </c>
      <c r="J55" s="41">
        <f>П4ВСР!AA251+П4ВСР!AA253+П4ВСР!AA255+П4ВСР!AA261+П4ВСР!AA263</f>
        <v>150000</v>
      </c>
      <c r="K55" s="41">
        <f>П4ВСР!AB251+П4ВСР!AB253+П4ВСР!AB255+П4ВСР!AB261+П4ВСР!AB263</f>
        <v>150000</v>
      </c>
      <c r="L55" s="59" t="s">
        <v>28</v>
      </c>
      <c r="M55" s="1205"/>
    </row>
    <row r="56" spans="1:13" x14ac:dyDescent="0.25">
      <c r="A56" s="35">
        <v>14</v>
      </c>
      <c r="B56" s="44" t="s">
        <v>199</v>
      </c>
      <c r="C56" s="44"/>
      <c r="D56" s="44"/>
      <c r="E56" s="53"/>
      <c r="F56" s="46">
        <f t="shared" ref="F56:K56" si="9">F55</f>
        <v>150000</v>
      </c>
      <c r="G56" s="46">
        <f t="shared" si="9"/>
        <v>150000</v>
      </c>
      <c r="H56" s="46">
        <f t="shared" si="9"/>
        <v>150000</v>
      </c>
      <c r="I56" s="46">
        <f>I55+I54</f>
        <v>9800170.2100000009</v>
      </c>
      <c r="J56" s="46">
        <f t="shared" si="9"/>
        <v>150000</v>
      </c>
      <c r="K56" s="46">
        <f t="shared" si="9"/>
        <v>150000</v>
      </c>
      <c r="L56" s="61"/>
      <c r="M56" s="1206"/>
    </row>
    <row r="57" spans="1:13" x14ac:dyDescent="0.25">
      <c r="A57" s="37"/>
      <c r="B57" s="44" t="s">
        <v>201</v>
      </c>
      <c r="C57" s="44"/>
      <c r="D57" s="44"/>
      <c r="E57" s="45"/>
      <c r="F57" s="46" t="e">
        <f>F13+F15+F19+F27+F29+F31+F33+F36+F40+F45+F49+F53+F56+#REF!+#REF!+#REF!+#REF!+#REF!+#REF!+#REF!+F23+#REF!+#REF!</f>
        <v>#REF!</v>
      </c>
      <c r="G57" s="46" t="e">
        <f>G13+G15+G19+G27+G29+G31+G33+G36+G40+G45+G49+G53+G56+#REF!+#REF!+#REF!+#REF!+#REF!+#REF!+#REF!+G23+#REF!+#REF!</f>
        <v>#REF!</v>
      </c>
      <c r="H57" s="46" t="e">
        <f>H13+H15+H19+H27+H29+H31+H33+H36+H40+H45+H49+H53+H56+#REF!+#REF!+#REF!+#REF!+#REF!+#REF!+#REF!+H23+#REF!+#REF!</f>
        <v>#REF!</v>
      </c>
      <c r="I57" s="46">
        <f>I13+I15+I19+I23+I27+I29+I31+I33+I36+I40+I45+I49+I53+I56</f>
        <v>555542384.63999999</v>
      </c>
      <c r="J57" s="46">
        <f>J13+J15+J19+J23+J27+J29+J31+J33+J36+J40+J45+J49+J53+J56</f>
        <v>405671881.21999997</v>
      </c>
      <c r="K57" s="46">
        <f>K13+K15+K19+K23+K27+K29+K31+K33+K36+K40+K45+K49+K53+K56</f>
        <v>410630105.26999998</v>
      </c>
      <c r="L57" s="46"/>
      <c r="M57" s="63"/>
    </row>
    <row r="58" spans="1:13" x14ac:dyDescent="0.25">
      <c r="L58" s="32" t="s">
        <v>202</v>
      </c>
    </row>
    <row r="59" spans="1:13" x14ac:dyDescent="0.25">
      <c r="F59" s="64"/>
      <c r="G59" s="64"/>
      <c r="H59" s="64"/>
    </row>
    <row r="66" spans="1:13" x14ac:dyDescent="0.25">
      <c r="E66" s="65"/>
      <c r="F66" s="66"/>
      <c r="G66" s="66"/>
      <c r="H66" s="66"/>
      <c r="I66" s="66"/>
      <c r="J66" s="66"/>
      <c r="K66" s="67"/>
      <c r="L66" s="67"/>
    </row>
    <row r="80" spans="1:13" x14ac:dyDescent="0.25">
      <c r="A80" s="66"/>
      <c r="B80" s="68"/>
      <c r="C80" s="68"/>
      <c r="D80" s="68"/>
      <c r="E80" s="65"/>
      <c r="F80" s="66"/>
      <c r="G80" s="66"/>
      <c r="H80" s="66"/>
      <c r="I80" s="66"/>
      <c r="J80" s="66"/>
      <c r="K80" s="67"/>
      <c r="L80" s="67"/>
      <c r="M80" s="69"/>
    </row>
    <row r="81" spans="1:13" x14ac:dyDescent="0.25">
      <c r="A81" s="66"/>
      <c r="B81" s="68"/>
      <c r="C81" s="68"/>
      <c r="D81" s="68"/>
      <c r="E81" s="65"/>
      <c r="F81" s="66"/>
      <c r="G81" s="66"/>
      <c r="H81" s="66"/>
      <c r="I81" s="66"/>
      <c r="J81" s="66"/>
      <c r="K81" s="67"/>
      <c r="L81" s="67"/>
      <c r="M81" s="69"/>
    </row>
    <row r="82" spans="1:13" x14ac:dyDescent="0.25">
      <c r="A82" s="66"/>
      <c r="B82" s="68"/>
      <c r="C82" s="68"/>
      <c r="D82" s="68"/>
      <c r="E82" s="65"/>
      <c r="F82" s="66"/>
      <c r="G82" s="66"/>
      <c r="H82" s="66"/>
      <c r="I82" s="66"/>
      <c r="J82" s="66"/>
      <c r="K82" s="67"/>
      <c r="L82" s="67"/>
      <c r="M82" s="69"/>
    </row>
    <row r="83" spans="1:13" x14ac:dyDescent="0.25">
      <c r="A83" s="66"/>
      <c r="B83" s="68"/>
      <c r="C83" s="68"/>
      <c r="D83" s="68"/>
      <c r="E83" s="65"/>
      <c r="F83" s="66"/>
      <c r="G83" s="66"/>
      <c r="H83" s="66"/>
      <c r="I83" s="66"/>
      <c r="J83" s="66"/>
      <c r="K83" s="67"/>
      <c r="L83" s="67"/>
      <c r="M83" s="69"/>
    </row>
    <row r="84" spans="1:13" x14ac:dyDescent="0.25">
      <c r="A84" s="66"/>
      <c r="B84" s="68"/>
      <c r="C84" s="68"/>
      <c r="D84" s="68"/>
      <c r="E84" s="65"/>
      <c r="F84" s="66"/>
      <c r="G84" s="66"/>
      <c r="H84" s="66"/>
      <c r="I84" s="66"/>
      <c r="J84" s="66"/>
      <c r="K84" s="67"/>
      <c r="L84" s="67"/>
      <c r="M84" s="69"/>
    </row>
    <row r="85" spans="1:13" x14ac:dyDescent="0.25">
      <c r="A85" s="66"/>
      <c r="B85" s="1208"/>
      <c r="C85" s="1208"/>
      <c r="D85" s="1208"/>
      <c r="E85" s="1208"/>
      <c r="F85" s="1208"/>
      <c r="G85" s="1208"/>
      <c r="H85" s="1208"/>
      <c r="I85" s="1208"/>
      <c r="J85" s="1208"/>
      <c r="K85" s="1208"/>
      <c r="L85" s="65"/>
      <c r="M85" s="69"/>
    </row>
    <row r="86" spans="1:13" x14ac:dyDescent="0.25">
      <c r="A86" s="66"/>
      <c r="B86" s="68"/>
      <c r="C86" s="68"/>
      <c r="D86" s="68"/>
      <c r="E86" s="65"/>
      <c r="F86" s="66"/>
      <c r="G86" s="66"/>
      <c r="H86" s="66"/>
      <c r="I86" s="66"/>
      <c r="J86" s="66"/>
      <c r="K86" s="67"/>
      <c r="L86" s="67"/>
      <c r="M86" s="69"/>
    </row>
    <row r="87" spans="1:13" x14ac:dyDescent="0.25">
      <c r="A87" s="66"/>
      <c r="B87" s="1209"/>
      <c r="C87" s="1209"/>
      <c r="D87" s="1209"/>
      <c r="E87" s="1209"/>
      <c r="F87" s="1208"/>
      <c r="G87" s="1208"/>
      <c r="H87" s="1208"/>
      <c r="I87" s="1208"/>
      <c r="J87" s="1208"/>
      <c r="K87" s="70"/>
      <c r="L87" s="70"/>
      <c r="M87" s="1210"/>
    </row>
    <row r="88" spans="1:13" x14ac:dyDescent="0.25">
      <c r="A88" s="66"/>
      <c r="B88" s="1209"/>
      <c r="C88" s="1209"/>
      <c r="D88" s="1209"/>
      <c r="E88" s="1209"/>
      <c r="F88" s="1211"/>
      <c r="G88" s="1211"/>
      <c r="H88" s="1211"/>
      <c r="I88" s="1211"/>
      <c r="J88" s="66"/>
      <c r="K88" s="67"/>
      <c r="L88" s="67"/>
      <c r="M88" s="1210"/>
    </row>
    <row r="89" spans="1:13" x14ac:dyDescent="0.25">
      <c r="A89" s="66"/>
      <c r="B89" s="1209"/>
      <c r="C89" s="1209"/>
      <c r="D89" s="1209"/>
      <c r="E89" s="1209"/>
      <c r="F89" s="66"/>
      <c r="G89" s="66"/>
      <c r="H89" s="66"/>
      <c r="I89" s="66"/>
      <c r="J89" s="66"/>
      <c r="K89" s="67"/>
      <c r="L89" s="67"/>
      <c r="M89" s="1210"/>
    </row>
    <row r="90" spans="1:13" x14ac:dyDescent="0.25">
      <c r="A90" s="66"/>
      <c r="B90" s="1209"/>
      <c r="C90" s="1209"/>
      <c r="D90" s="1209"/>
      <c r="E90" s="1209"/>
      <c r="F90" s="71"/>
      <c r="G90" s="71"/>
      <c r="H90" s="71"/>
      <c r="I90" s="67"/>
      <c r="J90" s="71"/>
      <c r="K90" s="67"/>
      <c r="L90" s="67"/>
      <c r="M90" s="1212"/>
    </row>
    <row r="91" spans="1:13" x14ac:dyDescent="0.25">
      <c r="A91" s="66"/>
      <c r="B91" s="1209"/>
      <c r="C91" s="1209"/>
      <c r="D91" s="1209"/>
      <c r="E91" s="1209"/>
      <c r="F91" s="71"/>
      <c r="G91" s="71"/>
      <c r="H91" s="71"/>
      <c r="I91" s="67"/>
      <c r="J91" s="71"/>
      <c r="K91" s="67"/>
      <c r="L91" s="67"/>
      <c r="M91" s="1212"/>
    </row>
    <row r="92" spans="1:13" x14ac:dyDescent="0.25">
      <c r="A92" s="66"/>
      <c r="B92" s="1209"/>
      <c r="C92" s="1209"/>
      <c r="D92" s="1209"/>
      <c r="E92" s="1209"/>
      <c r="F92" s="71"/>
      <c r="G92" s="71"/>
      <c r="H92" s="71"/>
      <c r="I92" s="67"/>
      <c r="J92" s="71"/>
      <c r="K92" s="67"/>
      <c r="L92" s="67"/>
      <c r="M92" s="1212"/>
    </row>
    <row r="93" spans="1:13" x14ac:dyDescent="0.25">
      <c r="A93" s="66"/>
      <c r="B93" s="1209"/>
      <c r="C93" s="1209"/>
      <c r="D93" s="1209"/>
      <c r="E93" s="1209"/>
      <c r="F93" s="71"/>
      <c r="G93" s="71"/>
      <c r="H93" s="71"/>
      <c r="I93" s="67"/>
      <c r="J93" s="71"/>
      <c r="K93" s="67"/>
      <c r="L93" s="67"/>
      <c r="M93" s="1212"/>
    </row>
    <row r="94" spans="1:13" x14ac:dyDescent="0.25">
      <c r="A94" s="66"/>
      <c r="B94" s="1209"/>
      <c r="C94" s="1209"/>
      <c r="D94" s="1209"/>
      <c r="E94" s="1209"/>
      <c r="F94" s="71"/>
      <c r="G94" s="71"/>
      <c r="H94" s="71"/>
      <c r="I94" s="67"/>
      <c r="J94" s="71"/>
      <c r="K94" s="67"/>
      <c r="L94" s="67"/>
      <c r="M94" s="1212"/>
    </row>
    <row r="95" spans="1:13" x14ac:dyDescent="0.25">
      <c r="A95" s="66"/>
      <c r="B95" s="1209"/>
      <c r="C95" s="1209"/>
      <c r="D95" s="1209"/>
      <c r="E95" s="1209"/>
      <c r="F95" s="71"/>
      <c r="G95" s="71"/>
      <c r="H95" s="71"/>
      <c r="I95" s="67"/>
      <c r="J95" s="71"/>
      <c r="K95" s="67"/>
      <c r="L95" s="67"/>
      <c r="M95" s="1212"/>
    </row>
    <row r="96" spans="1:13" x14ac:dyDescent="0.25">
      <c r="A96" s="66"/>
      <c r="B96" s="1207"/>
      <c r="C96" s="1207"/>
      <c r="D96" s="1207"/>
      <c r="E96" s="1207"/>
      <c r="F96" s="72"/>
      <c r="G96" s="72"/>
      <c r="H96" s="72"/>
      <c r="I96" s="73"/>
      <c r="J96" s="72"/>
      <c r="K96" s="73"/>
      <c r="L96" s="73"/>
      <c r="M96" s="74"/>
    </row>
    <row r="685" spans="26:26" x14ac:dyDescent="0.25">
      <c r="Z685" s="31" t="e">
        <f>Z83+Z225+Z297+Z324+Z536+Z565+Z615+Z618+Z621+Z624+Z628+Z130+Z586+Z631+Z218+Z583+Z313+Z151+Z77+Z80+Z561+Z38+Z179+Z563+Z255+Z314+Z311+Z256+Z181+Z284+Z258+Z522+П5МП!I45Z356+Z164+Z315-1000000-73243.13-336726.78+Z317+Z215+Z213-5177262.72-62886.78+Z243-259567.29</f>
        <v>#NAME?</v>
      </c>
    </row>
  </sheetData>
  <mergeCells count="58">
    <mergeCell ref="B50:B52"/>
    <mergeCell ref="M50:M52"/>
    <mergeCell ref="A8:A10"/>
    <mergeCell ref="B8:B10"/>
    <mergeCell ref="C8:E8"/>
    <mergeCell ref="F8:K8"/>
    <mergeCell ref="L8:M8"/>
    <mergeCell ref="C9:C10"/>
    <mergeCell ref="D9:D10"/>
    <mergeCell ref="E9:E10"/>
    <mergeCell ref="F9:H9"/>
    <mergeCell ref="I9:K9"/>
    <mergeCell ref="L9:L10"/>
    <mergeCell ref="M9:M10"/>
    <mergeCell ref="M14:M15"/>
    <mergeCell ref="B11:B12"/>
    <mergeCell ref="K1:M1"/>
    <mergeCell ref="K2:M2"/>
    <mergeCell ref="K3:M3"/>
    <mergeCell ref="K4:M4"/>
    <mergeCell ref="A6:M6"/>
    <mergeCell ref="M11:M13"/>
    <mergeCell ref="A37:A39"/>
    <mergeCell ref="B37:B39"/>
    <mergeCell ref="C37:C39"/>
    <mergeCell ref="D37:D39"/>
    <mergeCell ref="E37:E39"/>
    <mergeCell ref="M34:M36"/>
    <mergeCell ref="B20:B22"/>
    <mergeCell ref="M20:M23"/>
    <mergeCell ref="B46:B48"/>
    <mergeCell ref="M46:M48"/>
    <mergeCell ref="B16:B18"/>
    <mergeCell ref="M16:M18"/>
    <mergeCell ref="M24:M27"/>
    <mergeCell ref="B24:B26"/>
    <mergeCell ref="M28:M29"/>
    <mergeCell ref="M30:M31"/>
    <mergeCell ref="M32:M33"/>
    <mergeCell ref="M37:M39"/>
    <mergeCell ref="B34:B35"/>
    <mergeCell ref="B41:B44"/>
    <mergeCell ref="M41:M44"/>
    <mergeCell ref="B54:B55"/>
    <mergeCell ref="M54:M56"/>
    <mergeCell ref="B96:E96"/>
    <mergeCell ref="B85:K85"/>
    <mergeCell ref="B87:E89"/>
    <mergeCell ref="F87:J87"/>
    <mergeCell ref="M87:M89"/>
    <mergeCell ref="F88:I88"/>
    <mergeCell ref="B90:E90"/>
    <mergeCell ref="M90:M95"/>
    <mergeCell ref="B91:E91"/>
    <mergeCell ref="B92:E92"/>
    <mergeCell ref="B93:E93"/>
    <mergeCell ref="B94:E94"/>
    <mergeCell ref="B95:E95"/>
  </mergeCells>
  <pageMargins left="0.70866141732283472" right="0.70866141732283472" top="0.74803149606299213" bottom="0.74803149606299213"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topLeftCell="A10" workbookViewId="0">
      <selection activeCell="G22" sqref="G22"/>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7" max="7" width="22.85546875" customWidth="1"/>
    <col min="8" max="8" width="39.140625" customWidth="1"/>
    <col min="10" max="10" width="21.71093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8" s="92" customFormat="1" ht="15.75" x14ac:dyDescent="0.25">
      <c r="A1" s="1"/>
      <c r="B1" s="1"/>
      <c r="C1" s="1235" t="s">
        <v>1108</v>
      </c>
      <c r="D1" s="1235"/>
      <c r="E1" s="1235"/>
      <c r="F1" s="1235"/>
    </row>
    <row r="2" spans="1:8" s="92" customFormat="1" ht="15.75" customHeight="1" x14ac:dyDescent="0.25">
      <c r="A2" s="1"/>
      <c r="B2" s="1"/>
      <c r="C2" s="1235" t="s">
        <v>244</v>
      </c>
      <c r="D2" s="1235"/>
      <c r="E2" s="1235"/>
      <c r="F2" s="1235"/>
    </row>
    <row r="3" spans="1:8" s="92" customFormat="1" ht="15.75" x14ac:dyDescent="0.25">
      <c r="A3" s="1"/>
      <c r="B3" s="1"/>
      <c r="C3" s="1235" t="s">
        <v>245</v>
      </c>
      <c r="D3" s="1235"/>
      <c r="E3" s="1235"/>
      <c r="F3" s="1235"/>
    </row>
    <row r="4" spans="1:8" s="92" customFormat="1" ht="15.75" x14ac:dyDescent="0.25">
      <c r="A4" s="1"/>
      <c r="B4" s="1"/>
      <c r="C4" s="1235" t="s">
        <v>1389</v>
      </c>
      <c r="D4" s="1235"/>
      <c r="E4" s="1235"/>
      <c r="F4" s="1235"/>
    </row>
    <row r="5" spans="1:8" s="92" customFormat="1" ht="15.75" x14ac:dyDescent="0.25">
      <c r="A5" s="1"/>
      <c r="B5" s="1"/>
      <c r="C5" s="665"/>
      <c r="D5" s="663"/>
    </row>
    <row r="6" spans="1:8" ht="15.75" x14ac:dyDescent="0.25">
      <c r="A6" s="1"/>
      <c r="B6" s="1"/>
      <c r="C6" s="665"/>
      <c r="D6" s="663"/>
    </row>
    <row r="7" spans="1:8" ht="40.5" customHeight="1" x14ac:dyDescent="0.25">
      <c r="A7" s="1131" t="s">
        <v>1088</v>
      </c>
      <c r="B7" s="1131"/>
      <c r="C7" s="1131"/>
      <c r="D7" s="1131"/>
      <c r="E7" s="1131"/>
      <c r="F7" s="1131"/>
    </row>
    <row r="8" spans="1:8" ht="16.5" thickBot="1" x14ac:dyDescent="0.3">
      <c r="A8" s="1"/>
      <c r="B8" s="1"/>
      <c r="C8" s="662"/>
      <c r="F8" s="663" t="s">
        <v>187</v>
      </c>
    </row>
    <row r="9" spans="1:8" ht="15.75" x14ac:dyDescent="0.25">
      <c r="A9" s="1132" t="s">
        <v>134</v>
      </c>
      <c r="B9" s="1132" t="s">
        <v>135</v>
      </c>
      <c r="C9" s="1134" t="s">
        <v>1</v>
      </c>
      <c r="D9" s="1136" t="s">
        <v>246</v>
      </c>
      <c r="E9" s="1137"/>
      <c r="F9" s="1137"/>
      <c r="G9" s="670" t="s">
        <v>1392</v>
      </c>
      <c r="H9" s="671" t="s">
        <v>1393</v>
      </c>
    </row>
    <row r="10" spans="1:8" ht="16.5" x14ac:dyDescent="0.3">
      <c r="A10" s="1133"/>
      <c r="B10" s="1133"/>
      <c r="C10" s="1135"/>
      <c r="D10" s="664">
        <v>2019</v>
      </c>
      <c r="E10" s="96">
        <v>2020</v>
      </c>
      <c r="F10" s="667">
        <v>2021</v>
      </c>
      <c r="G10" s="672"/>
      <c r="H10" s="673"/>
    </row>
    <row r="11" spans="1:8" ht="15.75" x14ac:dyDescent="0.25">
      <c r="A11" s="97" t="s">
        <v>122</v>
      </c>
      <c r="B11" s="97" t="s">
        <v>133</v>
      </c>
      <c r="C11" s="44" t="s">
        <v>111</v>
      </c>
      <c r="D11" s="46">
        <f>D12+D13+D14+D16+D18+D19+D15+D17</f>
        <v>138508151.64000002</v>
      </c>
      <c r="E11" s="46">
        <f>E12+E13+E14+E16+E18+E19+E15+E17</f>
        <v>100397973.66</v>
      </c>
      <c r="F11" s="668">
        <f>F12+F13+F14+F16+F18+F19+F15+F17</f>
        <v>100045995.99000001</v>
      </c>
      <c r="G11" s="674">
        <v>5268459.8</v>
      </c>
      <c r="H11" s="673" t="s">
        <v>1390</v>
      </c>
    </row>
    <row r="12" spans="1:8" ht="60" x14ac:dyDescent="0.25">
      <c r="A12" s="98" t="s">
        <v>122</v>
      </c>
      <c r="B12" s="98" t="s">
        <v>132</v>
      </c>
      <c r="C12" s="36" t="s">
        <v>247</v>
      </c>
      <c r="D12" s="41">
        <f>П4ВСР!Z13</f>
        <v>2316632.7599999998</v>
      </c>
      <c r="E12" s="41">
        <f>П4ВСР!AA13</f>
        <v>1554484</v>
      </c>
      <c r="F12" s="669">
        <f>П4ВСР!AB13</f>
        <v>1554484</v>
      </c>
      <c r="G12" s="674">
        <v>94715406.849999994</v>
      </c>
      <c r="H12" s="675" t="s">
        <v>1306</v>
      </c>
    </row>
    <row r="13" spans="1:8" ht="47.25" x14ac:dyDescent="0.25">
      <c r="A13" s="98" t="s">
        <v>122</v>
      </c>
      <c r="B13" s="98" t="s">
        <v>123</v>
      </c>
      <c r="C13" s="36" t="s">
        <v>248</v>
      </c>
      <c r="D13" s="41">
        <f>П4ВСР!Z16</f>
        <v>4000675.9699999997</v>
      </c>
      <c r="E13" s="41">
        <f>П4ВСР!AA16</f>
        <v>2993545.12</v>
      </c>
      <c r="F13" s="669">
        <f>П4ВСР!AB16</f>
        <v>2993545.12</v>
      </c>
      <c r="G13" s="674">
        <v>1837200</v>
      </c>
      <c r="H13" s="673" t="s">
        <v>1391</v>
      </c>
    </row>
    <row r="14" spans="1:8" ht="62.25" customHeight="1" x14ac:dyDescent="0.25">
      <c r="A14" s="98" t="s">
        <v>122</v>
      </c>
      <c r="B14" s="98" t="s">
        <v>136</v>
      </c>
      <c r="C14" s="36" t="s">
        <v>249</v>
      </c>
      <c r="D14" s="41">
        <f>П4ВСР!Z24</f>
        <v>29148844.360000003</v>
      </c>
      <c r="E14" s="41">
        <f>П4ВСР!AA24</f>
        <v>30947252.790000003</v>
      </c>
      <c r="F14" s="669">
        <f>П4ВСР!AB24</f>
        <v>30947252.790000003</v>
      </c>
      <c r="G14" s="672"/>
      <c r="H14" s="673"/>
    </row>
    <row r="15" spans="1:8" ht="15.75" hidden="1" x14ac:dyDescent="0.25">
      <c r="A15" s="98" t="s">
        <v>122</v>
      </c>
      <c r="B15" s="98" t="s">
        <v>124</v>
      </c>
      <c r="C15" s="21" t="s">
        <v>137</v>
      </c>
      <c r="D15" s="41">
        <f>П4ВСР!Z37</f>
        <v>27892</v>
      </c>
      <c r="E15" s="41">
        <f>П4ВСР!AA37</f>
        <v>29405</v>
      </c>
      <c r="F15" s="669">
        <f>П4ВСР!AB37</f>
        <v>31153</v>
      </c>
      <c r="G15" s="672"/>
      <c r="H15" s="673"/>
    </row>
    <row r="16" spans="1:8" ht="46.5" customHeight="1" x14ac:dyDescent="0.25">
      <c r="A16" s="98" t="s">
        <v>122</v>
      </c>
      <c r="B16" s="98" t="s">
        <v>125</v>
      </c>
      <c r="C16" s="36" t="s">
        <v>250</v>
      </c>
      <c r="D16" s="41">
        <f>П4ВСР!Z40+П4ВСР!Z368</f>
        <v>14263032.240000002</v>
      </c>
      <c r="E16" s="41">
        <f>П4ВСР!AA40+П4ВСР!AA368</f>
        <v>12727969.449999999</v>
      </c>
      <c r="F16" s="669">
        <f>П4ВСР!AB40+П4ВСР!AB368</f>
        <v>12728207.449999999</v>
      </c>
      <c r="G16" s="672"/>
      <c r="H16" s="673"/>
    </row>
    <row r="17" spans="1:8" ht="15.75" x14ac:dyDescent="0.25">
      <c r="A17" s="98" t="s">
        <v>122</v>
      </c>
      <c r="B17" s="98" t="s">
        <v>138</v>
      </c>
      <c r="C17" s="36" t="s">
        <v>139</v>
      </c>
      <c r="D17" s="41">
        <f>П4ВСР!Z45</f>
        <v>2300839.5499999998</v>
      </c>
      <c r="E17" s="41">
        <f>П4ВСР!AA44</f>
        <v>0</v>
      </c>
      <c r="F17" s="669">
        <f>П4ВСР!AB44</f>
        <v>0</v>
      </c>
      <c r="G17" s="672"/>
      <c r="H17" s="673"/>
    </row>
    <row r="18" spans="1:8" ht="15.75" x14ac:dyDescent="0.25">
      <c r="A18" s="98" t="s">
        <v>122</v>
      </c>
      <c r="B18" s="98" t="s">
        <v>128</v>
      </c>
      <c r="C18" s="36" t="s">
        <v>140</v>
      </c>
      <c r="D18" s="41">
        <f>П4ВСР!Z46</f>
        <v>351931</v>
      </c>
      <c r="E18" s="41">
        <f>П4ВСР!AA46</f>
        <v>351931</v>
      </c>
      <c r="F18" s="669">
        <f>П4ВСР!AB46</f>
        <v>351931</v>
      </c>
      <c r="G18" s="672"/>
      <c r="H18" s="673"/>
    </row>
    <row r="19" spans="1:8" ht="16.5" thickBot="1" x14ac:dyDescent="0.3">
      <c r="A19" s="98" t="s">
        <v>122</v>
      </c>
      <c r="B19" s="98" t="s">
        <v>130</v>
      </c>
      <c r="C19" s="36" t="s">
        <v>141</v>
      </c>
      <c r="D19" s="41">
        <f>П4ВСР!Z49+П4ВСР!Z720+П4ВСР!Z385</f>
        <v>86098303.760000005</v>
      </c>
      <c r="E19" s="41">
        <f>П4ВСР!AA49+П4ВСР!AA720</f>
        <v>51793386.300000004</v>
      </c>
      <c r="F19" s="669">
        <f>П4ВСР!AB49+П4ВСР!AB720</f>
        <v>51439422.63000001</v>
      </c>
      <c r="G19" s="676"/>
      <c r="H19" s="677"/>
    </row>
    <row r="20" spans="1:8" ht="31.5" x14ac:dyDescent="0.25">
      <c r="A20" s="97" t="s">
        <v>123</v>
      </c>
      <c r="B20" s="97" t="s">
        <v>133</v>
      </c>
      <c r="C20" s="44" t="s">
        <v>112</v>
      </c>
      <c r="D20" s="46">
        <f>D22+D23</f>
        <v>5006517.29</v>
      </c>
      <c r="E20" s="46">
        <f>E22+E23</f>
        <v>4270036.13</v>
      </c>
      <c r="F20" s="668">
        <f>F22+F23</f>
        <v>3514339.99</v>
      </c>
      <c r="G20" s="679">
        <v>100000</v>
      </c>
      <c r="H20" s="680" t="s">
        <v>1300</v>
      </c>
    </row>
    <row r="21" spans="1:8" ht="15.75" hidden="1" x14ac:dyDescent="0.25">
      <c r="A21" s="98" t="s">
        <v>123</v>
      </c>
      <c r="B21" s="98" t="s">
        <v>132</v>
      </c>
      <c r="C21" s="36" t="s">
        <v>142</v>
      </c>
      <c r="D21" s="41">
        <v>0</v>
      </c>
      <c r="E21" s="41">
        <v>0</v>
      </c>
      <c r="F21" s="669">
        <v>0</v>
      </c>
      <c r="G21" s="674"/>
      <c r="H21" s="673"/>
    </row>
    <row r="22" spans="1:8" ht="57.75" customHeight="1" x14ac:dyDescent="0.25">
      <c r="A22" s="98" t="s">
        <v>123</v>
      </c>
      <c r="B22" s="98" t="s">
        <v>127</v>
      </c>
      <c r="C22" s="36" t="s">
        <v>251</v>
      </c>
      <c r="D22" s="41">
        <f>П4ВСР!Z101+П4ВСР!Z733+П4ВСР!Z429</f>
        <v>5006517.29</v>
      </c>
      <c r="E22" s="41">
        <f>П4ВСР!AA101+П4ВСР!AA733</f>
        <v>4270036.13</v>
      </c>
      <c r="F22" s="669">
        <f>П4ВСР!AB101+П4ВСР!AB733</f>
        <v>3514339.99</v>
      </c>
      <c r="G22" s="674">
        <v>3696686.13</v>
      </c>
      <c r="H22" s="675" t="s">
        <v>1306</v>
      </c>
    </row>
    <row r="23" spans="1:8" ht="73.5" customHeight="1" thickBot="1" x14ac:dyDescent="0.3">
      <c r="A23" s="98"/>
      <c r="B23" s="98"/>
      <c r="C23" s="36"/>
      <c r="D23" s="41"/>
      <c r="E23" s="84"/>
      <c r="F23" s="678"/>
      <c r="G23" s="681">
        <v>450000</v>
      </c>
      <c r="H23" s="682" t="s">
        <v>1307</v>
      </c>
    </row>
    <row r="24" spans="1:8" ht="14.25" hidden="1" customHeight="1" x14ac:dyDescent="0.25">
      <c r="A24" s="98" t="s">
        <v>123</v>
      </c>
      <c r="B24" s="98" t="s">
        <v>131</v>
      </c>
      <c r="C24" s="36" t="s">
        <v>145</v>
      </c>
      <c r="D24" s="41">
        <v>0</v>
      </c>
      <c r="E24" s="99">
        <v>0</v>
      </c>
      <c r="F24" s="99">
        <v>0</v>
      </c>
    </row>
    <row r="25" spans="1:8" ht="15.75" x14ac:dyDescent="0.25">
      <c r="A25" s="97" t="s">
        <v>136</v>
      </c>
      <c r="B25" s="97" t="s">
        <v>133</v>
      </c>
      <c r="C25" s="44" t="s">
        <v>113</v>
      </c>
      <c r="D25" s="46">
        <f>D26+D27+D28+D29+D30+D31</f>
        <v>48233176.260000005</v>
      </c>
      <c r="E25" s="46">
        <f>E26+E27+E28+E29+E30+E31</f>
        <v>26209102.100000001</v>
      </c>
      <c r="F25" s="668">
        <f>F26+F27+F28+F29+F30+F31</f>
        <v>22391365.640000001</v>
      </c>
      <c r="G25" s="670"/>
      <c r="H25" s="671"/>
    </row>
    <row r="26" spans="1:8" ht="15.75" hidden="1" x14ac:dyDescent="0.25">
      <c r="A26" s="98" t="s">
        <v>136</v>
      </c>
      <c r="B26" s="98" t="s">
        <v>122</v>
      </c>
      <c r="C26" s="36" t="s">
        <v>146</v>
      </c>
      <c r="D26" s="41">
        <v>0</v>
      </c>
      <c r="E26" s="41">
        <v>0</v>
      </c>
      <c r="F26" s="669">
        <v>0</v>
      </c>
      <c r="G26" s="672"/>
      <c r="H26" s="673"/>
    </row>
    <row r="27" spans="1:8" ht="37.5" customHeight="1" x14ac:dyDescent="0.25">
      <c r="A27" s="98" t="s">
        <v>136</v>
      </c>
      <c r="B27" s="98" t="s">
        <v>124</v>
      </c>
      <c r="C27" s="36" t="s">
        <v>147</v>
      </c>
      <c r="D27" s="41">
        <f>П4ВСР!Z116</f>
        <v>465321.43</v>
      </c>
      <c r="E27" s="41">
        <f>П4ВСР!AA116</f>
        <v>247321.43</v>
      </c>
      <c r="F27" s="669">
        <f>П4ВСР!AB116</f>
        <v>247321.43</v>
      </c>
      <c r="G27" s="674">
        <v>595000</v>
      </c>
      <c r="H27" s="683" t="s">
        <v>1297</v>
      </c>
    </row>
    <row r="28" spans="1:8" ht="15.75" hidden="1" x14ac:dyDescent="0.25">
      <c r="A28" s="98" t="s">
        <v>136</v>
      </c>
      <c r="B28" s="98" t="s">
        <v>125</v>
      </c>
      <c r="C28" s="100" t="s">
        <v>252</v>
      </c>
      <c r="D28" s="41">
        <f>П4ВСР!Z147</f>
        <v>0</v>
      </c>
      <c r="E28" s="41">
        <f>П4ВСР!AA147</f>
        <v>0</v>
      </c>
      <c r="F28" s="669">
        <f>П4ВСР!AB147</f>
        <v>0</v>
      </c>
      <c r="G28" s="674"/>
      <c r="H28" s="673"/>
    </row>
    <row r="29" spans="1:8" ht="15.75" x14ac:dyDescent="0.25">
      <c r="A29" s="98" t="s">
        <v>136</v>
      </c>
      <c r="B29" s="98" t="s">
        <v>126</v>
      </c>
      <c r="C29" s="36" t="s">
        <v>148</v>
      </c>
      <c r="D29" s="41">
        <f>П4ВСР!Z154</f>
        <v>739000</v>
      </c>
      <c r="E29" s="41">
        <f>П4ВСР!AA154</f>
        <v>0</v>
      </c>
      <c r="F29" s="669">
        <f>П4ВСР!AB154</f>
        <v>0</v>
      </c>
      <c r="G29" s="674">
        <f>22300+64000</f>
        <v>86300</v>
      </c>
      <c r="H29" s="673" t="s">
        <v>1394</v>
      </c>
    </row>
    <row r="30" spans="1:8" ht="30" x14ac:dyDescent="0.25">
      <c r="A30" s="98" t="s">
        <v>136</v>
      </c>
      <c r="B30" s="98" t="s">
        <v>127</v>
      </c>
      <c r="C30" s="36" t="s">
        <v>1319</v>
      </c>
      <c r="D30" s="41">
        <f>П4ВСР!Z181+П4ВСР!Z435</f>
        <v>45698854.830000006</v>
      </c>
      <c r="E30" s="41">
        <f>П4ВСР!AA181</f>
        <v>25761780.670000002</v>
      </c>
      <c r="F30" s="669">
        <f>П4ВСР!AB181</f>
        <v>21944044.210000001</v>
      </c>
      <c r="G30" s="674">
        <f>700000+37227154.68</f>
        <v>37927154.68</v>
      </c>
      <c r="H30" s="675" t="s">
        <v>1309</v>
      </c>
    </row>
    <row r="31" spans="1:8" ht="30.75" thickBot="1" x14ac:dyDescent="0.3">
      <c r="A31" s="98" t="s">
        <v>136</v>
      </c>
      <c r="B31" s="98" t="s">
        <v>129</v>
      </c>
      <c r="C31" s="36" t="s">
        <v>149</v>
      </c>
      <c r="D31" s="41">
        <f>П4ВСР!Z194+П4ВСР!Z442</f>
        <v>1330000</v>
      </c>
      <c r="E31" s="41">
        <f>П4ВСР!AA194</f>
        <v>200000</v>
      </c>
      <c r="F31" s="669">
        <f>П4ВСР!AB194</f>
        <v>200000</v>
      </c>
      <c r="G31" s="681">
        <v>520000</v>
      </c>
      <c r="H31" s="682" t="s">
        <v>1304</v>
      </c>
    </row>
    <row r="32" spans="1:8" ht="16.5" thickBot="1" x14ac:dyDescent="0.3">
      <c r="A32" s="97" t="s">
        <v>124</v>
      </c>
      <c r="B32" s="97" t="s">
        <v>133</v>
      </c>
      <c r="C32" s="44" t="s">
        <v>114</v>
      </c>
      <c r="D32" s="101">
        <f>D33+D34+D35+D36</f>
        <v>173009924.92000002</v>
      </c>
      <c r="E32" s="101">
        <f>E33+E34+E35+E36</f>
        <v>71599041.829999998</v>
      </c>
      <c r="F32" s="101">
        <f>F33+F34+F35+F36</f>
        <v>71599041.829999998</v>
      </c>
    </row>
    <row r="33" spans="1:8" ht="75" x14ac:dyDescent="0.25">
      <c r="A33" s="98" t="s">
        <v>124</v>
      </c>
      <c r="B33" s="98" t="s">
        <v>122</v>
      </c>
      <c r="C33" s="36" t="s">
        <v>150</v>
      </c>
      <c r="D33" s="41">
        <f>П4ВСР!Z218+П4ВСР!Z466+П4ВСР!Z475</f>
        <v>40378917.469999999</v>
      </c>
      <c r="E33" s="41">
        <f>П4ВСР!AA218</f>
        <v>10000000</v>
      </c>
      <c r="F33" s="669">
        <f>П4ВСР!AB218</f>
        <v>10000000</v>
      </c>
      <c r="G33" s="679">
        <v>10000000</v>
      </c>
      <c r="H33" s="680" t="s">
        <v>1301</v>
      </c>
    </row>
    <row r="34" spans="1:8" ht="15.75" x14ac:dyDescent="0.25">
      <c r="A34" s="98" t="s">
        <v>124</v>
      </c>
      <c r="B34" s="98" t="s">
        <v>132</v>
      </c>
      <c r="C34" s="36" t="s">
        <v>151</v>
      </c>
      <c r="D34" s="41">
        <f>П4ВСР!Z235+П4ВСР!Z485</f>
        <v>126208908.52</v>
      </c>
      <c r="E34" s="41">
        <f>П4ВСР!AA235</f>
        <v>61149041.829999998</v>
      </c>
      <c r="F34" s="669">
        <f>П4ВСР!AB235</f>
        <v>61149041.829999998</v>
      </c>
      <c r="G34" s="674">
        <v>59426900</v>
      </c>
      <c r="H34" s="673" t="s">
        <v>1391</v>
      </c>
    </row>
    <row r="35" spans="1:8" ht="30" x14ac:dyDescent="0.25">
      <c r="A35" s="98" t="s">
        <v>124</v>
      </c>
      <c r="B35" s="98" t="s">
        <v>123</v>
      </c>
      <c r="C35" s="100" t="s">
        <v>152</v>
      </c>
      <c r="D35" s="41">
        <f>П4ВСР!Z244+П4ВСР!Z508+П4ВСР!Z531+П4ВСР!Z519+П4ВСР!Z535</f>
        <v>6422098.9299999997</v>
      </c>
      <c r="E35" s="41">
        <f>П4ВСР!AA244</f>
        <v>450000</v>
      </c>
      <c r="F35" s="669">
        <f>П4ВСР!AB244</f>
        <v>450000</v>
      </c>
      <c r="G35" s="674">
        <v>1800000</v>
      </c>
      <c r="H35" s="675" t="s">
        <v>1300</v>
      </c>
    </row>
    <row r="36" spans="1:8" ht="31.5" hidden="1" x14ac:dyDescent="0.25">
      <c r="A36" s="98" t="s">
        <v>124</v>
      </c>
      <c r="B36" s="98" t="s">
        <v>124</v>
      </c>
      <c r="C36" s="36" t="s">
        <v>153</v>
      </c>
      <c r="D36" s="41"/>
      <c r="E36" s="102"/>
      <c r="F36" s="684"/>
      <c r="G36" s="672"/>
      <c r="H36" s="673"/>
    </row>
    <row r="37" spans="1:8" ht="15.75" hidden="1" x14ac:dyDescent="0.25">
      <c r="A37" s="97" t="s">
        <v>125</v>
      </c>
      <c r="B37" s="97" t="s">
        <v>133</v>
      </c>
      <c r="C37" s="44" t="s">
        <v>115</v>
      </c>
      <c r="D37" s="46">
        <f>D38</f>
        <v>0</v>
      </c>
      <c r="E37" s="46">
        <f>E38</f>
        <v>0</v>
      </c>
      <c r="F37" s="668">
        <f>F38</f>
        <v>0</v>
      </c>
      <c r="G37" s="672"/>
      <c r="H37" s="673"/>
    </row>
    <row r="38" spans="1:8" ht="30.75" customHeight="1" thickBot="1" x14ac:dyDescent="0.3">
      <c r="A38" s="98"/>
      <c r="B38" s="98"/>
      <c r="C38" s="100"/>
      <c r="D38" s="41"/>
      <c r="E38" s="102"/>
      <c r="F38" s="684"/>
      <c r="G38" s="681">
        <v>3802388</v>
      </c>
      <c r="H38" s="682" t="s">
        <v>1310</v>
      </c>
    </row>
    <row r="39" spans="1:8" ht="16.5" thickBot="1" x14ac:dyDescent="0.3">
      <c r="A39" s="97" t="s">
        <v>138</v>
      </c>
      <c r="B39" s="97" t="s">
        <v>133</v>
      </c>
      <c r="C39" s="44" t="s">
        <v>116</v>
      </c>
      <c r="D39" s="46">
        <f>D40+D41+D43+D44+D42</f>
        <v>514127232.35999995</v>
      </c>
      <c r="E39" s="46">
        <f>E40+E41+E43+E44+E42</f>
        <v>471885856.39999992</v>
      </c>
      <c r="F39" s="46">
        <f>F40+F41+F43+F44+F42</f>
        <v>495532900.21999997</v>
      </c>
    </row>
    <row r="40" spans="1:8" ht="75" x14ac:dyDescent="0.25">
      <c r="A40" s="98" t="s">
        <v>138</v>
      </c>
      <c r="B40" s="98" t="s">
        <v>122</v>
      </c>
      <c r="C40" s="36" t="s">
        <v>155</v>
      </c>
      <c r="D40" s="41">
        <f>П4ВСР!Z598</f>
        <v>121166056.84999999</v>
      </c>
      <c r="E40" s="41">
        <f>П4ВСР!AA598</f>
        <v>136187868.88999999</v>
      </c>
      <c r="F40" s="669">
        <f>П4ВСР!AB598</f>
        <v>148067405.03</v>
      </c>
      <c r="G40" s="679">
        <v>1800000</v>
      </c>
      <c r="H40" s="680" t="s">
        <v>1301</v>
      </c>
    </row>
    <row r="41" spans="1:8" ht="60" x14ac:dyDescent="0.25">
      <c r="A41" s="98" t="s">
        <v>138</v>
      </c>
      <c r="B41" s="98" t="s">
        <v>132</v>
      </c>
      <c r="C41" s="36" t="s">
        <v>156</v>
      </c>
      <c r="D41" s="41">
        <f>П4ВСР!Z268+П4ВСР!Z615+П4ВСР!Z739</f>
        <v>348050071.54000002</v>
      </c>
      <c r="E41" s="41">
        <f>П4ВСР!AA268+П4ВСР!AA615+П4ВСР!AA739</f>
        <v>297315831.83999997</v>
      </c>
      <c r="F41" s="669">
        <f>П4ВСР!AB268+П4ВСР!AB615+П4ВСР!AB739</f>
        <v>311275245.13999999</v>
      </c>
      <c r="G41" s="674">
        <v>162168705.18000001</v>
      </c>
      <c r="H41" s="675" t="s">
        <v>1306</v>
      </c>
    </row>
    <row r="42" spans="1:8" ht="15.75" x14ac:dyDescent="0.25">
      <c r="A42" s="98" t="s">
        <v>138</v>
      </c>
      <c r="B42" s="98" t="s">
        <v>123</v>
      </c>
      <c r="C42" s="241" t="s">
        <v>745</v>
      </c>
      <c r="D42" s="41">
        <f>П4ВСР!Z742</f>
        <v>9422801.5</v>
      </c>
      <c r="E42" s="41">
        <f>П4ВСР!AA742</f>
        <v>8631387.4399999995</v>
      </c>
      <c r="F42" s="669">
        <f>П4ВСР!AB742</f>
        <v>8631387.4399999995</v>
      </c>
      <c r="G42" s="674">
        <v>226547300</v>
      </c>
      <c r="H42" s="673" t="s">
        <v>1394</v>
      </c>
    </row>
    <row r="43" spans="1:8" ht="30" x14ac:dyDescent="0.25">
      <c r="A43" s="98" t="s">
        <v>138</v>
      </c>
      <c r="B43" s="98" t="s">
        <v>138</v>
      </c>
      <c r="C43" s="36" t="s">
        <v>706</v>
      </c>
      <c r="D43" s="41">
        <f>П4ВСР!Z277+П4ВСР!Z660</f>
        <v>4643632.0200000005</v>
      </c>
      <c r="E43" s="41">
        <f>П4ВСР!AA277+П4ВСР!AA660</f>
        <v>4147332.27</v>
      </c>
      <c r="F43" s="669">
        <f>П4ВСР!AB277+П4ВСР!AB660</f>
        <v>3164643.14</v>
      </c>
      <c r="G43" s="674">
        <v>71668157.019999996</v>
      </c>
      <c r="H43" s="675" t="s">
        <v>1308</v>
      </c>
    </row>
    <row r="44" spans="1:8" ht="77.25" customHeight="1" x14ac:dyDescent="0.25">
      <c r="A44" s="98" t="s">
        <v>138</v>
      </c>
      <c r="B44" s="98" t="s">
        <v>127</v>
      </c>
      <c r="C44" s="36" t="s">
        <v>158</v>
      </c>
      <c r="D44" s="41">
        <f>П4ВСР!Z292+П4ВСР!Z671</f>
        <v>30844670.450000003</v>
      </c>
      <c r="E44" s="41">
        <f>П4ВСР!AA292+П4ВСР!AA671</f>
        <v>25603435.960000001</v>
      </c>
      <c r="F44" s="669">
        <f>П4ВСР!AB292+П4ВСР!AB671</f>
        <v>24394219.469999999</v>
      </c>
      <c r="G44" s="674">
        <v>333000</v>
      </c>
      <c r="H44" s="675" t="s">
        <v>1307</v>
      </c>
    </row>
    <row r="45" spans="1:8" ht="32.25" customHeight="1" x14ac:dyDescent="0.25">
      <c r="A45" s="98"/>
      <c r="B45" s="98"/>
      <c r="C45" s="36"/>
      <c r="D45" s="41"/>
      <c r="E45" s="41"/>
      <c r="F45" s="669"/>
      <c r="G45" s="674">
        <v>150000</v>
      </c>
      <c r="H45" s="675" t="s">
        <v>1309</v>
      </c>
    </row>
    <row r="46" spans="1:8" ht="32.25" customHeight="1" x14ac:dyDescent="0.25">
      <c r="A46" s="98"/>
      <c r="B46" s="98"/>
      <c r="C46" s="36"/>
      <c r="D46" s="41"/>
      <c r="E46" s="41"/>
      <c r="F46" s="669"/>
      <c r="G46" s="674">
        <v>526500</v>
      </c>
      <c r="H46" s="673" t="s">
        <v>1390</v>
      </c>
    </row>
    <row r="47" spans="1:8" ht="60.75" customHeight="1" thickBot="1" x14ac:dyDescent="0.3">
      <c r="A47" s="98"/>
      <c r="B47" s="98"/>
      <c r="C47" s="36"/>
      <c r="D47" s="41"/>
      <c r="E47" s="41"/>
      <c r="F47" s="669"/>
      <c r="G47" s="681">
        <v>50000</v>
      </c>
      <c r="H47" s="682" t="s">
        <v>1302</v>
      </c>
    </row>
    <row r="48" spans="1:8" ht="16.5" thickBot="1" x14ac:dyDescent="0.3">
      <c r="A48" s="97" t="s">
        <v>126</v>
      </c>
      <c r="B48" s="97" t="s">
        <v>133</v>
      </c>
      <c r="C48" s="44" t="s">
        <v>253</v>
      </c>
      <c r="D48" s="46">
        <f>D49</f>
        <v>30757013.040000003</v>
      </c>
      <c r="E48" s="46">
        <f>E49</f>
        <v>21165368.469999999</v>
      </c>
      <c r="F48" s="46">
        <f>F49</f>
        <v>21375468.469999999</v>
      </c>
    </row>
    <row r="49" spans="1:8" ht="27" customHeight="1" x14ac:dyDescent="0.25">
      <c r="A49" s="98" t="s">
        <v>126</v>
      </c>
      <c r="B49" s="98" t="s">
        <v>122</v>
      </c>
      <c r="C49" s="36" t="s">
        <v>159</v>
      </c>
      <c r="D49" s="41">
        <f>П4ВСР!Z296+П4ВСР!Z749+П4ВСР!Z565</f>
        <v>30757013.040000003</v>
      </c>
      <c r="E49" s="41">
        <f>П4ВСР!AA296+П4ВСР!AA749</f>
        <v>21165368.469999999</v>
      </c>
      <c r="F49" s="669">
        <f>П4ВСР!AB296+П4ВСР!AB749</f>
        <v>21375468.469999999</v>
      </c>
      <c r="G49" s="679">
        <v>22879620.469999999</v>
      </c>
      <c r="H49" s="680" t="s">
        <v>1299</v>
      </c>
    </row>
    <row r="50" spans="1:8" ht="0.75" hidden="1" customHeight="1" x14ac:dyDescent="0.25">
      <c r="A50" s="97" t="s">
        <v>127</v>
      </c>
      <c r="B50" s="97" t="s">
        <v>133</v>
      </c>
      <c r="C50" s="44" t="s">
        <v>117</v>
      </c>
      <c r="D50" s="46">
        <f>D52+D51</f>
        <v>0</v>
      </c>
      <c r="E50" s="46">
        <f>E52+E51</f>
        <v>0</v>
      </c>
      <c r="F50" s="668">
        <f>F52+F51</f>
        <v>0</v>
      </c>
      <c r="G50" s="672"/>
      <c r="H50" s="673"/>
    </row>
    <row r="51" spans="1:8" s="18" customFormat="1" ht="15.75" hidden="1" x14ac:dyDescent="0.25">
      <c r="A51" s="98" t="s">
        <v>127</v>
      </c>
      <c r="B51" s="98" t="s">
        <v>138</v>
      </c>
      <c r="C51" s="36" t="s">
        <v>160</v>
      </c>
      <c r="D51" s="41">
        <v>0</v>
      </c>
      <c r="E51" s="41">
        <v>0</v>
      </c>
      <c r="F51" s="669">
        <v>0</v>
      </c>
      <c r="G51" s="685"/>
      <c r="H51" s="686"/>
    </row>
    <row r="52" spans="1:8" ht="22.5" customHeight="1" thickBot="1" x14ac:dyDescent="0.3">
      <c r="A52" s="103"/>
      <c r="B52" s="103"/>
      <c r="C52" s="21"/>
      <c r="D52" s="41"/>
      <c r="E52" s="41"/>
      <c r="F52" s="669"/>
      <c r="G52" s="681">
        <v>400000</v>
      </c>
      <c r="H52" s="677" t="s">
        <v>1390</v>
      </c>
    </row>
    <row r="53" spans="1:8" ht="16.5" thickBot="1" x14ac:dyDescent="0.3">
      <c r="A53" s="104" t="s">
        <v>143</v>
      </c>
      <c r="B53" s="104" t="s">
        <v>133</v>
      </c>
      <c r="C53" s="105" t="s">
        <v>118</v>
      </c>
      <c r="D53" s="46">
        <f>D54+D55+D56+D57</f>
        <v>41552700.390000001</v>
      </c>
      <c r="E53" s="46">
        <f>E54+E55+E56+E57</f>
        <v>37250171.960000001</v>
      </c>
      <c r="F53" s="46">
        <f>F54+F55+F56+F57</f>
        <v>37846924.780000001</v>
      </c>
    </row>
    <row r="54" spans="1:8" ht="15.75" x14ac:dyDescent="0.25">
      <c r="A54" s="103" t="s">
        <v>143</v>
      </c>
      <c r="B54" s="103" t="s">
        <v>122</v>
      </c>
      <c r="C54" s="21" t="s">
        <v>162</v>
      </c>
      <c r="D54" s="41">
        <f>П4ВСР!Z320+П4ВСР!Z693</f>
        <v>2756767.38</v>
      </c>
      <c r="E54" s="41">
        <f>П4ВСР!AA320+П4ВСР!AA693</f>
        <v>2177967.38</v>
      </c>
      <c r="F54" s="669">
        <f>П4ВСР!AB320+П4ВСР!AB693</f>
        <v>2177967.38</v>
      </c>
      <c r="G54" s="679">
        <v>2177967.38</v>
      </c>
      <c r="H54" s="671" t="s">
        <v>1390</v>
      </c>
    </row>
    <row r="55" spans="1:8" ht="45" x14ac:dyDescent="0.25">
      <c r="A55" s="103" t="s">
        <v>143</v>
      </c>
      <c r="B55" s="103" t="s">
        <v>123</v>
      </c>
      <c r="C55" s="21" t="s">
        <v>163</v>
      </c>
      <c r="D55" s="41">
        <f>П4ВСР!Z325</f>
        <v>4547472.25</v>
      </c>
      <c r="E55" s="41">
        <f>П4ВСР!AA325</f>
        <v>350000</v>
      </c>
      <c r="F55" s="669">
        <f>П4ВСР!AB325</f>
        <v>350000</v>
      </c>
      <c r="G55" s="674">
        <v>50000</v>
      </c>
      <c r="H55" s="675" t="s">
        <v>1298</v>
      </c>
    </row>
    <row r="56" spans="1:8" ht="45" x14ac:dyDescent="0.25">
      <c r="A56" s="103" t="s">
        <v>143</v>
      </c>
      <c r="B56" s="103" t="s">
        <v>136</v>
      </c>
      <c r="C56" s="21" t="s">
        <v>164</v>
      </c>
      <c r="D56" s="41">
        <f>П4ВСР!Z343+П4ВСР!Z697</f>
        <v>32255408.079999998</v>
      </c>
      <c r="E56" s="41">
        <f>П4ВСР!AA343+П4ВСР!AA697</f>
        <v>32652727.699999999</v>
      </c>
      <c r="F56" s="669">
        <f>П4ВСР!AB343+П4ВСР!AB697</f>
        <v>33176027.699999999</v>
      </c>
      <c r="G56" s="674">
        <v>2355000</v>
      </c>
      <c r="H56" s="675" t="s">
        <v>1303</v>
      </c>
    </row>
    <row r="57" spans="1:8" ht="15.75" x14ac:dyDescent="0.25">
      <c r="A57" s="103" t="s">
        <v>143</v>
      </c>
      <c r="B57" s="103" t="s">
        <v>125</v>
      </c>
      <c r="C57" s="153" t="s">
        <v>753</v>
      </c>
      <c r="D57" s="41">
        <f>П4ВСР!Z714</f>
        <v>1993052.68</v>
      </c>
      <c r="E57" s="41">
        <f>П4ВСР!AA714</f>
        <v>2069476.88</v>
      </c>
      <c r="F57" s="669">
        <f>П4ВСР!AB714</f>
        <v>2142929.7000000002</v>
      </c>
      <c r="G57" s="674">
        <v>900000</v>
      </c>
      <c r="H57" s="673" t="s">
        <v>1390</v>
      </c>
    </row>
    <row r="58" spans="1:8" ht="16.5" thickBot="1" x14ac:dyDescent="0.3">
      <c r="A58" s="103"/>
      <c r="B58" s="103"/>
      <c r="C58" s="666"/>
      <c r="D58" s="41"/>
      <c r="E58" s="41"/>
      <c r="F58" s="669"/>
      <c r="G58" s="681">
        <v>34533500</v>
      </c>
      <c r="H58" s="677" t="s">
        <v>1391</v>
      </c>
    </row>
    <row r="59" spans="1:8" ht="16.5" thickBot="1" x14ac:dyDescent="0.3">
      <c r="A59" s="104" t="s">
        <v>128</v>
      </c>
      <c r="B59" s="104" t="s">
        <v>133</v>
      </c>
      <c r="C59" s="105" t="s">
        <v>165</v>
      </c>
      <c r="D59" s="46">
        <f>D60+D63</f>
        <v>2400671.5</v>
      </c>
      <c r="E59" s="46">
        <f>E60+E63</f>
        <v>250000</v>
      </c>
      <c r="F59" s="46">
        <f>F60+F63</f>
        <v>250000</v>
      </c>
    </row>
    <row r="60" spans="1:8" ht="30" x14ac:dyDescent="0.25">
      <c r="A60" s="103" t="s">
        <v>128</v>
      </c>
      <c r="B60" s="103" t="s">
        <v>122</v>
      </c>
      <c r="C60" s="21" t="s">
        <v>254</v>
      </c>
      <c r="D60" s="41">
        <f>П4ВСР!Z349</f>
        <v>681837.4</v>
      </c>
      <c r="E60" s="41">
        <f>П4ВСР!AA349</f>
        <v>116000</v>
      </c>
      <c r="F60" s="669">
        <f>П4ВСР!AB349</f>
        <v>150000</v>
      </c>
      <c r="G60" s="679">
        <v>1970000</v>
      </c>
      <c r="H60" s="680" t="s">
        <v>1305</v>
      </c>
    </row>
    <row r="61" spans="1:8" ht="31.5" hidden="1" x14ac:dyDescent="0.25">
      <c r="A61" s="103" t="s">
        <v>128</v>
      </c>
      <c r="B61" s="103" t="s">
        <v>136</v>
      </c>
      <c r="C61" s="21" t="s">
        <v>167</v>
      </c>
      <c r="D61" s="41">
        <v>0</v>
      </c>
      <c r="E61" s="99">
        <v>0</v>
      </c>
      <c r="F61" s="687">
        <v>0</v>
      </c>
      <c r="G61" s="672"/>
      <c r="H61" s="673"/>
    </row>
    <row r="62" spans="1:8" ht="15.75" hidden="1" x14ac:dyDescent="0.25">
      <c r="A62" s="103" t="s">
        <v>128</v>
      </c>
      <c r="B62" s="103" t="s">
        <v>124</v>
      </c>
      <c r="C62" s="83" t="s">
        <v>168</v>
      </c>
      <c r="D62" s="41">
        <v>0</v>
      </c>
      <c r="E62" s="99">
        <v>0</v>
      </c>
      <c r="F62" s="687">
        <v>0</v>
      </c>
      <c r="G62" s="672"/>
      <c r="H62" s="673"/>
    </row>
    <row r="63" spans="1:8" ht="16.5" thickBot="1" x14ac:dyDescent="0.3">
      <c r="A63" s="103" t="s">
        <v>128</v>
      </c>
      <c r="B63" s="103" t="s">
        <v>132</v>
      </c>
      <c r="C63" s="83" t="s">
        <v>166</v>
      </c>
      <c r="D63" s="41">
        <f>П4ВСР!Z356</f>
        <v>1718834.1</v>
      </c>
      <c r="E63" s="41">
        <f>П4ВСР!AA356</f>
        <v>134000</v>
      </c>
      <c r="F63" s="669">
        <f>П4ВСР!AB356</f>
        <v>100000</v>
      </c>
      <c r="G63" s="676"/>
      <c r="H63" s="677"/>
    </row>
    <row r="64" spans="1:8" ht="31.5" hidden="1" x14ac:dyDescent="0.25">
      <c r="A64" s="104" t="s">
        <v>130</v>
      </c>
      <c r="B64" s="104" t="s">
        <v>133</v>
      </c>
      <c r="C64" s="106" t="s">
        <v>120</v>
      </c>
      <c r="D64" s="46">
        <f>D65</f>
        <v>0</v>
      </c>
      <c r="E64" s="46">
        <f>E65</f>
        <v>0</v>
      </c>
      <c r="F64" s="46">
        <f>F65</f>
        <v>0</v>
      </c>
    </row>
    <row r="65" spans="1:8" ht="31.5" hidden="1" x14ac:dyDescent="0.25">
      <c r="A65" s="103" t="s">
        <v>130</v>
      </c>
      <c r="B65" s="103" t="s">
        <v>122</v>
      </c>
      <c r="C65" s="83" t="s">
        <v>255</v>
      </c>
      <c r="D65" s="41">
        <v>0</v>
      </c>
      <c r="E65" s="41">
        <f>П4ВСР!AA383</f>
        <v>0</v>
      </c>
      <c r="F65" s="41">
        <f>П4ВСР!AB383</f>
        <v>0</v>
      </c>
    </row>
    <row r="66" spans="1:8" ht="32.25" thickBot="1" x14ac:dyDescent="0.3">
      <c r="A66" s="104" t="s">
        <v>131</v>
      </c>
      <c r="B66" s="104" t="s">
        <v>133</v>
      </c>
      <c r="C66" s="106" t="s">
        <v>1320</v>
      </c>
      <c r="D66" s="46">
        <f>D67</f>
        <v>21804570.870000001</v>
      </c>
      <c r="E66" s="46">
        <f>E67</f>
        <v>22408600</v>
      </c>
      <c r="F66" s="46">
        <f>F67</f>
        <v>22427900</v>
      </c>
    </row>
    <row r="67" spans="1:8" ht="60.75" thickBot="1" x14ac:dyDescent="0.3">
      <c r="A67" s="103" t="s">
        <v>131</v>
      </c>
      <c r="B67" s="103" t="s">
        <v>122</v>
      </c>
      <c r="C67" s="83" t="s">
        <v>169</v>
      </c>
      <c r="D67" s="41">
        <f>П4ВСР!Z591</f>
        <v>21804570.870000001</v>
      </c>
      <c r="E67" s="41">
        <f>П4ВСР!AA591</f>
        <v>22408600</v>
      </c>
      <c r="F67" s="669">
        <f>П4ВСР!AB591</f>
        <v>22427900</v>
      </c>
      <c r="G67" s="688">
        <v>22378300</v>
      </c>
      <c r="H67" s="689" t="s">
        <v>1306</v>
      </c>
    </row>
    <row r="68" spans="1:8" s="107" customFormat="1" ht="15.75" x14ac:dyDescent="0.25">
      <c r="A68" s="104" t="s">
        <v>133</v>
      </c>
      <c r="B68" s="104" t="s">
        <v>133</v>
      </c>
      <c r="C68" s="106" t="s">
        <v>1343</v>
      </c>
      <c r="D68" s="46">
        <f>[1]П_6!I198</f>
        <v>0</v>
      </c>
      <c r="E68" s="46">
        <f>П4ВСР!AA364</f>
        <v>4420012.5</v>
      </c>
      <c r="F68" s="46">
        <f>П4ВСР!AB364</f>
        <v>9094467.7599999998</v>
      </c>
    </row>
    <row r="69" spans="1:8" ht="18.75" customHeight="1" x14ac:dyDescent="0.25">
      <c r="A69" s="104" t="s">
        <v>170</v>
      </c>
      <c r="B69" s="104" t="s">
        <v>133</v>
      </c>
      <c r="C69" s="105" t="s">
        <v>171</v>
      </c>
      <c r="D69" s="46">
        <f>D11+D20+D25+D32+D39+D48+D50+D53+D59+D37+D64+D66</f>
        <v>975399958.26999998</v>
      </c>
      <c r="E69" s="46">
        <f>E11+E20+E25+E32+E39+E48+E50+E53+E59+E37+E64+E66+E68</f>
        <v>759856163.04999995</v>
      </c>
      <c r="F69" s="46">
        <f>F11+F20+F25+F32+F39+F48+F50+F53+F59+F37+F64+F66+F68</f>
        <v>784078404.67999995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74803149606299213" header="0.31496062992125984" footer="0.31496062992125984"/>
  <pageSetup paperSize="9" scale="75"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39" workbookViewId="0">
      <selection activeCell="H75" sqref="H75"/>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2" customFormat="1" ht="15.75" x14ac:dyDescent="0.25">
      <c r="A1" s="1"/>
      <c r="B1" s="1"/>
      <c r="C1" s="1235" t="s">
        <v>1414</v>
      </c>
      <c r="D1" s="1235"/>
      <c r="E1" s="1235"/>
      <c r="F1" s="1235"/>
    </row>
    <row r="2" spans="1:6" s="92" customFormat="1" ht="15.75" customHeight="1" x14ac:dyDescent="0.25">
      <c r="A2" s="1"/>
      <c r="B2" s="1"/>
      <c r="C2" s="1235" t="s">
        <v>244</v>
      </c>
      <c r="D2" s="1235"/>
      <c r="E2" s="1235"/>
      <c r="F2" s="1235"/>
    </row>
    <row r="3" spans="1:6" s="92" customFormat="1" ht="15.75" x14ac:dyDescent="0.25">
      <c r="A3" s="1"/>
      <c r="B3" s="1"/>
      <c r="C3" s="1235" t="s">
        <v>245</v>
      </c>
      <c r="D3" s="1235"/>
      <c r="E3" s="1235"/>
      <c r="F3" s="1235"/>
    </row>
    <row r="4" spans="1:6" s="92" customFormat="1" ht="15.75" x14ac:dyDescent="0.25">
      <c r="A4" s="1"/>
      <c r="B4" s="1"/>
      <c r="C4" s="1235" t="s">
        <v>1682</v>
      </c>
      <c r="D4" s="1235"/>
      <c r="E4" s="1235"/>
      <c r="F4" s="1235"/>
    </row>
    <row r="5" spans="1:6" s="92" customFormat="1" ht="0.6" customHeight="1" x14ac:dyDescent="0.25">
      <c r="A5" s="1"/>
      <c r="B5" s="1"/>
      <c r="C5" s="94"/>
      <c r="D5" s="34"/>
    </row>
    <row r="6" spans="1:6" ht="15.75" hidden="1" x14ac:dyDescent="0.25">
      <c r="A6" s="1"/>
      <c r="B6" s="1"/>
      <c r="C6" s="94"/>
      <c r="D6" s="34"/>
    </row>
    <row r="7" spans="1:6" ht="40.5" customHeight="1" x14ac:dyDescent="0.25">
      <c r="A7" s="1131" t="s">
        <v>1088</v>
      </c>
      <c r="B7" s="1131"/>
      <c r="C7" s="1131"/>
      <c r="D7" s="1131"/>
      <c r="E7" s="1131"/>
      <c r="F7" s="1131"/>
    </row>
    <row r="8" spans="1:6" ht="15.75" x14ac:dyDescent="0.25">
      <c r="A8" s="1"/>
      <c r="B8" s="1"/>
      <c r="C8" s="25"/>
      <c r="F8" s="34" t="s">
        <v>187</v>
      </c>
    </row>
    <row r="9" spans="1:6" ht="15.75" x14ac:dyDescent="0.25">
      <c r="A9" s="1132" t="s">
        <v>134</v>
      </c>
      <c r="B9" s="1132" t="s">
        <v>135</v>
      </c>
      <c r="C9" s="1134" t="s">
        <v>1</v>
      </c>
      <c r="D9" s="1136" t="s">
        <v>246</v>
      </c>
      <c r="E9" s="1137"/>
      <c r="F9" s="1138"/>
    </row>
    <row r="10" spans="1:6" ht="16.5" x14ac:dyDescent="0.3">
      <c r="A10" s="1133"/>
      <c r="B10" s="1133"/>
      <c r="C10" s="1135"/>
      <c r="D10" s="62">
        <v>2019</v>
      </c>
      <c r="E10" s="96">
        <v>2020</v>
      </c>
      <c r="F10" s="96">
        <v>2021</v>
      </c>
    </row>
    <row r="11" spans="1:6" ht="15.75" x14ac:dyDescent="0.25">
      <c r="A11" s="97" t="s">
        <v>122</v>
      </c>
      <c r="B11" s="97" t="s">
        <v>133</v>
      </c>
      <c r="C11" s="44" t="s">
        <v>111</v>
      </c>
      <c r="D11" s="46">
        <f>D12+D13+D14+D16+D18+D19+D15+D17</f>
        <v>155265553.62000003</v>
      </c>
      <c r="E11" s="46">
        <f>E12+E13+E14+E16+E18+E19+E15+E17</f>
        <v>100397973.66</v>
      </c>
      <c r="F11" s="46">
        <f>F12+F13+F14+F16+F18+F19+F15+F17</f>
        <v>100045995.99000001</v>
      </c>
    </row>
    <row r="12" spans="1:6" ht="31.5" x14ac:dyDescent="0.25">
      <c r="A12" s="98" t="s">
        <v>122</v>
      </c>
      <c r="B12" s="98" t="s">
        <v>132</v>
      </c>
      <c r="C12" s="36" t="s">
        <v>247</v>
      </c>
      <c r="D12" s="41">
        <f>П4ВСР!Z13</f>
        <v>2316632.7599999998</v>
      </c>
      <c r="E12" s="41">
        <f>П4ВСР!AA13</f>
        <v>1554484</v>
      </c>
      <c r="F12" s="41">
        <f>П4ВСР!AB13</f>
        <v>1554484</v>
      </c>
    </row>
    <row r="13" spans="1:6" ht="47.25" x14ac:dyDescent="0.25">
      <c r="A13" s="98" t="s">
        <v>122</v>
      </c>
      <c r="B13" s="98" t="s">
        <v>123</v>
      </c>
      <c r="C13" s="36" t="s">
        <v>248</v>
      </c>
      <c r="D13" s="41">
        <f>П4ВСР!Z16</f>
        <v>4000675.9699999997</v>
      </c>
      <c r="E13" s="41">
        <f>П4ВСР!AA16</f>
        <v>2993545.12</v>
      </c>
      <c r="F13" s="41">
        <f>П4ВСР!AB16</f>
        <v>2993545.12</v>
      </c>
    </row>
    <row r="14" spans="1:6" ht="48.6" customHeight="1" x14ac:dyDescent="0.25">
      <c r="A14" s="98" t="s">
        <v>122</v>
      </c>
      <c r="B14" s="98" t="s">
        <v>136</v>
      </c>
      <c r="C14" s="36" t="s">
        <v>249</v>
      </c>
      <c r="D14" s="41">
        <f>П4ВСР!Z24</f>
        <v>29148844.360000003</v>
      </c>
      <c r="E14" s="41">
        <f>П4ВСР!AA24</f>
        <v>30947252.790000003</v>
      </c>
      <c r="F14" s="41">
        <f>П4ВСР!AB24</f>
        <v>30947252.790000003</v>
      </c>
    </row>
    <row r="15" spans="1:6" ht="22.5" customHeight="1" x14ac:dyDescent="0.25">
      <c r="A15" s="98" t="s">
        <v>122</v>
      </c>
      <c r="B15" s="98" t="s">
        <v>124</v>
      </c>
      <c r="C15" s="21" t="s">
        <v>137</v>
      </c>
      <c r="D15" s="41">
        <f>П4ВСР!Z37</f>
        <v>27892</v>
      </c>
      <c r="E15" s="41">
        <f>П4ВСР!AA37</f>
        <v>29405</v>
      </c>
      <c r="F15" s="41">
        <f>П4ВСР!AB37</f>
        <v>31153</v>
      </c>
    </row>
    <row r="16" spans="1:6" ht="46.5" customHeight="1" x14ac:dyDescent="0.25">
      <c r="A16" s="98" t="s">
        <v>122</v>
      </c>
      <c r="B16" s="98" t="s">
        <v>125</v>
      </c>
      <c r="C16" s="36" t="s">
        <v>250</v>
      </c>
      <c r="D16" s="41">
        <f>П4ВСР!Z40+П4ВСР!Z368</f>
        <v>14263032.240000002</v>
      </c>
      <c r="E16" s="41">
        <f>П4ВСР!AA40+П4ВСР!AA368</f>
        <v>12727969.449999999</v>
      </c>
      <c r="F16" s="41">
        <f>П4ВСР!AB40+П4ВСР!AB368</f>
        <v>12728207.449999999</v>
      </c>
    </row>
    <row r="17" spans="1:6" ht="15.75" x14ac:dyDescent="0.25">
      <c r="A17" s="98" t="s">
        <v>122</v>
      </c>
      <c r="B17" s="98" t="s">
        <v>138</v>
      </c>
      <c r="C17" s="36" t="s">
        <v>139</v>
      </c>
      <c r="D17" s="41">
        <f>П4ВСР!Z45</f>
        <v>2300839.5499999998</v>
      </c>
      <c r="E17" s="41">
        <f>П4ВСР!AA44</f>
        <v>0</v>
      </c>
      <c r="F17" s="41">
        <f>П4ВСР!AB44</f>
        <v>0</v>
      </c>
    </row>
    <row r="18" spans="1:6" ht="15.75" x14ac:dyDescent="0.25">
      <c r="A18" s="98" t="s">
        <v>122</v>
      </c>
      <c r="B18" s="98" t="s">
        <v>128</v>
      </c>
      <c r="C18" s="36" t="s">
        <v>140</v>
      </c>
      <c r="D18" s="41">
        <f>П4ВСР!Z46</f>
        <v>351931</v>
      </c>
      <c r="E18" s="41">
        <f>П4ВСР!AA46</f>
        <v>351931</v>
      </c>
      <c r="F18" s="41">
        <f>П4ВСР!AB46</f>
        <v>351931</v>
      </c>
    </row>
    <row r="19" spans="1:6" ht="15.75" x14ac:dyDescent="0.25">
      <c r="A19" s="98" t="s">
        <v>122</v>
      </c>
      <c r="B19" s="98" t="s">
        <v>130</v>
      </c>
      <c r="C19" s="36" t="s">
        <v>141</v>
      </c>
      <c r="D19" s="41">
        <f>П4ВСР!Z49+П4ВСР!Z720+П4ВСР!Z385+П4ВСР!Z405+П4ВСР!Z411+П4ВСР!Z419+П4ВСР!Z415+П4ВСР!Z387+П4ВСР!Z399+П4ВСР!Z392</f>
        <v>102855705.74000001</v>
      </c>
      <c r="E19" s="41">
        <f>П4ВСР!AA49+П4ВСР!AA720</f>
        <v>51793386.300000004</v>
      </c>
      <c r="F19" s="41">
        <f>П4ВСР!AB49+П4ВСР!AB720</f>
        <v>51439422.63000001</v>
      </c>
    </row>
    <row r="20" spans="1:6" ht="31.5" x14ac:dyDescent="0.25">
      <c r="A20" s="97" t="s">
        <v>123</v>
      </c>
      <c r="B20" s="97" t="s">
        <v>133</v>
      </c>
      <c r="C20" s="44" t="s">
        <v>112</v>
      </c>
      <c r="D20" s="46">
        <f>D22+D23</f>
        <v>5071448.54</v>
      </c>
      <c r="E20" s="46">
        <f>E22+E23</f>
        <v>4270036.13</v>
      </c>
      <c r="F20" s="46">
        <f>F22+F23</f>
        <v>3514339.99</v>
      </c>
    </row>
    <row r="21" spans="1:6" ht="15.75" hidden="1" x14ac:dyDescent="0.25">
      <c r="A21" s="98" t="s">
        <v>123</v>
      </c>
      <c r="B21" s="98" t="s">
        <v>132</v>
      </c>
      <c r="C21" s="36" t="s">
        <v>142</v>
      </c>
      <c r="D21" s="41">
        <v>0</v>
      </c>
      <c r="E21" s="41">
        <v>0</v>
      </c>
      <c r="F21" s="41">
        <v>0</v>
      </c>
    </row>
    <row r="22" spans="1:6" ht="34.5" customHeight="1" x14ac:dyDescent="0.25">
      <c r="A22" s="98" t="s">
        <v>123</v>
      </c>
      <c r="B22" s="98" t="s">
        <v>127</v>
      </c>
      <c r="C22" s="36" t="s">
        <v>251</v>
      </c>
      <c r="D22" s="41">
        <f>П4ВСР!Z101+П4ВСР!Z733+П4ВСР!Z429+П4ВСР!Z446</f>
        <v>5071448.54</v>
      </c>
      <c r="E22" s="41">
        <f>П4ВСР!AA101+П4ВСР!AA733</f>
        <v>4270036.13</v>
      </c>
      <c r="F22" s="41">
        <f>П4ВСР!AB101+П4ВСР!AB733</f>
        <v>3514339.99</v>
      </c>
    </row>
    <row r="23" spans="1:6" ht="22.5" customHeight="1" x14ac:dyDescent="0.25">
      <c r="A23" s="98" t="s">
        <v>123</v>
      </c>
      <c r="B23" s="98" t="s">
        <v>143</v>
      </c>
      <c r="C23" s="36" t="s">
        <v>144</v>
      </c>
      <c r="D23" s="41">
        <f>П4ВСР!Z112</f>
        <v>0</v>
      </c>
      <c r="E23" s="84">
        <f>П4ВСР!AA112</f>
        <v>0</v>
      </c>
      <c r="F23" s="84">
        <f>П4ВСР!AB112</f>
        <v>0</v>
      </c>
    </row>
    <row r="24" spans="1:6" ht="0.75" hidden="1" customHeight="1" x14ac:dyDescent="0.25">
      <c r="A24" s="98" t="s">
        <v>123</v>
      </c>
      <c r="B24" s="98" t="s">
        <v>131</v>
      </c>
      <c r="C24" s="36" t="s">
        <v>145</v>
      </c>
      <c r="D24" s="41">
        <v>0</v>
      </c>
      <c r="E24" s="99">
        <v>0</v>
      </c>
      <c r="F24" s="99">
        <v>0</v>
      </c>
    </row>
    <row r="25" spans="1:6" ht="15.75" x14ac:dyDescent="0.25">
      <c r="A25" s="97" t="s">
        <v>136</v>
      </c>
      <c r="B25" s="97" t="s">
        <v>133</v>
      </c>
      <c r="C25" s="44" t="s">
        <v>113</v>
      </c>
      <c r="D25" s="46">
        <f>D26+D27+D28+D29+D30+D31</f>
        <v>57256175.660000004</v>
      </c>
      <c r="E25" s="46">
        <f>E26+E27+E28+E29+E30+E31</f>
        <v>26209102.100000001</v>
      </c>
      <c r="F25" s="46">
        <f>F26+F27+F28+F29+F30+F31</f>
        <v>22391365.640000001</v>
      </c>
    </row>
    <row r="26" spans="1:6" ht="15.75" hidden="1" x14ac:dyDescent="0.25">
      <c r="A26" s="98" t="s">
        <v>136</v>
      </c>
      <c r="B26" s="98" t="s">
        <v>122</v>
      </c>
      <c r="C26" s="36" t="s">
        <v>146</v>
      </c>
      <c r="D26" s="41">
        <v>0</v>
      </c>
      <c r="E26" s="41">
        <v>0</v>
      </c>
      <c r="F26" s="41">
        <v>0</v>
      </c>
    </row>
    <row r="27" spans="1:6" ht="15" customHeight="1" x14ac:dyDescent="0.25">
      <c r="A27" s="98" t="s">
        <v>136</v>
      </c>
      <c r="B27" s="98" t="s">
        <v>124</v>
      </c>
      <c r="C27" s="36" t="s">
        <v>147</v>
      </c>
      <c r="D27" s="41">
        <f>П4ВСР!Z116</f>
        <v>465321.43</v>
      </c>
      <c r="E27" s="41">
        <f>П4ВСР!AA116</f>
        <v>247321.43</v>
      </c>
      <c r="F27" s="41">
        <f>П4ВСР!AB116</f>
        <v>247321.43</v>
      </c>
    </row>
    <row r="28" spans="1:6" ht="17.25" customHeight="1" x14ac:dyDescent="0.25">
      <c r="A28" s="98" t="s">
        <v>136</v>
      </c>
      <c r="B28" s="98" t="s">
        <v>125</v>
      </c>
      <c r="C28" s="100" t="s">
        <v>252</v>
      </c>
      <c r="D28" s="41">
        <f>П4ВСР!Z452</f>
        <v>72000</v>
      </c>
      <c r="E28" s="41">
        <f>П4ВСР!AA147</f>
        <v>0</v>
      </c>
      <c r="F28" s="41">
        <f>П4ВСР!AB147</f>
        <v>0</v>
      </c>
    </row>
    <row r="29" spans="1:6" ht="15.75" x14ac:dyDescent="0.25">
      <c r="A29" s="98" t="s">
        <v>136</v>
      </c>
      <c r="B29" s="98" t="s">
        <v>126</v>
      </c>
      <c r="C29" s="36" t="s">
        <v>148</v>
      </c>
      <c r="D29" s="41">
        <f>П4ВСР!Z154</f>
        <v>739000</v>
      </c>
      <c r="E29" s="41">
        <f>П4ВСР!AA154</f>
        <v>0</v>
      </c>
      <c r="F29" s="41">
        <f>П4ВСР!AB154</f>
        <v>0</v>
      </c>
    </row>
    <row r="30" spans="1:6" ht="15.75" x14ac:dyDescent="0.25">
      <c r="A30" s="98" t="s">
        <v>136</v>
      </c>
      <c r="B30" s="98" t="s">
        <v>127</v>
      </c>
      <c r="C30" s="36" t="s">
        <v>1319</v>
      </c>
      <c r="D30" s="41">
        <f>П4ВСР!Z181+П4ВСР!Z435+П4ВСР!Z457</f>
        <v>54649854.230000004</v>
      </c>
      <c r="E30" s="41">
        <f>П4ВСР!AA181</f>
        <v>25761780.670000002</v>
      </c>
      <c r="F30" s="41">
        <f>П4ВСР!AB181</f>
        <v>21944044.210000001</v>
      </c>
    </row>
    <row r="31" spans="1:6" ht="15.75" x14ac:dyDescent="0.25">
      <c r="A31" s="98" t="s">
        <v>136</v>
      </c>
      <c r="B31" s="98" t="s">
        <v>129</v>
      </c>
      <c r="C31" s="36" t="s">
        <v>149</v>
      </c>
      <c r="D31" s="41">
        <f>П4ВСР!Z194+П4ВСР!Z442</f>
        <v>1330000</v>
      </c>
      <c r="E31" s="41">
        <f>П4ВСР!AA194</f>
        <v>200000</v>
      </c>
      <c r="F31" s="41">
        <f>П4ВСР!AB194</f>
        <v>200000</v>
      </c>
    </row>
    <row r="32" spans="1:6" ht="15.75" x14ac:dyDescent="0.25">
      <c r="A32" s="97" t="s">
        <v>124</v>
      </c>
      <c r="B32" s="97" t="s">
        <v>133</v>
      </c>
      <c r="C32" s="44" t="s">
        <v>114</v>
      </c>
      <c r="D32" s="101">
        <f>D33+D34+D35+D36</f>
        <v>178378428.91</v>
      </c>
      <c r="E32" s="101">
        <f>E33+E34+E35+E36</f>
        <v>71599041.829999998</v>
      </c>
      <c r="F32" s="101">
        <f>F33+F34+F35+F36</f>
        <v>71599041.829999998</v>
      </c>
    </row>
    <row r="33" spans="1:6" ht="15.75" x14ac:dyDescent="0.25">
      <c r="A33" s="98" t="s">
        <v>124</v>
      </c>
      <c r="B33" s="98" t="s">
        <v>122</v>
      </c>
      <c r="C33" s="36" t="s">
        <v>150</v>
      </c>
      <c r="D33" s="41">
        <f>П4ВСР!Z218+П4ВСР!Z466+П4ВСР!Z475</f>
        <v>40378917.469999999</v>
      </c>
      <c r="E33" s="41">
        <f>П4ВСР!AA218</f>
        <v>10000000</v>
      </c>
      <c r="F33" s="41">
        <f>П4ВСР!AB218</f>
        <v>10000000</v>
      </c>
    </row>
    <row r="34" spans="1:6" ht="15.75" x14ac:dyDescent="0.25">
      <c r="A34" s="98" t="s">
        <v>124</v>
      </c>
      <c r="B34" s="98" t="s">
        <v>132</v>
      </c>
      <c r="C34" s="36" t="s">
        <v>151</v>
      </c>
      <c r="D34" s="41">
        <f>П4ВСР!Z235+П4ВСР!Z485</f>
        <v>126208908.52</v>
      </c>
      <c r="E34" s="41">
        <f>П4ВСР!AA235</f>
        <v>61149041.829999998</v>
      </c>
      <c r="F34" s="41">
        <f>П4ВСР!AB235</f>
        <v>61149041.829999998</v>
      </c>
    </row>
    <row r="35" spans="1:6" ht="15.75" x14ac:dyDescent="0.25">
      <c r="A35" s="98" t="s">
        <v>124</v>
      </c>
      <c r="B35" s="98" t="s">
        <v>123</v>
      </c>
      <c r="C35" s="100" t="s">
        <v>152</v>
      </c>
      <c r="D35" s="41">
        <f>П4ВСР!Z244+П4ВСР!Z508+П4ВСР!Z531+П4ВСР!Z519+П4ВСР!Z535+П4ВСР!Z552+П4ВСР!Z540+П4ВСР!Z548+П4ВСР!Z561</f>
        <v>11790602.92</v>
      </c>
      <c r="E35" s="41">
        <f>П4ВСР!AA244</f>
        <v>450000</v>
      </c>
      <c r="F35" s="41">
        <f>П4ВСР!AB244</f>
        <v>450000</v>
      </c>
    </row>
    <row r="36" spans="1:6" ht="31.5" hidden="1" x14ac:dyDescent="0.25">
      <c r="A36" s="98" t="s">
        <v>124</v>
      </c>
      <c r="B36" s="98" t="s">
        <v>124</v>
      </c>
      <c r="C36" s="36" t="s">
        <v>153</v>
      </c>
      <c r="D36" s="41"/>
      <c r="E36" s="102"/>
      <c r="F36" s="102"/>
    </row>
    <row r="37" spans="1:6" ht="21.75" hidden="1" customHeight="1" x14ac:dyDescent="0.25">
      <c r="A37" s="97" t="s">
        <v>125</v>
      </c>
      <c r="B37" s="97" t="s">
        <v>133</v>
      </c>
      <c r="C37" s="44" t="s">
        <v>115</v>
      </c>
      <c r="D37" s="46">
        <f>D38</f>
        <v>0</v>
      </c>
      <c r="E37" s="46">
        <f>E38</f>
        <v>0</v>
      </c>
      <c r="F37" s="46">
        <f>F38</f>
        <v>0</v>
      </c>
    </row>
    <row r="38" spans="1:6" ht="24" hidden="1" customHeight="1" x14ac:dyDescent="0.25">
      <c r="A38" s="98" t="s">
        <v>125</v>
      </c>
      <c r="B38" s="98" t="s">
        <v>132</v>
      </c>
      <c r="C38" s="100" t="s">
        <v>154</v>
      </c>
      <c r="D38" s="41"/>
      <c r="E38" s="102"/>
      <c r="F38" s="102"/>
    </row>
    <row r="39" spans="1:6" ht="15.75" x14ac:dyDescent="0.25">
      <c r="A39" s="97" t="s">
        <v>138</v>
      </c>
      <c r="B39" s="97" t="s">
        <v>133</v>
      </c>
      <c r="C39" s="44" t="s">
        <v>116</v>
      </c>
      <c r="D39" s="46">
        <f>D40+D41+D43+D44+D42</f>
        <v>514127232.35999995</v>
      </c>
      <c r="E39" s="46">
        <f>E40+E41+E43+E44+E42</f>
        <v>471885856.39999992</v>
      </c>
      <c r="F39" s="46">
        <f>F40+F41+F43+F44+F42</f>
        <v>495532900.21999997</v>
      </c>
    </row>
    <row r="40" spans="1:6" ht="15.75" x14ac:dyDescent="0.25">
      <c r="A40" s="98" t="s">
        <v>138</v>
      </c>
      <c r="B40" s="98" t="s">
        <v>122</v>
      </c>
      <c r="C40" s="36" t="s">
        <v>155</v>
      </c>
      <c r="D40" s="41">
        <f>П4ВСР!Z598</f>
        <v>121166056.84999999</v>
      </c>
      <c r="E40" s="41">
        <f>П4ВСР!AA598</f>
        <v>136187868.88999999</v>
      </c>
      <c r="F40" s="41">
        <f>П4ВСР!AB598</f>
        <v>148067405.03</v>
      </c>
    </row>
    <row r="41" spans="1:6" ht="15.75" x14ac:dyDescent="0.25">
      <c r="A41" s="98" t="s">
        <v>138</v>
      </c>
      <c r="B41" s="98" t="s">
        <v>132</v>
      </c>
      <c r="C41" s="36" t="s">
        <v>156</v>
      </c>
      <c r="D41" s="41">
        <f>П4ВСР!Z268+П4ВСР!Z615+П4ВСР!Z739</f>
        <v>348050071.54000002</v>
      </c>
      <c r="E41" s="41">
        <f>П4ВСР!AA268+П4ВСР!AA615+П4ВСР!AA739</f>
        <v>297315831.83999997</v>
      </c>
      <c r="F41" s="41">
        <f>П4ВСР!AB268+П4ВСР!AB615+П4ВСР!AB739</f>
        <v>311275245.13999999</v>
      </c>
    </row>
    <row r="42" spans="1:6" ht="15.75" x14ac:dyDescent="0.25">
      <c r="A42" s="98" t="s">
        <v>138</v>
      </c>
      <c r="B42" s="98" t="s">
        <v>123</v>
      </c>
      <c r="C42" s="241" t="s">
        <v>745</v>
      </c>
      <c r="D42" s="41">
        <f>П4ВСР!Z742</f>
        <v>9422801.5</v>
      </c>
      <c r="E42" s="41">
        <f>П4ВСР!AA742</f>
        <v>8631387.4399999995</v>
      </c>
      <c r="F42" s="41">
        <f>П4ВСР!AB742</f>
        <v>8631387.4399999995</v>
      </c>
    </row>
    <row r="43" spans="1:6" ht="15.75" x14ac:dyDescent="0.25">
      <c r="A43" s="98" t="s">
        <v>138</v>
      </c>
      <c r="B43" s="98" t="s">
        <v>138</v>
      </c>
      <c r="C43" s="36" t="s">
        <v>706</v>
      </c>
      <c r="D43" s="41">
        <f>П4ВСР!Z277+П4ВСР!Z660</f>
        <v>4643632.0200000005</v>
      </c>
      <c r="E43" s="41">
        <f>П4ВСР!AA277+П4ВСР!AA660</f>
        <v>4147332.27</v>
      </c>
      <c r="F43" s="41">
        <f>П4ВСР!AB277+П4ВСР!AB660</f>
        <v>3164643.14</v>
      </c>
    </row>
    <row r="44" spans="1:6" ht="15.75" x14ac:dyDescent="0.25">
      <c r="A44" s="98" t="s">
        <v>138</v>
      </c>
      <c r="B44" s="98" t="s">
        <v>127</v>
      </c>
      <c r="C44" s="36" t="s">
        <v>158</v>
      </c>
      <c r="D44" s="41">
        <f>П4ВСР!Z292+П4ВСР!Z671</f>
        <v>30844670.450000003</v>
      </c>
      <c r="E44" s="41">
        <f>П4ВСР!AA292+П4ВСР!AA671</f>
        <v>25603435.960000001</v>
      </c>
      <c r="F44" s="41">
        <f>П4ВСР!AB292+П4ВСР!AB671</f>
        <v>24394219.469999999</v>
      </c>
    </row>
    <row r="45" spans="1:6" ht="15.75" x14ac:dyDescent="0.25">
      <c r="A45" s="97" t="s">
        <v>126</v>
      </c>
      <c r="B45" s="97" t="s">
        <v>133</v>
      </c>
      <c r="C45" s="44" t="s">
        <v>253</v>
      </c>
      <c r="D45" s="46">
        <f>D46</f>
        <v>30757013.040000003</v>
      </c>
      <c r="E45" s="46">
        <f>E46</f>
        <v>21165368.469999999</v>
      </c>
      <c r="F45" s="46">
        <f>F46</f>
        <v>21375468.469999999</v>
      </c>
    </row>
    <row r="46" spans="1:6" ht="15" customHeight="1" x14ac:dyDescent="0.25">
      <c r="A46" s="98" t="s">
        <v>126</v>
      </c>
      <c r="B46" s="98" t="s">
        <v>122</v>
      </c>
      <c r="C46" s="36" t="s">
        <v>159</v>
      </c>
      <c r="D46" s="41">
        <f>П4ВСР!Z296+П4ВСР!Z749+П4ВСР!Z565</f>
        <v>30757013.040000003</v>
      </c>
      <c r="E46" s="41">
        <f>П4ВСР!AA296+П4ВСР!AA749</f>
        <v>21165368.469999999</v>
      </c>
      <c r="F46" s="41">
        <f>П4ВСР!AB296+П4ВСР!AB749</f>
        <v>21375468.469999999</v>
      </c>
    </row>
    <row r="47" spans="1:6" ht="0.75" hidden="1" customHeight="1" x14ac:dyDescent="0.25">
      <c r="A47" s="97" t="s">
        <v>127</v>
      </c>
      <c r="B47" s="97" t="s">
        <v>133</v>
      </c>
      <c r="C47" s="44" t="s">
        <v>117</v>
      </c>
      <c r="D47" s="46">
        <f>D49+D48</f>
        <v>0</v>
      </c>
      <c r="E47" s="46">
        <f>E49+E48</f>
        <v>0</v>
      </c>
      <c r="F47" s="46">
        <f>F49+F48</f>
        <v>0</v>
      </c>
    </row>
    <row r="48" spans="1:6" s="18" customFormat="1" ht="15.75" hidden="1" x14ac:dyDescent="0.25">
      <c r="A48" s="98" t="s">
        <v>127</v>
      </c>
      <c r="B48" s="98" t="s">
        <v>138</v>
      </c>
      <c r="C48" s="36" t="s">
        <v>160</v>
      </c>
      <c r="D48" s="41">
        <v>0</v>
      </c>
      <c r="E48" s="41">
        <v>0</v>
      </c>
      <c r="F48" s="41">
        <v>0</v>
      </c>
    </row>
    <row r="49" spans="1:6" ht="15.75" hidden="1" x14ac:dyDescent="0.25">
      <c r="A49" s="103" t="s">
        <v>127</v>
      </c>
      <c r="B49" s="103" t="s">
        <v>127</v>
      </c>
      <c r="C49" s="21" t="s">
        <v>161</v>
      </c>
      <c r="D49" s="41">
        <f>П4ВСР!Z315</f>
        <v>0</v>
      </c>
      <c r="E49" s="41">
        <f>П4ВСР!AA315</f>
        <v>0</v>
      </c>
      <c r="F49" s="41">
        <f>П4ВСР!AB315</f>
        <v>0</v>
      </c>
    </row>
    <row r="50" spans="1:6" ht="15.75" x14ac:dyDescent="0.25">
      <c r="A50" s="104" t="s">
        <v>143</v>
      </c>
      <c r="B50" s="104" t="s">
        <v>133</v>
      </c>
      <c r="C50" s="105" t="s">
        <v>118</v>
      </c>
      <c r="D50" s="46">
        <f>D51+D52+D53+D54</f>
        <v>41552700.390000001</v>
      </c>
      <c r="E50" s="46">
        <f>E51+E52+E53+E54</f>
        <v>37250171.960000001</v>
      </c>
      <c r="F50" s="46">
        <f>F51+F52+F53+F54</f>
        <v>37846924.780000001</v>
      </c>
    </row>
    <row r="51" spans="1:6" ht="15.75" x14ac:dyDescent="0.25">
      <c r="A51" s="103" t="s">
        <v>143</v>
      </c>
      <c r="B51" s="103" t="s">
        <v>122</v>
      </c>
      <c r="C51" s="21" t="s">
        <v>162</v>
      </c>
      <c r="D51" s="41">
        <f>П4ВСР!Z320+П4ВСР!Z693</f>
        <v>2756767.38</v>
      </c>
      <c r="E51" s="41">
        <f>П4ВСР!AA320+П4ВСР!AA693</f>
        <v>2177967.38</v>
      </c>
      <c r="F51" s="41">
        <f>П4ВСР!AB320+П4ВСР!AB693</f>
        <v>2177967.38</v>
      </c>
    </row>
    <row r="52" spans="1:6" ht="15.75" x14ac:dyDescent="0.25">
      <c r="A52" s="103" t="s">
        <v>143</v>
      </c>
      <c r="B52" s="103" t="s">
        <v>123</v>
      </c>
      <c r="C52" s="21" t="s">
        <v>163</v>
      </c>
      <c r="D52" s="41">
        <f>П4ВСР!Z325</f>
        <v>4547472.25</v>
      </c>
      <c r="E52" s="41">
        <f>П4ВСР!AA325</f>
        <v>350000</v>
      </c>
      <c r="F52" s="41">
        <f>П4ВСР!AB325</f>
        <v>350000</v>
      </c>
    </row>
    <row r="53" spans="1:6" ht="15.75" x14ac:dyDescent="0.25">
      <c r="A53" s="103" t="s">
        <v>143</v>
      </c>
      <c r="B53" s="103" t="s">
        <v>136</v>
      </c>
      <c r="C53" s="21" t="s">
        <v>164</v>
      </c>
      <c r="D53" s="41">
        <f>П4ВСР!Z343+П4ВСР!Z697</f>
        <v>32255408.079999998</v>
      </c>
      <c r="E53" s="41">
        <f>П4ВСР!AA343+П4ВСР!AA697</f>
        <v>32652727.699999999</v>
      </c>
      <c r="F53" s="41">
        <f>П4ВСР!AB343+П4ВСР!AB697</f>
        <v>33176027.699999999</v>
      </c>
    </row>
    <row r="54" spans="1:6" ht="15.75" x14ac:dyDescent="0.25">
      <c r="A54" s="103" t="s">
        <v>143</v>
      </c>
      <c r="B54" s="103" t="s">
        <v>125</v>
      </c>
      <c r="C54" s="153" t="s">
        <v>753</v>
      </c>
      <c r="D54" s="41">
        <f>П4ВСР!Z714</f>
        <v>1993052.68</v>
      </c>
      <c r="E54" s="41">
        <f>П4ВСР!AA714</f>
        <v>2069476.88</v>
      </c>
      <c r="F54" s="41">
        <f>П4ВСР!AB714</f>
        <v>2142929.7000000002</v>
      </c>
    </row>
    <row r="55" spans="1:6" ht="15.75" x14ac:dyDescent="0.25">
      <c r="A55" s="104" t="s">
        <v>128</v>
      </c>
      <c r="B55" s="104" t="s">
        <v>133</v>
      </c>
      <c r="C55" s="105" t="s">
        <v>165</v>
      </c>
      <c r="D55" s="46">
        <f>D56+D59</f>
        <v>2678209.73</v>
      </c>
      <c r="E55" s="46">
        <f>E56+E59</f>
        <v>250000</v>
      </c>
      <c r="F55" s="46">
        <f>F56+F59</f>
        <v>250000</v>
      </c>
    </row>
    <row r="56" spans="1:6" ht="15.75" x14ac:dyDescent="0.25">
      <c r="A56" s="103" t="s">
        <v>128</v>
      </c>
      <c r="B56" s="103" t="s">
        <v>122</v>
      </c>
      <c r="C56" s="21" t="s">
        <v>254</v>
      </c>
      <c r="D56" s="41">
        <f>П4ВСР!Z349</f>
        <v>681837.4</v>
      </c>
      <c r="E56" s="41">
        <f>П4ВСР!AA349</f>
        <v>116000</v>
      </c>
      <c r="F56" s="41">
        <f>П4ВСР!AB349</f>
        <v>150000</v>
      </c>
    </row>
    <row r="57" spans="1:6" ht="31.5" hidden="1" x14ac:dyDescent="0.25">
      <c r="A57" s="103" t="s">
        <v>128</v>
      </c>
      <c r="B57" s="103" t="s">
        <v>136</v>
      </c>
      <c r="C57" s="21" t="s">
        <v>167</v>
      </c>
      <c r="D57" s="41">
        <v>0</v>
      </c>
      <c r="E57" s="99">
        <v>0</v>
      </c>
      <c r="F57" s="99">
        <v>0</v>
      </c>
    </row>
    <row r="58" spans="1:6" ht="15.75" hidden="1" x14ac:dyDescent="0.25">
      <c r="A58" s="103" t="s">
        <v>128</v>
      </c>
      <c r="B58" s="103" t="s">
        <v>124</v>
      </c>
      <c r="C58" s="83" t="s">
        <v>168</v>
      </c>
      <c r="D58" s="41">
        <v>0</v>
      </c>
      <c r="E58" s="99">
        <v>0</v>
      </c>
      <c r="F58" s="99">
        <v>0</v>
      </c>
    </row>
    <row r="59" spans="1:6" ht="15.75" x14ac:dyDescent="0.25">
      <c r="A59" s="103" t="s">
        <v>128</v>
      </c>
      <c r="B59" s="103" t="s">
        <v>132</v>
      </c>
      <c r="C59" s="83" t="s">
        <v>166</v>
      </c>
      <c r="D59" s="41">
        <f>П4ВСР!Z356+П4ВСР!Z584</f>
        <v>1996372.33</v>
      </c>
      <c r="E59" s="41">
        <f>П4ВСР!AA356</f>
        <v>134000</v>
      </c>
      <c r="F59" s="41">
        <f>П4ВСР!AB356</f>
        <v>100000</v>
      </c>
    </row>
    <row r="60" spans="1:6" ht="31.5" hidden="1" x14ac:dyDescent="0.25">
      <c r="A60" s="104" t="s">
        <v>130</v>
      </c>
      <c r="B60" s="104" t="s">
        <v>133</v>
      </c>
      <c r="C60" s="106" t="s">
        <v>120</v>
      </c>
      <c r="D60" s="46">
        <f>D61</f>
        <v>0</v>
      </c>
      <c r="E60" s="46">
        <f>E61</f>
        <v>0</v>
      </c>
      <c r="F60" s="46">
        <f>F61</f>
        <v>0</v>
      </c>
    </row>
    <row r="61" spans="1:6" ht="31.5" hidden="1" x14ac:dyDescent="0.25">
      <c r="A61" s="103" t="s">
        <v>130</v>
      </c>
      <c r="B61" s="103" t="s">
        <v>122</v>
      </c>
      <c r="C61" s="83" t="s">
        <v>255</v>
      </c>
      <c r="D61" s="41">
        <v>0</v>
      </c>
      <c r="E61" s="41">
        <f>П4ВСР!AA383</f>
        <v>0</v>
      </c>
      <c r="F61" s="41">
        <f>П4ВСР!AB383</f>
        <v>0</v>
      </c>
    </row>
    <row r="62" spans="1:6" ht="31.5" x14ac:dyDescent="0.25">
      <c r="A62" s="104" t="s">
        <v>131</v>
      </c>
      <c r="B62" s="104" t="s">
        <v>133</v>
      </c>
      <c r="C62" s="106" t="s">
        <v>1320</v>
      </c>
      <c r="D62" s="46">
        <f>D63</f>
        <v>21804570.870000001</v>
      </c>
      <c r="E62" s="46">
        <f>E63</f>
        <v>22408600</v>
      </c>
      <c r="F62" s="46">
        <f>F63</f>
        <v>22427900</v>
      </c>
    </row>
    <row r="63" spans="1:6" ht="49.5" x14ac:dyDescent="0.3">
      <c r="A63" s="103" t="s">
        <v>131</v>
      </c>
      <c r="B63" s="103" t="s">
        <v>122</v>
      </c>
      <c r="C63" s="1063" t="s">
        <v>169</v>
      </c>
      <c r="D63" s="41">
        <f>П4ВСР!Z591</f>
        <v>21804570.870000001</v>
      </c>
      <c r="E63" s="41">
        <f>П4ВСР!AA591</f>
        <v>22408600</v>
      </c>
      <c r="F63" s="41">
        <f>П4ВСР!AB591</f>
        <v>22427900</v>
      </c>
    </row>
    <row r="64" spans="1:6" s="107" customFormat="1" ht="15.75" x14ac:dyDescent="0.25">
      <c r="A64" s="104" t="s">
        <v>133</v>
      </c>
      <c r="B64" s="104" t="s">
        <v>133</v>
      </c>
      <c r="C64" s="106" t="s">
        <v>1343</v>
      </c>
      <c r="D64" s="46">
        <f>[1]П_6!I198</f>
        <v>0</v>
      </c>
      <c r="E64" s="46">
        <f>П4ВСР!AA364</f>
        <v>4420012.5</v>
      </c>
      <c r="F64" s="46">
        <f>П4ВСР!AB364</f>
        <v>9094467.7599999998</v>
      </c>
    </row>
    <row r="65" spans="1:6" ht="18.75" customHeight="1" x14ac:dyDescent="0.25">
      <c r="A65" s="104" t="s">
        <v>170</v>
      </c>
      <c r="B65" s="104" t="s">
        <v>133</v>
      </c>
      <c r="C65" s="105" t="s">
        <v>171</v>
      </c>
      <c r="D65" s="46">
        <f>D11+D20+D25+D32+D39+D45+D47+D50+D55+D37+D60+D62</f>
        <v>1006891333.1199999</v>
      </c>
      <c r="E65" s="46">
        <f>E11+E20+E25+E32+E39+E45+E47+E50+E55+E37+E60+E62+E64</f>
        <v>759856163.04999995</v>
      </c>
      <c r="F65" s="46">
        <f>F11+F20+F25+F32+F39+F45+F47+F50+F55+F37+F60+F62+F64</f>
        <v>784078404.67999995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vt:i4>
      </vt:variant>
    </vt:vector>
  </HeadingPairs>
  <TitlesOfParts>
    <vt:vector size="20" baseType="lpstr">
      <vt:lpstr>П1ИВФ</vt:lpstr>
      <vt:lpstr>П4ДОХОДЫ </vt:lpstr>
      <vt:lpstr>П2ДОХОДЫ</vt:lpstr>
      <vt:lpstr>П3РБАЦС</vt:lpstr>
      <vt:lpstr>П4ВСР</vt:lpstr>
      <vt:lpstr>П3_Доходы</vt:lpstr>
      <vt:lpstr>П5МП</vt:lpstr>
      <vt:lpstr>Лист2</vt:lpstr>
      <vt:lpstr>П6РБАРПР</vt:lpstr>
      <vt:lpstr>П7ПМВЗ</vt:lpstr>
      <vt:lpstr>прогноз</vt:lpstr>
      <vt:lpstr>ожидаемое исполнение</vt:lpstr>
      <vt:lpstr>Верхний предел </vt:lpstr>
      <vt:lpstr>Лист1</vt:lpstr>
      <vt:lpstr>информация</vt:lpstr>
      <vt:lpstr>информация 1</vt:lpstr>
      <vt:lpstr>информация 2</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2019-12-27T03:39:01Z</dcterms:modified>
</cp:coreProperties>
</file>