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firstSheet="1" activeTab="1"/>
  </bookViews>
  <sheets>
    <sheet name="справочно" sheetId="4" state="hidden" r:id="rId1"/>
    <sheet name="Лист1" sheetId="5" r:id="rId2"/>
    <sheet name="МО" sheetId="1" r:id="rId3"/>
    <sheet name="ГРБС, ПБС" sheetId="2" r:id="rId4"/>
    <sheet name="ОЦЕНКА" sheetId="3" r:id="rId5"/>
  </sheets>
  <definedNames>
    <definedName name="_xlnm.Print_Titles" localSheetId="3">'ГРБС, ПБС'!$A:$B</definedName>
    <definedName name="_xlnm.Print_Titles" localSheetId="2">МО!$A:$B</definedName>
    <definedName name="_xlnm.Print_Titles" localSheetId="0">справочно!$A:$A</definedName>
  </definedNames>
  <calcPr calcId="152511"/>
</workbook>
</file>

<file path=xl/calcChain.xml><?xml version="1.0" encoding="utf-8"?>
<calcChain xmlns="http://schemas.openxmlformats.org/spreadsheetml/2006/main">
  <c r="AC22" i="3" l="1"/>
  <c r="AB22" i="3"/>
  <c r="AA22" i="3"/>
  <c r="Z22" i="3"/>
  <c r="X22" i="3"/>
  <c r="W22" i="3"/>
  <c r="V22" i="3"/>
  <c r="U22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L12" i="2"/>
  <c r="C21" i="3"/>
  <c r="C19" i="3"/>
  <c r="C18" i="3"/>
  <c r="C20" i="3"/>
  <c r="C17" i="3"/>
  <c r="C15" i="3"/>
  <c r="C14" i="3"/>
  <c r="C13" i="3"/>
  <c r="C12" i="3"/>
  <c r="C11" i="3"/>
  <c r="C10" i="3"/>
  <c r="C9" i="3"/>
  <c r="C8" i="3"/>
  <c r="C7" i="3"/>
  <c r="C22" i="3" s="1"/>
  <c r="AF12" i="2"/>
  <c r="AF11" i="2"/>
  <c r="AF9" i="2"/>
  <c r="AF8" i="2"/>
  <c r="AF7" i="2"/>
  <c r="AE12" i="2"/>
  <c r="AF14" i="2"/>
  <c r="AV19" i="1"/>
  <c r="AV16" i="1"/>
  <c r="AV15" i="1"/>
  <c r="AV14" i="1"/>
  <c r="AV13" i="1"/>
  <c r="AV12" i="1"/>
  <c r="AV11" i="1"/>
  <c r="AV10" i="1"/>
  <c r="AV9" i="1"/>
  <c r="AV8" i="1"/>
  <c r="AL17" i="1"/>
  <c r="AJ17" i="1"/>
  <c r="AH17" i="1"/>
  <c r="AF17" i="1"/>
  <c r="AU17" i="1"/>
  <c r="AV17" i="1" l="1"/>
  <c r="AA12" i="2"/>
  <c r="Y12" i="2"/>
  <c r="Y11" i="2"/>
  <c r="Y9" i="2"/>
  <c r="Y7" i="2"/>
  <c r="W12" i="2"/>
  <c r="P12" i="2"/>
  <c r="J12" i="2"/>
  <c r="H12" i="2"/>
  <c r="F12" i="2"/>
  <c r="D12" i="2"/>
  <c r="AS17" i="1"/>
  <c r="AQ17" i="1"/>
  <c r="AP17" i="1"/>
  <c r="AO16" i="1"/>
  <c r="AO15" i="1"/>
  <c r="AO14" i="1"/>
  <c r="AO13" i="1"/>
  <c r="AO12" i="1"/>
  <c r="AO11" i="1"/>
  <c r="AO10" i="1"/>
  <c r="AO9" i="1"/>
  <c r="AO8" i="1"/>
  <c r="AN16" i="1"/>
  <c r="AN15" i="1"/>
  <c r="AN14" i="1"/>
  <c r="AN13" i="1"/>
  <c r="AN12" i="1"/>
  <c r="AN11" i="1"/>
  <c r="AN10" i="1"/>
  <c r="AN9" i="1"/>
  <c r="AN8" i="1"/>
  <c r="AD16" i="1" l="1"/>
  <c r="AD15" i="1"/>
  <c r="AD14" i="1"/>
  <c r="AD13" i="1"/>
  <c r="AD12" i="1"/>
  <c r="AD11" i="1"/>
  <c r="AD10" i="1"/>
  <c r="AD9" i="1"/>
  <c r="AD8" i="1"/>
  <c r="AC16" i="1"/>
  <c r="AC15" i="1"/>
  <c r="AC14" i="1"/>
  <c r="AC13" i="1"/>
  <c r="AC12" i="1"/>
  <c r="AC11" i="1"/>
  <c r="AC10" i="1"/>
  <c r="AC9" i="1"/>
  <c r="AC8" i="1"/>
  <c r="AA15" i="1"/>
  <c r="AA14" i="1"/>
  <c r="AA13" i="1"/>
  <c r="AA11" i="1"/>
  <c r="AA9" i="1"/>
  <c r="AA8" i="1"/>
  <c r="Y11" i="1" l="1"/>
  <c r="Y12" i="1"/>
  <c r="Y15" i="1"/>
  <c r="W16" i="1"/>
  <c r="W15" i="1"/>
  <c r="W14" i="1"/>
  <c r="W13" i="1"/>
  <c r="W12" i="1"/>
  <c r="W11" i="1"/>
  <c r="W10" i="1"/>
  <c r="W9" i="1"/>
  <c r="W8" i="1"/>
  <c r="V11" i="1"/>
  <c r="U15" i="1"/>
  <c r="U12" i="1"/>
  <c r="U11" i="1"/>
  <c r="Q11" i="1" l="1"/>
  <c r="O11" i="1"/>
  <c r="AG8" i="4" l="1"/>
  <c r="AE8" i="4"/>
  <c r="AC8" i="4"/>
  <c r="AA8" i="4"/>
  <c r="Y8" i="4"/>
  <c r="W8" i="4"/>
  <c r="U8" i="4"/>
  <c r="O8" i="4"/>
  <c r="Q8" i="4"/>
  <c r="S8" i="4"/>
  <c r="M8" i="4"/>
  <c r="N17" i="1" l="1"/>
  <c r="M9" i="1"/>
  <c r="M10" i="1"/>
  <c r="M11" i="1"/>
  <c r="M12" i="1"/>
  <c r="M13" i="1"/>
  <c r="M14" i="1"/>
  <c r="M15" i="1"/>
  <c r="M16" i="1"/>
  <c r="K16" i="1"/>
  <c r="K15" i="1"/>
  <c r="K14" i="1"/>
  <c r="K13" i="1"/>
  <c r="K12" i="1"/>
  <c r="K11" i="1"/>
  <c r="K10" i="1"/>
  <c r="K9" i="1"/>
  <c r="K8" i="1"/>
  <c r="I16" i="1"/>
  <c r="I14" i="1"/>
  <c r="I13" i="1"/>
  <c r="I12" i="1"/>
  <c r="I11" i="1"/>
  <c r="I10" i="1"/>
  <c r="I9" i="1"/>
  <c r="I8" i="1"/>
  <c r="I15" i="1"/>
  <c r="H14" i="1"/>
  <c r="H11" i="1"/>
  <c r="G16" i="1"/>
  <c r="G15" i="1"/>
  <c r="G14" i="1"/>
  <c r="G13" i="1"/>
  <c r="G12" i="1"/>
  <c r="G11" i="1"/>
  <c r="G10" i="1"/>
  <c r="G9" i="1"/>
  <c r="G8" i="1"/>
  <c r="F17" i="1"/>
  <c r="E16" i="1"/>
  <c r="E12" i="1"/>
  <c r="E15" i="1"/>
  <c r="E14" i="1"/>
  <c r="E13" i="1"/>
  <c r="E11" i="1"/>
  <c r="E10" i="1"/>
  <c r="E9" i="1"/>
  <c r="D17" i="1"/>
  <c r="D12" i="1"/>
  <c r="D10" i="1"/>
  <c r="C16" i="1"/>
  <c r="C15" i="1"/>
  <c r="C14" i="1"/>
  <c r="C13" i="1"/>
  <c r="C12" i="1"/>
  <c r="C11" i="1"/>
  <c r="C10" i="1"/>
  <c r="C9" i="1"/>
  <c r="C8" i="1"/>
  <c r="AD21" i="3" l="1"/>
  <c r="AD19" i="3"/>
  <c r="AD18" i="3"/>
  <c r="AD17" i="3"/>
  <c r="Y10" i="2"/>
  <c r="AF10" i="2" s="1"/>
  <c r="AD7" i="3" l="1"/>
  <c r="AF18" i="2" l="1"/>
  <c r="X18" i="2"/>
  <c r="Z12" i="2" l="1"/>
  <c r="V12" i="2"/>
  <c r="T12" i="2"/>
  <c r="R12" i="2"/>
  <c r="AD8" i="3"/>
  <c r="AD9" i="3"/>
  <c r="AD10" i="3"/>
  <c r="AD11" i="3"/>
  <c r="AD12" i="3"/>
  <c r="AD13" i="3"/>
  <c r="AD14" i="3"/>
  <c r="AD15" i="3"/>
  <c r="AD22" i="3" l="1"/>
  <c r="D21" i="3"/>
  <c r="E21" i="3" s="1"/>
  <c r="D15" i="3"/>
  <c r="E15" i="3" s="1"/>
  <c r="D14" i="3"/>
  <c r="E14" i="3" s="1"/>
  <c r="D12" i="3"/>
  <c r="E12" i="3" s="1"/>
  <c r="D11" i="3"/>
  <c r="E11" i="3" s="1"/>
  <c r="D10" i="3"/>
  <c r="D9" i="3"/>
  <c r="E9" i="3" s="1"/>
  <c r="D8" i="3"/>
  <c r="E8" i="3" s="1"/>
  <c r="D7" i="3"/>
  <c r="E7" i="3" s="1"/>
  <c r="AO17" i="1"/>
  <c r="AM17" i="1"/>
  <c r="AD17" i="1"/>
  <c r="AB17" i="1"/>
  <c r="Z17" i="1"/>
  <c r="X17" i="1"/>
  <c r="V17" i="1"/>
  <c r="T17" i="1"/>
  <c r="R17" i="1"/>
  <c r="P17" i="1"/>
  <c r="L17" i="1"/>
  <c r="H17" i="1"/>
  <c r="D18" i="3"/>
  <c r="E18" i="3" s="1"/>
  <c r="D19" i="3"/>
  <c r="E19" i="3" s="1"/>
  <c r="D17" i="3"/>
  <c r="E17" i="3" s="1"/>
  <c r="BC19" i="4"/>
  <c r="L22" i="4"/>
  <c r="L21" i="4"/>
  <c r="E10" i="3" l="1"/>
  <c r="AJ18" i="4"/>
  <c r="AJ17" i="4"/>
  <c r="BD11" i="4"/>
  <c r="AK18" i="4" l="1"/>
  <c r="N22" i="4"/>
  <c r="AK17" i="4"/>
  <c r="N21" i="4"/>
  <c r="D13" i="3"/>
  <c r="D22" i="3" s="1"/>
  <c r="AL17" i="4" l="1"/>
  <c r="P21" i="4"/>
  <c r="AL18" i="4"/>
  <c r="P22" i="4"/>
  <c r="E13" i="3"/>
  <c r="AM18" i="4" l="1"/>
  <c r="R22" i="4"/>
  <c r="AM17" i="4"/>
  <c r="R21" i="4"/>
  <c r="BD13" i="4"/>
  <c r="BC18" i="4"/>
  <c r="BC17" i="4"/>
  <c r="BC16" i="4"/>
  <c r="BC15" i="4"/>
  <c r="T21" i="4" l="1"/>
  <c r="AN17" i="4"/>
  <c r="AN18" i="4"/>
  <c r="T22" i="4"/>
  <c r="V22" i="4" l="1"/>
  <c r="AO18" i="4"/>
  <c r="V21" i="4"/>
  <c r="AO17" i="4"/>
  <c r="BD12" i="4"/>
  <c r="X21" i="4" l="1"/>
  <c r="AP17" i="4"/>
  <c r="X22" i="4"/>
  <c r="AP18" i="4"/>
  <c r="BD10" i="4"/>
  <c r="BD9" i="4"/>
  <c r="BD8" i="4"/>
  <c r="BD7" i="4"/>
  <c r="BD6" i="4"/>
  <c r="BD5" i="4"/>
  <c r="Z22" i="4" l="1"/>
  <c r="AQ18" i="4"/>
  <c r="Z21" i="4"/>
  <c r="AQ17" i="4"/>
  <c r="AB21" i="4" l="1"/>
  <c r="AR17" i="4"/>
  <c r="AB22" i="4"/>
  <c r="AR18" i="4"/>
  <c r="AD22" i="4" l="1"/>
  <c r="AS18" i="4"/>
  <c r="AD21" i="4"/>
  <c r="AS17" i="4"/>
  <c r="AF21" i="4" l="1"/>
  <c r="AT17" i="4"/>
  <c r="AH21" i="4" s="1"/>
  <c r="AF22" i="4"/>
  <c r="AT18" i="4"/>
  <c r="AH22" i="4" s="1"/>
</calcChain>
</file>

<file path=xl/sharedStrings.xml><?xml version="1.0" encoding="utf-8"?>
<sst xmlns="http://schemas.openxmlformats.org/spreadsheetml/2006/main" count="497" uniqueCount="199">
  <si>
    <t>Албазинский с/с</t>
  </si>
  <si>
    <t>Джалиндинский с/с</t>
  </si>
  <si>
    <t>пгт. Ерофей Павлович</t>
  </si>
  <si>
    <t>Неверский с/с</t>
  </si>
  <si>
    <t>г. Сковородино</t>
  </si>
  <si>
    <t>Солнечный с/с</t>
  </si>
  <si>
    <t>Талданский с/с</t>
  </si>
  <si>
    <t>Тахтамыгдинский с/с</t>
  </si>
  <si>
    <t>пгт. Уруша</t>
  </si>
  <si>
    <t>Итого по поселениям</t>
  </si>
  <si>
    <t>администрация Сковородинского района</t>
  </si>
  <si>
    <t>Финансовый отдел администрации Сковородинского района</t>
  </si>
  <si>
    <t>Отдел образования администрации Сковородинского района</t>
  </si>
  <si>
    <t>МУЗ Сковородинская ЦРБ</t>
  </si>
  <si>
    <t>КУМИ</t>
  </si>
  <si>
    <t>Итого по учреждениям</t>
  </si>
  <si>
    <t>И_1 "Динамика роста доходов"</t>
  </si>
  <si>
    <t>Расчет показателя</t>
  </si>
  <si>
    <t>строка формул</t>
  </si>
  <si>
    <t>V=А/В*100%, где А - доходы за последний отчетный период, В - доходы за аналогичный период, предшествующий последнему отчетному периоду</t>
  </si>
  <si>
    <t xml:space="preserve">Оценка </t>
  </si>
  <si>
    <t>И_2 "Зависимость от финансовой помощи в отчетном периоде"</t>
  </si>
  <si>
    <t>Оценка</t>
  </si>
  <si>
    <t>V=А/В*100%, где: А - объем дотации в отчетном периоде, В - объем налоговых и неналоговых доходов в отчетном периоде</t>
  </si>
  <si>
    <t>V=А/В*100%, где: А - объем поступлений от приносящей доход деятельности в отчетном периоде, В - общий объем поступлений в отчетном периоде</t>
  </si>
  <si>
    <t>V=А/В*100%, где: А - объем фактически поступивших доходов в отчетном периоде; В - объем первоначально утвержденных значений в отчетном периоде</t>
  </si>
  <si>
    <t>И_4 Динамика снижения просроченной кредиторской задолженности</t>
  </si>
  <si>
    <t>К=К1i*К2i*К3i*…*К12i, К1i=1-(З1i/ВР1i), где: З1i - изменение просроченной кредиторской задолженности за каждый месяц, начиная с 01 января соответствующего года; ВР1i - общий объем расходов за соответствующий месяц отчетного периода</t>
  </si>
  <si>
    <t>И_5 Отношение просроченной кредиторской задолженности к объему расходов</t>
  </si>
  <si>
    <t>V =А/В, где: А - размер  просроченной кредиторской задолженности; В - объем расходов</t>
  </si>
  <si>
    <t>И_6 Наличие просроченных долговых (кредитных) обязательств</t>
  </si>
  <si>
    <t>И_7 Отношение объема расходов на обслуживание и погашение долговых (кредитных) обязательств в общем объеме налоговых и неналоговых доходов</t>
  </si>
  <si>
    <t>V = (А+В)/С, где: А - объем расходов на обслуживание долга, В - объем расходов на погашение долга, С - объем налогоавых и неналоговых доходов</t>
  </si>
  <si>
    <t xml:space="preserve">И_8 Предельный размер дефицита местного бюджета </t>
  </si>
  <si>
    <t>V= (А-П)/В*100%, где: А - дефицит местного бюджета, П - поступление от продажи акций и иных форм участия в капитале, находящегося в собственности  муниципального образования и снижения остатков средств на счетах по учету средств местного бюджета;  В- объем налоговых и неналоговых поступлений местного бюджета</t>
  </si>
  <si>
    <t>И_9 Предельный объем муниципального долга</t>
  </si>
  <si>
    <t>V=А/В*100%, где: А - объем муниципального долга, В - объем налоговых и неналоговых доходов местного бюджета</t>
  </si>
  <si>
    <t>И_10 соблюдение нормативов формирования расходов на содержание аппарата управления</t>
  </si>
  <si>
    <t>И_10 = А/В, где: И_10 значение индикатора по муниципальному образованию, А - доля расходов на содержание органов местного самоуправления в доходах; В - утвержденный в установленном порядке норматив формирования расходов на содержание органов местного  самоуправления</t>
  </si>
  <si>
    <t>И_11 Доля остатков средств, не исмеющих целевого назначения, сложившихся на 01 января текущего года к объему их поступления в отчетном периоде</t>
  </si>
  <si>
    <t>И_11 = А/В*100%, где: И_11 значение индикатора; А - объем остатка средств, не имеющих целевого назначения сложившихся на 01 января текущего года на счетах по учету средств; В - объем поступивших в отчетном периоде  средств, не имеющих целевого назначения</t>
  </si>
  <si>
    <t>И_12 Наличие утвержденных и размещенных в сети Интернет административных регламентов</t>
  </si>
  <si>
    <t>ДА/НЕТ</t>
  </si>
  <si>
    <t>И_13 Наличие утвержденных и размещенных в сети Интернет перечней муниципальных услуг</t>
  </si>
  <si>
    <t>И_14 Наличие утвержденных и размещенных в сети Интернет стандартов качества предорставления муниципальных услуг</t>
  </si>
  <si>
    <t>И_15 Наличие утвержденных и размещенных в сети Интернет муниципальных заданий на оказание муниципальных услуг</t>
  </si>
  <si>
    <t>И_16 Своевременное предоставление документов и сведений, необходимых для формирования бюджета на очередной  финансовый год. Соответствие и качество предоставленных сведений к заявленным требованиям</t>
  </si>
  <si>
    <t>И_17 Доля бюджетных ассигнований на оказание муниципальных услуг в общем объеме ассигнований из бюджета</t>
  </si>
  <si>
    <t>V=А/В*100%, где:  А - Объем бюджетных ассигнований на оказание муниципальных услуг; В - общий объем бюджетных ассигнований из бюджета</t>
  </si>
  <si>
    <t>И_18 Своевременное предоставление отчетности в установленные сроки</t>
  </si>
  <si>
    <t>И_19 Осуществление мероприятий внутреннего контроля</t>
  </si>
  <si>
    <t>И_20 Динамика нарушений, выявленных внешних контрольных мероприятий</t>
  </si>
  <si>
    <t>V=(А-В)/А*100%, где: А - количество нарушений, выявленных в ходе внешних контрольных  мероприятий по состоянию на 01 января отчетного года; В-количество нарушений, выявленных в ходе внешних контрольных мероприятий, по состоянию на 01января года, следующеего за отчетным</t>
  </si>
  <si>
    <t>И_21 Количество исковых требований</t>
  </si>
  <si>
    <t>1-(А/100), А-количество исков</t>
  </si>
  <si>
    <t>ИНДИКАТОР/                    ТЕРРИТОРИЯ</t>
  </si>
  <si>
    <t>ИНДИКАТОР/                                                    ГРБС, ПБС</t>
  </si>
  <si>
    <t>МОНИТОРИНГ И ОЦЕНКА КАЧЕСТВА УПРАВЛЕНИЯ  БЮДЖЕТНЫМ ПРОЦЕССОМ                                                                                                                                                                                                         И ФИНАНСОВЫМИ РЕСУРСАМИ                                                                                                                                                                                               В МУНИЦИПАЛЬНЫХ У ЧРЕЖДЕНИЯХ СКОВОРОДИНСКОГО РАЙОНА</t>
  </si>
  <si>
    <t xml:space="preserve">Просроченная КЗ </t>
  </si>
  <si>
    <t xml:space="preserve">Объем расходов </t>
  </si>
  <si>
    <t>Просроченные долговые обязательства</t>
  </si>
  <si>
    <t>Объем расходов на обслуживание муниципального долга</t>
  </si>
  <si>
    <t>Объем расходов на погашение долга</t>
  </si>
  <si>
    <t xml:space="preserve">Расходы на содержание органов местного самоуправления </t>
  </si>
  <si>
    <t>Размер норматива</t>
  </si>
  <si>
    <t>Общий объем расходов</t>
  </si>
  <si>
    <t>-</t>
  </si>
  <si>
    <t>Объем  утвержденных налоговых и неналоговых доходов на 01.01.2011</t>
  </si>
  <si>
    <t>Сумма оценок по индикаторам  оценки качества</t>
  </si>
  <si>
    <t>Справочные показатели, необходимые для расчета оценки качества управления бюджетным процессом и финансовыми ресурсами в муниципальных образованиях и муниципальных учреждениях Сковородинского района</t>
  </si>
  <si>
    <t>И_1.1 "Динамика роста налоговых и неналоговых доходов к предшествующему периоду"</t>
  </si>
  <si>
    <t>И_1.2 "Динамика роста доходов, полученных от приносящей доход деятельности к предшествующему периоду"</t>
  </si>
  <si>
    <t>И_2.1 "Доля дотации на выравынивание уровня бюджетной обеспеченности в объеме налоговых и неналоговых поступлений"</t>
  </si>
  <si>
    <t>И_2.2 "Объем доходов от приносящей доход деятельности в общем объеме поступлений"</t>
  </si>
  <si>
    <t>И_3.1 "Налоговых и неналоговых доходов"</t>
  </si>
  <si>
    <t>И_3.2 Поступлений от приносящей доход деятельности"</t>
  </si>
  <si>
    <t>И_3 "Фактическое исполнение поступлений от первоначально утвержденного значения"</t>
  </si>
  <si>
    <t>Остатки средств, имеющих целевое назначение на 31.12.2011</t>
  </si>
  <si>
    <t>Объем поступивших средств на 31.12.11, не имеющих целевого назначения</t>
  </si>
  <si>
    <t>V=А/В*100%, где: А - объем  поступлений от приносящей доход деятельности  в отчетном периоде, В - общий объем поступлений  в отчетном периоде</t>
  </si>
  <si>
    <t>х</t>
  </si>
  <si>
    <t>Х</t>
  </si>
  <si>
    <t>Результат по индикаторам</t>
  </si>
  <si>
    <t>Средний балл</t>
  </si>
  <si>
    <t>№ п/п</t>
  </si>
  <si>
    <t>Наименование</t>
  </si>
  <si>
    <t>РЕЗУЛЬТАТ ОЦЕНКИ</t>
  </si>
  <si>
    <t>ОЦЕНКА КАЧЕСТВА</t>
  </si>
  <si>
    <t>Муниципальные образования</t>
  </si>
  <si>
    <t>1.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</si>
  <si>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</si>
  <si>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</si>
  <si>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</si>
  <si>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</si>
  <si>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</si>
  <si>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</si>
  <si>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</si>
  <si>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</si>
  <si>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</si>
  <si>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2.</t>
  </si>
  <si>
    <t>Муниципальные учреждения</t>
  </si>
  <si>
    <t>2.1.</t>
  </si>
  <si>
    <t>2.2.</t>
  </si>
  <si>
    <t>2.3.</t>
  </si>
  <si>
    <t>2.4.</t>
  </si>
  <si>
    <t>Финансовое управление администрации Сковородинского района</t>
  </si>
  <si>
    <t>Комитет по управлению муниципальным имуществом</t>
  </si>
  <si>
    <t>И_1.1</t>
  </si>
  <si>
    <t>И_1.2.</t>
  </si>
  <si>
    <t>И_2.1.</t>
  </si>
  <si>
    <t>И_2.2.</t>
  </si>
  <si>
    <t>И_3.1.</t>
  </si>
  <si>
    <t>И_3.2.</t>
  </si>
  <si>
    <t>И_4</t>
  </si>
  <si>
    <t>И_5</t>
  </si>
  <si>
    <t>И_6</t>
  </si>
  <si>
    <t>И_7</t>
  </si>
  <si>
    <t>И_8</t>
  </si>
  <si>
    <t>И_9</t>
  </si>
  <si>
    <t>И_10</t>
  </si>
  <si>
    <t>И_11</t>
  </si>
  <si>
    <t>И_12</t>
  </si>
  <si>
    <t>И_13</t>
  </si>
  <si>
    <t>И_14</t>
  </si>
  <si>
    <t>И_15</t>
  </si>
  <si>
    <t>И_16</t>
  </si>
  <si>
    <t>И_17</t>
  </si>
  <si>
    <t>И_18</t>
  </si>
  <si>
    <t>И_19</t>
  </si>
  <si>
    <t>И_20</t>
  </si>
  <si>
    <t>И_21</t>
  </si>
  <si>
    <t>Кличество индикаторов, соотвествующих весу</t>
  </si>
  <si>
    <t>не оценивается</t>
  </si>
  <si>
    <t>И_1.2 "Динамика роста доходов"</t>
  </si>
  <si>
    <t>И_2.2 "Зависимость от финансовой помощи в отчетном периоде"</t>
  </si>
  <si>
    <t>И_3.2 "Фактическое исполнение поступлений от первоначально утвержденного значения</t>
  </si>
  <si>
    <t>Баллы</t>
  </si>
  <si>
    <t>Максимально возможное количество</t>
  </si>
  <si>
    <t>Результат в %</t>
  </si>
  <si>
    <t>МОНИТОРИНГ И ОЦЕНКА КАЧЕСТВА УПРАВЛЕНИЯ БЮДЖЕТНЫМ ПРОЦЕССОМ И ФИНАНСОВЫМИ РЕСУРСАМИ В МУНИЦИПАЛЬНЫХ ОБРАЗОВАНИЯХ И МУНИЦИПАЛЬНЫХ УЧРЕЖДЕНИЯХ СКОВОРОДИНСКОГО РАЙОНА</t>
  </si>
  <si>
    <t>Удельный вес показателя</t>
  </si>
  <si>
    <t>анализируется по данным годовой отчетности</t>
  </si>
  <si>
    <t>просроченная кредиторская задолженность отсутствует</t>
  </si>
  <si>
    <t>М=А, где: А - просроченные долговые обязательства на конец года</t>
  </si>
  <si>
    <t>И_11 Доля остатков средств, не имеющих целевого назначения, сложившихся на 01 января текущего года к объему их поступления в отчетном периоде</t>
  </si>
  <si>
    <t>И_14 Наличие утвержденных и размещенных в сети Интернет стандартов качества предоставления муниципальных услуг</t>
  </si>
  <si>
    <t>да</t>
  </si>
  <si>
    <t>нет</t>
  </si>
  <si>
    <t>По результатам проведения мониторинга определена  оценка качества управления бюджетным процессом и финансовыми ресурсами в муниципальных образованиях и муниципальных учреждениях Сковородинского района.</t>
  </si>
  <si>
    <t>Условное рейтингование :</t>
  </si>
  <si>
    <t>в составе годовой отчетности сведения не представлены</t>
  </si>
  <si>
    <t>Отметка индикатора: "0"- не соотвествует весу индикатора, "1" - соотвествует весу индикатора, "- " - не оценивается</t>
  </si>
  <si>
    <t>ЗА  2016 ГОД</t>
  </si>
  <si>
    <t>МОНИТОРИНГ И ОЦЕНКА КАЧЕСТВА УПРАВЛЕНИЯ БЮДЖЕТНЫМ ПРОЦЕССОВ И ФИНАНСОВЫМИ РЕСУРСАМИ                                                                           В МУНИЦИПАЛЬНЫХ ОБРАЗОВАНИЯХ СОВОРОДИНСКОГО РАЙОНА ЗА  2016 ГОД</t>
  </si>
  <si>
    <t>Фактически поступившие налоговые и неналоговые доходы за 2016</t>
  </si>
  <si>
    <t>Фактически поступившие налоговые и неналоговые доходы за 2015</t>
  </si>
  <si>
    <t>Безвозмездные поступления за 2016, всего</t>
  </si>
  <si>
    <t>Объем дотации за 2016</t>
  </si>
  <si>
    <t>Объем субсидий за 2016</t>
  </si>
  <si>
    <t>Доходы фактические за 2016, всего</t>
  </si>
  <si>
    <t>Объем  утвержденных доходов на 01.02.2016</t>
  </si>
  <si>
    <t>Прочие поступления от использования имущества факт 2016</t>
  </si>
  <si>
    <t>Прочие поступления от использования имущества  план 2016</t>
  </si>
  <si>
    <t>на 01.02.16</t>
  </si>
  <si>
    <t>на 01.03.16</t>
  </si>
  <si>
    <t>на 01.04.16</t>
  </si>
  <si>
    <t>на 01.05.16</t>
  </si>
  <si>
    <t>на 01.06.16</t>
  </si>
  <si>
    <t>на 01.07.16</t>
  </si>
  <si>
    <t>на 01.08.2016</t>
  </si>
  <si>
    <t>на 01.09.2016</t>
  </si>
  <si>
    <t>на 01.10.2016</t>
  </si>
  <si>
    <t>на 01.11.2016</t>
  </si>
  <si>
    <t>на 01.12.2016</t>
  </si>
  <si>
    <t>на 31.12.2016</t>
  </si>
  <si>
    <t>за январь 2016</t>
  </si>
  <si>
    <t>за февраль 2016</t>
  </si>
  <si>
    <t>за март 2016</t>
  </si>
  <si>
    <t>за апрель 2016</t>
  </si>
  <si>
    <t>за май 2016</t>
  </si>
  <si>
    <t>за июнь 2016</t>
  </si>
  <si>
    <t>за июль 2016</t>
  </si>
  <si>
    <t>за август 2016</t>
  </si>
  <si>
    <t>за сентябрь 2016</t>
  </si>
  <si>
    <t>за октябрь 2016</t>
  </si>
  <si>
    <t>за ноябрь 2016</t>
  </si>
  <si>
    <t>за декабрь 2016</t>
  </si>
  <si>
    <t>Остатки средств на 01.01.2016, всего</t>
  </si>
  <si>
    <t>Остатки средств, не имеющих целевого назначения на 01.01.2016</t>
  </si>
  <si>
    <t>Управление образования администрации Сковородинского района</t>
  </si>
  <si>
    <t>ДА</t>
  </si>
  <si>
    <t>сведения не предоставлены</t>
  </si>
  <si>
    <t>НЕТ</t>
  </si>
  <si>
    <t>Сведения не предоставлены</t>
  </si>
  <si>
    <t>Мониторинг проведен по  данным отчетности за 2016  год. Балльность рассчитана с учетом выпадающих из отчетности показателей.</t>
  </si>
  <si>
    <t>для муниципальных образований: наиболее высокий уровень качества в диапазоне 13,35-20 баллов, средний уровень качества в диапазоне 6,68-13,34 баллов, низкий укровень качества в диапазоне 0-6,67 баллов.</t>
  </si>
  <si>
    <t>для муниципальных учреждений: наиболее высокий уровень качества в диапазоне 10-14,8 баллов, средний уровень качества в диапазоне 5-9,9 баллов, низкий уровень качества в диапазоне 0-4,9 баллов.</t>
  </si>
  <si>
    <t>Оценка по учреждениям: администрация Сковородинского района - 8,83 баллов и Управления образования администрации Сковородинского района на  уровне 9,54 баллов из максимально возможных 14,8 баллов, что относится к среднему уровню качества управления; финуправление администрации Сковородинского района оценено на 7,9 баллов, при этом из 21 индикатора оценка проведена только по 8, так как неоцениваемые индикаторы не относятся к деятельности финуправления администрации Сковородинского района.</t>
  </si>
  <si>
    <t>В перечень муниципальных образований с наиболее высоким уровнем качества попадают: Джалиндинский с/с, Солнечный с/с, пгт. Ерофей Павлович, Талданский с/с, пгт.Уруша, г.Сковородино; при этом, наибольшее количество индикаторов, соответствующих весу (из 21 индикатора, представленных в мониторинге) в пгт. Ерофей Павлович и пгт. Уруша (19), Талданский с/с - 17, г. Сковородино - 16. Более, чем завышены доходные показатели (И_1.1, И_3.1) в Джалиндинском с/с, Солнечный с/с и Талданский с/с, что говорит не об эффективном перевыполнении плана, но о неэффективном планировании бюджета. Обоснованность индикатора И_18 находит отражение в И_12-15, И_20-21.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</si>
</sst>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р_._-;\-* #,##0_р_._-;_-* &quot;-&quot;_р_._-;_-@_-"/>
    <numFmt numFmtId="43" formatCode="_-* #,##0.00_р_._-;\-* #,##0.00_р_._-;_-* &quot;-&quot;??_р_._-;_-@_-"/>
    <numFmt numFmtId="164" formatCode="0.000"/>
    <numFmt numFmtId="165" formatCode="#,##0.0"/>
    <numFmt numFmtId="166" formatCode="#,##0_ ;\-#,##0\ "/>
    <numFmt numFmtId="167" formatCode="0.0000000"/>
    <numFmt numFmtId="168" formatCode="0.0"/>
  </numFmts>
  <fonts count="13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106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4" fontId="0" fillId="0" borderId="0" xfId="0" applyNumberFormat="1"/>
    <xf numFmtId="4" fontId="0" fillId="0" borderId="1" xfId="0" applyNumberFormat="1" applyBorder="1"/>
    <xf numFmtId="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2" fontId="0" fillId="0" borderId="1" xfId="0" applyNumberFormat="1" applyBorder="1"/>
    <xf numFmtId="0" fontId="0" fillId="0" borderId="1" xfId="0" applyBorder="1" applyAlignment="1">
      <alignment horizontal="right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1" xfId="0" applyFill="1" applyBorder="1" applyAlignment="1">
      <alignment horizontal="right" wrapText="1"/>
    </xf>
    <xf numFmtId="4" fontId="0" fillId="0" borderId="1" xfId="0" applyNumberFormat="1" applyBorder="1" applyAlignment="1">
      <alignment horizontal="left"/>
    </xf>
    <xf numFmtId="16" fontId="0" fillId="0" borderId="1" xfId="0" applyNumberFormat="1" applyBorder="1" applyAlignment="1">
      <alignment horizontal="center"/>
    </xf>
    <xf numFmtId="4" fontId="0" fillId="0" borderId="0" xfId="0" applyNumberFormat="1" applyFill="1" applyBorder="1"/>
    <xf numFmtId="0" fontId="0" fillId="0" borderId="6" xfId="0" applyBorder="1" applyAlignment="1">
      <alignment horizontal="center"/>
    </xf>
    <xf numFmtId="1" fontId="0" fillId="0" borderId="1" xfId="0" applyNumberFormat="1" applyBorder="1"/>
    <xf numFmtId="3" fontId="0" fillId="0" borderId="1" xfId="0" applyNumberFormat="1" applyBorder="1"/>
    <xf numFmtId="0" fontId="6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left" wrapText="1"/>
    </xf>
    <xf numFmtId="0" fontId="0" fillId="0" borderId="0" xfId="0" applyFill="1" applyBorder="1" applyAlignment="1">
      <alignment wrapText="1"/>
    </xf>
    <xf numFmtId="43" fontId="0" fillId="0" borderId="1" xfId="0" applyNumberFormat="1" applyBorder="1"/>
    <xf numFmtId="43" fontId="0" fillId="0" borderId="1" xfId="0" applyNumberFormat="1" applyBorder="1" applyAlignment="1">
      <alignment horizontal="right"/>
    </xf>
    <xf numFmtId="0" fontId="2" fillId="0" borderId="0" xfId="0" applyFont="1" applyFill="1"/>
    <xf numFmtId="0" fontId="0" fillId="0" borderId="0" xfId="0" applyFill="1" applyAlignment="1">
      <alignment wrapText="1"/>
    </xf>
    <xf numFmtId="0" fontId="2" fillId="0" borderId="0" xfId="0" applyFont="1" applyFill="1" applyAlignment="1"/>
    <xf numFmtId="0" fontId="0" fillId="0" borderId="0" xfId="0" applyFill="1"/>
    <xf numFmtId="0" fontId="7" fillId="0" borderId="0" xfId="0" applyFont="1" applyFill="1" applyAlignment="1">
      <alignment wrapText="1"/>
    </xf>
    <xf numFmtId="0" fontId="0" fillId="0" borderId="1" xfId="0" applyFill="1" applyBorder="1"/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0" fillId="0" borderId="1" xfId="0" applyFill="1" applyBorder="1" applyAlignment="1">
      <alignment wrapText="1"/>
    </xf>
    <xf numFmtId="9" fontId="0" fillId="0" borderId="1" xfId="1" applyFont="1" applyFill="1" applyBorder="1"/>
    <xf numFmtId="2" fontId="0" fillId="0" borderId="1" xfId="0" applyNumberFormat="1" applyFill="1" applyBorder="1"/>
    <xf numFmtId="9" fontId="0" fillId="0" borderId="1" xfId="1" applyFont="1" applyFill="1" applyBorder="1" applyAlignment="1">
      <alignment wrapText="1"/>
    </xf>
    <xf numFmtId="4" fontId="0" fillId="0" borderId="1" xfId="0" applyNumberFormat="1" applyFill="1" applyBorder="1"/>
    <xf numFmtId="0" fontId="0" fillId="0" borderId="1" xfId="0" applyFill="1" applyBorder="1" applyAlignment="1">
      <alignment horizontal="right"/>
    </xf>
    <xf numFmtId="4" fontId="0" fillId="0" borderId="0" xfId="0" applyNumberFormat="1" applyFill="1"/>
    <xf numFmtId="4" fontId="0" fillId="0" borderId="1" xfId="0" applyNumberFormat="1" applyFill="1" applyBorder="1" applyAlignment="1">
      <alignment wrapText="1"/>
    </xf>
    <xf numFmtId="4" fontId="3" fillId="0" borderId="1" xfId="0" applyNumberFormat="1" applyFont="1" applyFill="1" applyBorder="1"/>
    <xf numFmtId="165" fontId="0" fillId="0" borderId="1" xfId="0" applyNumberFormat="1" applyFill="1" applyBorder="1"/>
    <xf numFmtId="3" fontId="0" fillId="0" borderId="1" xfId="0" applyNumberFormat="1" applyFill="1" applyBorder="1"/>
    <xf numFmtId="166" fontId="0" fillId="0" borderId="1" xfId="0" applyNumberFormat="1" applyBorder="1" applyAlignment="1">
      <alignment horizontal="right"/>
    </xf>
    <xf numFmtId="41" fontId="0" fillId="0" borderId="1" xfId="0" applyNumberFormat="1" applyBorder="1"/>
    <xf numFmtId="41" fontId="0" fillId="0" borderId="1" xfId="0" applyNumberFormat="1" applyBorder="1" applyAlignment="1">
      <alignment horizontal="right"/>
    </xf>
    <xf numFmtId="166" fontId="0" fillId="0" borderId="1" xfId="0" applyNumberFormat="1" applyBorder="1"/>
    <xf numFmtId="0" fontId="11" fillId="0" borderId="1" xfId="0" applyFont="1" applyFill="1" applyBorder="1" applyAlignment="1">
      <alignment wrapText="1"/>
    </xf>
    <xf numFmtId="0" fontId="12" fillId="0" borderId="1" xfId="0" applyFont="1" applyFill="1" applyBorder="1"/>
    <xf numFmtId="4" fontId="0" fillId="0" borderId="1" xfId="0" applyNumberFormat="1" applyBorder="1" applyAlignment="1">
      <alignment wrapText="1"/>
    </xf>
    <xf numFmtId="4" fontId="0" fillId="0" borderId="0" xfId="0" applyNumberFormat="1" applyBorder="1"/>
    <xf numFmtId="0" fontId="0" fillId="0" borderId="0" xfId="0" applyBorder="1" applyAlignment="1">
      <alignment wrapText="1"/>
    </xf>
    <xf numFmtId="43" fontId="0" fillId="0" borderId="0" xfId="2" applyFont="1"/>
    <xf numFmtId="43" fontId="0" fillId="0" borderId="0" xfId="2" applyFont="1" applyAlignment="1">
      <alignment wrapText="1"/>
    </xf>
    <xf numFmtId="0" fontId="1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6" fillId="0" borderId="0" xfId="0" applyFont="1" applyAlignment="1">
      <alignment horizontal="left" wrapText="1"/>
    </xf>
    <xf numFmtId="9" fontId="3" fillId="0" borderId="1" xfId="1" applyFont="1" applyFill="1" applyBorder="1" applyAlignment="1">
      <alignment wrapText="1"/>
    </xf>
    <xf numFmtId="2" fontId="3" fillId="0" borderId="1" xfId="0" applyNumberFormat="1" applyFont="1" applyFill="1" applyBorder="1"/>
    <xf numFmtId="9" fontId="3" fillId="0" borderId="1" xfId="1" applyNumberFormat="1" applyFont="1" applyFill="1" applyBorder="1" applyAlignment="1">
      <alignment wrapText="1"/>
    </xf>
    <xf numFmtId="167" fontId="3" fillId="0" borderId="1" xfId="0" applyNumberFormat="1" applyFont="1" applyFill="1" applyBorder="1"/>
    <xf numFmtId="164" fontId="0" fillId="0" borderId="1" xfId="0" applyNumberFormat="1" applyFill="1" applyBorder="1"/>
    <xf numFmtId="168" fontId="0" fillId="0" borderId="1" xfId="0" applyNumberFormat="1" applyFill="1" applyBorder="1" applyAlignment="1">
      <alignment wrapText="1"/>
    </xf>
    <xf numFmtId="0" fontId="3" fillId="0" borderId="1" xfId="0" applyFont="1" applyFill="1" applyBorder="1"/>
    <xf numFmtId="4" fontId="0" fillId="0" borderId="1" xfId="0" applyNumberForma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9" fontId="3" fillId="0" borderId="1" xfId="1" applyFont="1" applyFill="1" applyBorder="1" applyAlignment="1">
      <alignment horizontal="right" wrapText="1"/>
    </xf>
    <xf numFmtId="2" fontId="0" fillId="0" borderId="1" xfId="0" applyNumberFormat="1" applyFill="1" applyBorder="1" applyAlignment="1">
      <alignment wrapText="1"/>
    </xf>
    <xf numFmtId="9" fontId="0" fillId="0" borderId="1" xfId="0" applyNumberFormat="1" applyFill="1" applyBorder="1" applyAlignment="1">
      <alignment wrapText="1"/>
    </xf>
    <xf numFmtId="4" fontId="0" fillId="0" borderId="1" xfId="0" applyNumberForma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10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7" fillId="0" borderId="5" xfId="0" applyFont="1" applyFill="1" applyBorder="1" applyAlignment="1">
      <alignment horizontal="center" wrapText="1"/>
    </xf>
    <xf numFmtId="0" fontId="7" fillId="0" borderId="6" xfId="0" applyFont="1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6" fillId="0" borderId="0" xfId="0" applyFont="1" applyAlignment="1">
      <alignment horizontal="left" wrapText="1"/>
    </xf>
  </cellXfs>
  <cellStyles count="3">
    <cellStyle name="Обычный" xfId="0" builtinId="0"/>
    <cellStyle name="Процентный" xfId="1" builtinId="5"/>
    <cellStyle name="Финансовый" xfId="2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22"/>
  <sheetViews>
    <sheetView workbookViewId="0">
      <pane xSplit="1" ySplit="4" topLeftCell="AN5" activePane="bottomRight" state="frozen"/>
      <selection pane="topRight" activeCell="B1" sqref="B1"/>
      <selection pane="bottomLeft" activeCell="A5" sqref="A5"/>
      <selection pane="bottomRight" activeCell="AU10" sqref="AU10"/>
    </sheetView>
  </sheetViews>
  <sheetFormatPr defaultRowHeight="15" x14ac:dyDescent="0.25"/>
  <cols>
    <col min="1" max="1" width="26.5703125" customWidth="1"/>
    <col min="2" max="3" width="19" customWidth="1"/>
    <col min="4" max="4" width="16.42578125" customWidth="1"/>
    <col min="5" max="6" width="24.42578125" customWidth="1"/>
    <col min="7" max="7" width="16" customWidth="1"/>
    <col min="8" max="9" width="16.7109375" customWidth="1"/>
    <col min="10" max="10" width="18" customWidth="1"/>
    <col min="11" max="11" width="23" customWidth="1"/>
    <col min="12" max="15" width="13.5703125" customWidth="1"/>
    <col min="16" max="17" width="12.85546875" customWidth="1"/>
    <col min="18" max="19" width="13.28515625" customWidth="1"/>
    <col min="20" max="33" width="12.5703125" customWidth="1"/>
    <col min="34" max="34" width="13.7109375" customWidth="1"/>
    <col min="35" max="35" width="11.28515625" customWidth="1"/>
    <col min="36" max="36" width="12.28515625" customWidth="1"/>
    <col min="37" max="37" width="12.42578125" customWidth="1"/>
    <col min="38" max="38" width="13" customWidth="1"/>
    <col min="39" max="45" width="14.7109375" customWidth="1"/>
    <col min="46" max="46" width="14" customWidth="1"/>
    <col min="47" max="47" width="14.140625" customWidth="1"/>
    <col min="48" max="48" width="15.5703125" customWidth="1"/>
    <col min="49" max="49" width="19.7109375" customWidth="1"/>
    <col min="50" max="50" width="13.7109375" customWidth="1"/>
    <col min="51" max="51" width="17" customWidth="1"/>
    <col min="53" max="53" width="12.28515625" customWidth="1"/>
    <col min="54" max="54" width="19" customWidth="1"/>
    <col min="55" max="55" width="23.7109375" customWidth="1"/>
    <col min="56" max="56" width="22.5703125" customWidth="1"/>
    <col min="57" max="57" width="16.5703125" style="58" customWidth="1"/>
  </cols>
  <sheetData>
    <row r="1" spans="1:57" ht="18.75" x14ac:dyDescent="0.3">
      <c r="A1" s="76" t="s">
        <v>69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</row>
    <row r="3" spans="1:57" ht="15" customHeight="1" x14ac:dyDescent="0.25">
      <c r="A3" s="80"/>
      <c r="B3" s="77" t="s">
        <v>161</v>
      </c>
      <c r="C3" s="77" t="s">
        <v>162</v>
      </c>
      <c r="D3" s="77" t="s">
        <v>159</v>
      </c>
      <c r="E3" s="77" t="s">
        <v>154</v>
      </c>
      <c r="F3" s="77" t="s">
        <v>155</v>
      </c>
      <c r="G3" s="77" t="s">
        <v>156</v>
      </c>
      <c r="H3" s="77" t="s">
        <v>157</v>
      </c>
      <c r="I3" s="77" t="s">
        <v>158</v>
      </c>
      <c r="J3" s="77" t="s">
        <v>160</v>
      </c>
      <c r="K3" s="77" t="s">
        <v>67</v>
      </c>
      <c r="L3" s="79" t="s">
        <v>58</v>
      </c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 t="s">
        <v>65</v>
      </c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7" t="s">
        <v>59</v>
      </c>
      <c r="AV3" s="77" t="s">
        <v>60</v>
      </c>
      <c r="AW3" s="77" t="s">
        <v>61</v>
      </c>
      <c r="AX3" s="77" t="s">
        <v>62</v>
      </c>
      <c r="AY3" s="77" t="s">
        <v>63</v>
      </c>
      <c r="AZ3" s="77" t="s">
        <v>64</v>
      </c>
      <c r="BA3" s="77" t="s">
        <v>187</v>
      </c>
      <c r="BB3" s="77" t="s">
        <v>77</v>
      </c>
      <c r="BC3" s="77" t="s">
        <v>188</v>
      </c>
      <c r="BD3" s="77" t="s">
        <v>78</v>
      </c>
    </row>
    <row r="4" spans="1:57" s="1" customFormat="1" ht="64.5" customHeight="1" x14ac:dyDescent="0.25">
      <c r="A4" s="81"/>
      <c r="B4" s="78"/>
      <c r="C4" s="78"/>
      <c r="D4" s="78"/>
      <c r="E4" s="78"/>
      <c r="F4" s="78"/>
      <c r="G4" s="78"/>
      <c r="H4" s="78"/>
      <c r="I4" s="78"/>
      <c r="J4" s="78"/>
      <c r="K4" s="78"/>
      <c r="L4" s="3" t="s">
        <v>163</v>
      </c>
      <c r="M4" s="3"/>
      <c r="N4" s="3" t="s">
        <v>164</v>
      </c>
      <c r="O4" s="3"/>
      <c r="P4" s="3" t="s">
        <v>165</v>
      </c>
      <c r="Q4" s="3"/>
      <c r="R4" s="3" t="s">
        <v>166</v>
      </c>
      <c r="S4" s="3"/>
      <c r="T4" s="3" t="s">
        <v>167</v>
      </c>
      <c r="U4" s="3"/>
      <c r="V4" s="7" t="s">
        <v>168</v>
      </c>
      <c r="W4" s="12"/>
      <c r="X4" s="3" t="s">
        <v>169</v>
      </c>
      <c r="Y4" s="3"/>
      <c r="Z4" s="3" t="s">
        <v>170</v>
      </c>
      <c r="AA4" s="3"/>
      <c r="AB4" s="3" t="s">
        <v>171</v>
      </c>
      <c r="AC4" s="3"/>
      <c r="AD4" s="3" t="s">
        <v>172</v>
      </c>
      <c r="AE4" s="3"/>
      <c r="AF4" s="3" t="s">
        <v>173</v>
      </c>
      <c r="AG4" s="57"/>
      <c r="AH4" s="1" t="s">
        <v>174</v>
      </c>
      <c r="AI4" s="3" t="s">
        <v>175</v>
      </c>
      <c r="AJ4" s="3" t="s">
        <v>176</v>
      </c>
      <c r="AK4" s="3" t="s">
        <v>177</v>
      </c>
      <c r="AL4" s="3" t="s">
        <v>178</v>
      </c>
      <c r="AM4" s="3" t="s">
        <v>179</v>
      </c>
      <c r="AN4" s="3" t="s">
        <v>180</v>
      </c>
      <c r="AO4" s="3" t="s">
        <v>181</v>
      </c>
      <c r="AP4" s="3" t="s">
        <v>182</v>
      </c>
      <c r="AQ4" s="3" t="s">
        <v>183</v>
      </c>
      <c r="AR4" s="3" t="s">
        <v>184</v>
      </c>
      <c r="AS4" s="3" t="s">
        <v>185</v>
      </c>
      <c r="AT4" s="3" t="s">
        <v>186</v>
      </c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59"/>
    </row>
    <row r="5" spans="1:57" x14ac:dyDescent="0.25">
      <c r="A5" s="3" t="s">
        <v>0</v>
      </c>
      <c r="B5" s="55">
        <v>0</v>
      </c>
      <c r="C5" s="55">
        <v>0</v>
      </c>
      <c r="D5" s="5">
        <v>4426392.28</v>
      </c>
      <c r="E5" s="5">
        <v>674489.45</v>
      </c>
      <c r="F5" s="5"/>
      <c r="G5" s="5"/>
      <c r="H5" s="5">
        <v>3665183</v>
      </c>
      <c r="I5" s="5">
        <v>1830241.24</v>
      </c>
      <c r="J5" s="5">
        <v>491083</v>
      </c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>
        <v>4332055.5599999996</v>
      </c>
      <c r="AV5" s="5">
        <v>0</v>
      </c>
      <c r="AW5" s="5"/>
      <c r="AX5" s="5"/>
      <c r="AY5" s="5">
        <v>1283610.68</v>
      </c>
      <c r="AZ5" s="6">
        <v>33.03</v>
      </c>
      <c r="BA5" s="5">
        <v>3680924.56</v>
      </c>
      <c r="BB5" s="5"/>
      <c r="BC5" s="5">
        <v>628919.89</v>
      </c>
      <c r="BD5" s="5">
        <f t="shared" ref="BD5:BD12" si="0">E5+H5</f>
        <v>4339672.45</v>
      </c>
      <c r="BE5" s="58">
        <v>-3406440.86</v>
      </c>
    </row>
    <row r="6" spans="1:57" x14ac:dyDescent="0.25">
      <c r="A6" s="3" t="s">
        <v>1</v>
      </c>
      <c r="B6" s="55">
        <v>300000</v>
      </c>
      <c r="C6" s="55">
        <v>194432.08</v>
      </c>
      <c r="D6" s="5">
        <v>6945165.4800000004</v>
      </c>
      <c r="E6" s="5">
        <v>3959699.73</v>
      </c>
      <c r="F6" s="5"/>
      <c r="G6" s="5"/>
      <c r="H6" s="5">
        <v>2850004</v>
      </c>
      <c r="I6" s="5">
        <v>2116000</v>
      </c>
      <c r="J6" s="5">
        <v>3156382.91</v>
      </c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>
        <v>6984122</v>
      </c>
      <c r="AV6" s="5">
        <v>0</v>
      </c>
      <c r="AW6" s="5"/>
      <c r="AX6" s="5"/>
      <c r="AY6" s="5">
        <v>3148171.3</v>
      </c>
      <c r="AZ6" s="6">
        <v>63.65</v>
      </c>
      <c r="BA6" s="5">
        <v>102778.1</v>
      </c>
      <c r="BB6" s="5"/>
      <c r="BC6" s="5">
        <v>102778.1</v>
      </c>
      <c r="BD6" s="5">
        <f t="shared" si="0"/>
        <v>6809703.7300000004</v>
      </c>
      <c r="BE6" s="58">
        <v>-2699206.31</v>
      </c>
    </row>
    <row r="7" spans="1:57" x14ac:dyDescent="0.25">
      <c r="A7" s="3" t="s">
        <v>2</v>
      </c>
      <c r="B7" s="55">
        <v>334885.36</v>
      </c>
      <c r="C7" s="55">
        <v>182095</v>
      </c>
      <c r="D7" s="5">
        <v>22683707.25</v>
      </c>
      <c r="E7" s="5">
        <v>20373566</v>
      </c>
      <c r="F7" s="5"/>
      <c r="G7" s="5"/>
      <c r="H7" s="5">
        <v>189761</v>
      </c>
      <c r="I7" s="5">
        <v>1763862</v>
      </c>
      <c r="J7" s="5">
        <v>17111570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>
        <v>23016080.440000001</v>
      </c>
      <c r="AV7" s="5">
        <v>0</v>
      </c>
      <c r="AW7" s="5"/>
      <c r="AX7" s="5"/>
      <c r="AY7" s="5">
        <v>6758339.0700000003</v>
      </c>
      <c r="AZ7" s="6"/>
      <c r="BA7" s="5">
        <v>3355487.42</v>
      </c>
      <c r="BB7" s="5"/>
      <c r="BC7" s="5">
        <v>1786201.42</v>
      </c>
      <c r="BD7" s="5">
        <f t="shared" si="0"/>
        <v>20563327</v>
      </c>
      <c r="BE7" s="58">
        <v>-1467490.32</v>
      </c>
    </row>
    <row r="8" spans="1:57" x14ac:dyDescent="0.25">
      <c r="A8" s="3" t="s">
        <v>3</v>
      </c>
      <c r="B8" s="55">
        <v>624570.93000000005</v>
      </c>
      <c r="C8" s="55">
        <v>410409</v>
      </c>
      <c r="D8" s="5">
        <v>9592798.0800000001</v>
      </c>
      <c r="E8" s="5">
        <v>6176929.9699999997</v>
      </c>
      <c r="F8" s="5"/>
      <c r="G8" s="5"/>
      <c r="H8" s="5">
        <v>2923057</v>
      </c>
      <c r="I8" s="5">
        <v>1962625.1</v>
      </c>
      <c r="J8" s="5">
        <v>5207155.21</v>
      </c>
      <c r="K8" s="5"/>
      <c r="L8" s="5">
        <v>122564.74</v>
      </c>
      <c r="M8" s="5">
        <f>1-((N8-L8)/AI8)</f>
        <v>0.3738435673384285</v>
      </c>
      <c r="N8" s="5">
        <v>154564.74</v>
      </c>
      <c r="O8" s="5">
        <f>1-((P8-N8)/AJ8)</f>
        <v>1.0227006653544695</v>
      </c>
      <c r="P8" s="5">
        <v>138924.74</v>
      </c>
      <c r="Q8" s="5">
        <f>1-((R8-P8)/AK8)</f>
        <v>1</v>
      </c>
      <c r="R8" s="5">
        <v>138924.74</v>
      </c>
      <c r="S8" s="5">
        <f>1-((T8-R8)/AL8)</f>
        <v>1.0336124039419283</v>
      </c>
      <c r="T8" s="5">
        <v>121924.74</v>
      </c>
      <c r="U8" s="5">
        <f>1-((V8-T8)/AN8)</f>
        <v>1.0067664718253586</v>
      </c>
      <c r="V8" s="5">
        <v>118924.74</v>
      </c>
      <c r="W8" s="5">
        <f>1-((X8-V8)/AO8)</f>
        <v>1</v>
      </c>
      <c r="X8" s="5">
        <v>118924.74</v>
      </c>
      <c r="Y8" s="5">
        <f>1-((Z8-X8)/AP8)</f>
        <v>1</v>
      </c>
      <c r="Z8" s="5">
        <v>118924.74</v>
      </c>
      <c r="AA8" s="5">
        <f>1-((AB8-Z8)/AQ8)</f>
        <v>0.98811516308472647</v>
      </c>
      <c r="AB8" s="5">
        <v>131714.74</v>
      </c>
      <c r="AC8" s="5">
        <f>1-((AD8-AB8)/AR8)</f>
        <v>1.0370722270934305</v>
      </c>
      <c r="AD8" s="5">
        <v>106714.74</v>
      </c>
      <c r="AE8" s="5">
        <f>1-((AF8-AD8)/AS8)</f>
        <v>0.99941456456805433</v>
      </c>
      <c r="AF8" s="5">
        <v>107014.74</v>
      </c>
      <c r="AG8" s="5">
        <f>1-((AH8-AF8)/AT8)</f>
        <v>1.0225084304976417</v>
      </c>
      <c r="AH8" s="5">
        <v>73574.740000000005</v>
      </c>
      <c r="AI8" s="5">
        <v>51105.440000000002</v>
      </c>
      <c r="AJ8" s="5">
        <v>688966.59</v>
      </c>
      <c r="AK8" s="5">
        <v>957569.37</v>
      </c>
      <c r="AL8" s="5">
        <v>505765.67</v>
      </c>
      <c r="AM8" s="5">
        <v>294669.28999999998</v>
      </c>
      <c r="AN8" s="5">
        <v>443362.52</v>
      </c>
      <c r="AO8" s="5">
        <v>455786.95</v>
      </c>
      <c r="AP8" s="5">
        <v>738745.59</v>
      </c>
      <c r="AQ8" s="5">
        <v>1076161.17</v>
      </c>
      <c r="AR8" s="5">
        <v>674359.27</v>
      </c>
      <c r="AS8" s="5">
        <v>512439.09</v>
      </c>
      <c r="AT8" s="5">
        <v>1485665.56</v>
      </c>
      <c r="AU8" s="5">
        <v>7978021.2300000004</v>
      </c>
      <c r="AV8" s="5">
        <v>0</v>
      </c>
      <c r="AW8" s="5">
        <v>94818.11</v>
      </c>
      <c r="AX8" s="5">
        <v>1331000</v>
      </c>
      <c r="AY8" s="5">
        <v>3544749.9</v>
      </c>
      <c r="AZ8" s="6">
        <v>51.44</v>
      </c>
      <c r="BA8" s="5">
        <v>1808007.92</v>
      </c>
      <c r="BB8" s="5"/>
      <c r="BC8" s="5">
        <v>71965.03</v>
      </c>
      <c r="BD8" s="5">
        <f t="shared" si="0"/>
        <v>9099986.9699999988</v>
      </c>
      <c r="BE8" s="58">
        <v>-1338841.32</v>
      </c>
    </row>
    <row r="9" spans="1:57" x14ac:dyDescent="0.25">
      <c r="A9" s="3" t="s">
        <v>4</v>
      </c>
      <c r="B9" s="55">
        <v>1415539.16</v>
      </c>
      <c r="C9" s="55">
        <v>6450094</v>
      </c>
      <c r="D9" s="5">
        <v>205961912.05000001</v>
      </c>
      <c r="E9" s="5">
        <v>67324559.879999995</v>
      </c>
      <c r="F9" s="5"/>
      <c r="G9" s="5"/>
      <c r="H9" s="5">
        <v>347708</v>
      </c>
      <c r="I9" s="5">
        <v>4500000</v>
      </c>
      <c r="J9" s="5">
        <v>64752246.020000003</v>
      </c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>
        <v>220841693.75999999</v>
      </c>
      <c r="AV9" s="5">
        <v>0</v>
      </c>
      <c r="AW9" s="5">
        <v>1040685.24</v>
      </c>
      <c r="AX9" s="5">
        <v>8310000</v>
      </c>
      <c r="AY9" s="5">
        <v>13482507.229999999</v>
      </c>
      <c r="AZ9" s="6"/>
      <c r="BA9" s="5">
        <v>29542831.84</v>
      </c>
      <c r="BB9" s="5"/>
      <c r="BC9" s="5">
        <v>2014294.96</v>
      </c>
      <c r="BD9" s="5">
        <f t="shared" si="0"/>
        <v>67672267.879999995</v>
      </c>
      <c r="BE9" s="58">
        <v>110136900.59</v>
      </c>
    </row>
    <row r="10" spans="1:57" x14ac:dyDescent="0.25">
      <c r="A10" s="3" t="s">
        <v>5</v>
      </c>
      <c r="B10" s="55">
        <v>1931020.04</v>
      </c>
      <c r="C10" s="55">
        <v>1900000</v>
      </c>
      <c r="D10" s="5">
        <v>8689269.2100000009</v>
      </c>
      <c r="E10" s="5">
        <v>4669345.83</v>
      </c>
      <c r="F10" s="5"/>
      <c r="G10" s="5"/>
      <c r="H10" s="5">
        <v>2982202</v>
      </c>
      <c r="I10" s="5">
        <v>2245000</v>
      </c>
      <c r="J10" s="5">
        <v>3843206.29</v>
      </c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>
        <v>8996315.9800000004</v>
      </c>
      <c r="AV10" s="5">
        <v>0</v>
      </c>
      <c r="AW10" s="5"/>
      <c r="AX10" s="5"/>
      <c r="AY10" s="5">
        <v>3081293.81</v>
      </c>
      <c r="AZ10" s="6">
        <v>49.22</v>
      </c>
      <c r="BA10" s="5">
        <v>4412864.6900000004</v>
      </c>
      <c r="BB10" s="5"/>
      <c r="BC10" s="5">
        <v>782079.69</v>
      </c>
      <c r="BD10" s="5">
        <f t="shared" si="0"/>
        <v>7651547.8300000001</v>
      </c>
      <c r="BE10" s="58">
        <v>-3579886.75</v>
      </c>
    </row>
    <row r="11" spans="1:57" x14ac:dyDescent="0.25">
      <c r="A11" s="3" t="s">
        <v>6</v>
      </c>
      <c r="B11" s="55">
        <v>254990.05</v>
      </c>
      <c r="C11" s="55">
        <v>120000</v>
      </c>
      <c r="D11" s="5">
        <v>12478119.210000001</v>
      </c>
      <c r="E11" s="5">
        <v>8297186.6100000003</v>
      </c>
      <c r="F11" s="5"/>
      <c r="G11" s="5"/>
      <c r="H11" s="5">
        <v>3617336</v>
      </c>
      <c r="I11" s="5">
        <v>3008427.21</v>
      </c>
      <c r="J11" s="5">
        <v>6607212.1799999997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>
        <v>10976057.75</v>
      </c>
      <c r="AV11" s="5">
        <v>0</v>
      </c>
      <c r="AW11" s="5"/>
      <c r="AX11" s="5"/>
      <c r="AY11" s="5">
        <v>4400618.16</v>
      </c>
      <c r="AZ11" s="6">
        <v>28.3</v>
      </c>
      <c r="BA11" s="5">
        <v>3783335.23</v>
      </c>
      <c r="BB11" s="5"/>
      <c r="BC11" s="5">
        <v>148072.01999999999</v>
      </c>
      <c r="BD11" s="5">
        <f>E11+H11</f>
        <v>11914522.609999999</v>
      </c>
      <c r="BE11" s="58">
        <v>-2017056.47</v>
      </c>
    </row>
    <row r="12" spans="1:57" x14ac:dyDescent="0.25">
      <c r="A12" s="3" t="s">
        <v>7</v>
      </c>
      <c r="B12" s="55">
        <v>576209.59</v>
      </c>
      <c r="C12" s="55">
        <v>1293200</v>
      </c>
      <c r="D12" s="5">
        <v>7862053.1900000004</v>
      </c>
      <c r="E12" s="5">
        <v>4227321.59</v>
      </c>
      <c r="F12" s="5"/>
      <c r="G12" s="5"/>
      <c r="H12" s="5">
        <v>2435026</v>
      </c>
      <c r="I12" s="5">
        <v>2535751.9500000002</v>
      </c>
      <c r="J12" s="5">
        <v>5006454.05</v>
      </c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>
        <v>8504026.9499999993</v>
      </c>
      <c r="AV12" s="5">
        <v>0</v>
      </c>
      <c r="AW12" s="5">
        <v>46589.73</v>
      </c>
      <c r="AX12" s="5">
        <v>247960</v>
      </c>
      <c r="AY12" s="5">
        <v>3146654.08</v>
      </c>
      <c r="AZ12" s="6">
        <v>42.38</v>
      </c>
      <c r="BA12" s="5">
        <v>3413717.82</v>
      </c>
      <c r="BB12" s="5"/>
      <c r="BC12" s="5">
        <v>162367</v>
      </c>
      <c r="BD12" s="5">
        <f t="shared" si="0"/>
        <v>6662347.5899999999</v>
      </c>
      <c r="BE12" s="58">
        <v>-3171277.08</v>
      </c>
    </row>
    <row r="13" spans="1:57" x14ac:dyDescent="0.25">
      <c r="A13" s="3" t="s">
        <v>8</v>
      </c>
      <c r="B13" s="55">
        <v>393579.44</v>
      </c>
      <c r="C13" s="55">
        <v>350000</v>
      </c>
      <c r="D13" s="5">
        <v>12469928.35</v>
      </c>
      <c r="E13" s="5">
        <v>11421227.51</v>
      </c>
      <c r="F13" s="5"/>
      <c r="G13" s="5"/>
      <c r="H13" s="5">
        <v>124249</v>
      </c>
      <c r="I13" s="5">
        <v>369000</v>
      </c>
      <c r="J13" s="5">
        <v>10285000</v>
      </c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>
        <v>14863130.890000001</v>
      </c>
      <c r="AV13" s="5">
        <v>0</v>
      </c>
      <c r="AW13" s="5"/>
      <c r="AX13" s="5"/>
      <c r="AY13" s="5">
        <v>5588895.0300000003</v>
      </c>
      <c r="AZ13" s="6"/>
      <c r="BA13" s="5">
        <v>2764089.17</v>
      </c>
      <c r="BB13" s="5"/>
      <c r="BC13" s="5">
        <v>3282133.17</v>
      </c>
      <c r="BD13" s="5">
        <f>E13+H13</f>
        <v>11545476.51</v>
      </c>
      <c r="BE13" s="58">
        <v>-256517.28</v>
      </c>
    </row>
    <row r="14" spans="1:57" x14ac:dyDescent="0.25">
      <c r="A14" s="3" t="s">
        <v>9</v>
      </c>
      <c r="B14" s="3"/>
      <c r="C14" s="3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>
        <v>0</v>
      </c>
      <c r="AW14" s="5"/>
      <c r="AX14" s="5"/>
      <c r="AY14" s="5"/>
      <c r="AZ14" s="6" t="s">
        <v>66</v>
      </c>
      <c r="BA14" s="5"/>
      <c r="BB14" s="5"/>
      <c r="BC14" s="5"/>
      <c r="BD14" s="5"/>
    </row>
    <row r="15" spans="1:57" ht="30" x14ac:dyDescent="0.25">
      <c r="A15" s="3" t="s">
        <v>10</v>
      </c>
      <c r="B15" s="3"/>
      <c r="C15" s="3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>
        <v>0</v>
      </c>
      <c r="BB15" s="5">
        <v>0</v>
      </c>
      <c r="BC15" s="5">
        <f t="shared" ref="BC15:BC19" si="1">BA15-BB15</f>
        <v>0</v>
      </c>
      <c r="BD15" s="5"/>
    </row>
    <row r="16" spans="1:57" ht="45" x14ac:dyDescent="0.25">
      <c r="A16" s="3" t="s">
        <v>11</v>
      </c>
      <c r="B16" s="3"/>
      <c r="C16" s="3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>
        <v>0</v>
      </c>
      <c r="BB16" s="5">
        <v>0</v>
      </c>
      <c r="BC16" s="5">
        <f t="shared" si="1"/>
        <v>0</v>
      </c>
      <c r="BD16" s="5"/>
    </row>
    <row r="17" spans="1:56" ht="45" x14ac:dyDescent="0.25">
      <c r="A17" s="3" t="s">
        <v>12</v>
      </c>
      <c r="B17" s="3"/>
      <c r="C17" s="3"/>
      <c r="D17" s="5"/>
      <c r="E17" s="2"/>
      <c r="F17" s="2"/>
      <c r="G17" s="5"/>
      <c r="H17" s="2"/>
      <c r="I17" s="2"/>
      <c r="J17" s="2"/>
      <c r="K17" s="2"/>
      <c r="L17" s="5">
        <v>2088479.63</v>
      </c>
      <c r="M17" s="5"/>
      <c r="N17" s="5">
        <v>2088479.63</v>
      </c>
      <c r="O17" s="5"/>
      <c r="P17" s="5">
        <v>2088479.63</v>
      </c>
      <c r="Q17" s="56"/>
      <c r="R17" s="4">
        <v>2088479.63</v>
      </c>
      <c r="S17" s="4"/>
      <c r="T17" s="5">
        <v>2088479.63</v>
      </c>
      <c r="U17" s="5"/>
      <c r="V17" s="5">
        <v>2075753.93</v>
      </c>
      <c r="W17" s="5"/>
      <c r="X17" s="5">
        <v>2075753.93</v>
      </c>
      <c r="Y17" s="5"/>
      <c r="Z17" s="5">
        <v>1760875.49</v>
      </c>
      <c r="AA17" s="5"/>
      <c r="AB17" s="5">
        <v>252532.66</v>
      </c>
      <c r="AC17" s="5"/>
      <c r="AD17" s="5">
        <v>252532.66</v>
      </c>
      <c r="AE17" s="5"/>
      <c r="AF17" s="5">
        <v>252532.66</v>
      </c>
      <c r="AG17" s="5"/>
      <c r="AH17" s="5">
        <v>252532.66</v>
      </c>
      <c r="AI17" s="5">
        <v>3626303.07</v>
      </c>
      <c r="AJ17" s="5">
        <f>28109586.04-AI17</f>
        <v>24483282.969999999</v>
      </c>
      <c r="AK17" s="5">
        <f>60656134.25-AJ17-AI17</f>
        <v>32546548.210000001</v>
      </c>
      <c r="AL17" s="5">
        <f>82809215.62-AK17-AJ17-AI17</f>
        <v>22153081.370000005</v>
      </c>
      <c r="AM17" s="5">
        <f>116452510.14-AL17-AK17-AJ17-AI17</f>
        <v>33643294.519999996</v>
      </c>
      <c r="AN17" s="5">
        <f>149516323.07-AM17-AL17-AK17-AJ17-AI17</f>
        <v>33063812.929999992</v>
      </c>
      <c r="AO17" s="5">
        <f>174467070.03-AN17-AM17-AL17-AK17-AJ17-AI17</f>
        <v>24950746.960000023</v>
      </c>
      <c r="AP17" s="5">
        <f>190422888.2-AO17-AN17-AM17-AL17-AK17-AJ17-AI17</f>
        <v>15955818.169999957</v>
      </c>
      <c r="AQ17" s="5">
        <f>208950652.08-AP17-AO17-AN17-AM17-AL17-AK17-AJ17-AI17</f>
        <v>18527763.88000004</v>
      </c>
      <c r="AR17" s="5">
        <f>236293366.5-AQ17-AP17-AO17-AN17-AM17-AL17-AK17-AJ17-AI17</f>
        <v>27342714.419999942</v>
      </c>
      <c r="AS17" s="5">
        <f>269047075.83-AR17-AQ17-AP17-AO17-AN17-AM17-AL17-AK17-AJ17-AI17</f>
        <v>32753709.329999968</v>
      </c>
      <c r="AT17" s="5">
        <f>342994936.86-AS17-AR17-AQ17-AP17-AO17-AM17-AL17-AK17-AJ17-AN17</f>
        <v>77574164.100000039</v>
      </c>
      <c r="AU17" s="5">
        <v>342994936.86000001</v>
      </c>
      <c r="AV17" s="5"/>
      <c r="AW17" s="5"/>
      <c r="AX17" s="5"/>
      <c r="AY17" s="5"/>
      <c r="AZ17" s="5"/>
      <c r="BA17" s="5">
        <v>0</v>
      </c>
      <c r="BB17" s="5">
        <v>0</v>
      </c>
      <c r="BC17" s="5">
        <f t="shared" si="1"/>
        <v>0</v>
      </c>
      <c r="BD17" s="5"/>
    </row>
    <row r="18" spans="1:56" x14ac:dyDescent="0.25">
      <c r="A18" s="3" t="s">
        <v>13</v>
      </c>
      <c r="B18" s="3"/>
      <c r="C18" s="3"/>
      <c r="D18" s="5"/>
      <c r="E18" s="2"/>
      <c r="F18" s="2"/>
      <c r="G18" s="5"/>
      <c r="H18" s="2"/>
      <c r="I18" s="2"/>
      <c r="J18" s="2"/>
      <c r="K18" s="2"/>
      <c r="L18" s="5">
        <v>95445.93</v>
      </c>
      <c r="M18" s="5"/>
      <c r="N18" s="5">
        <v>95445.93</v>
      </c>
      <c r="O18" s="5"/>
      <c r="P18" s="5">
        <v>95445.93</v>
      </c>
      <c r="Q18" s="5"/>
      <c r="R18" s="5">
        <v>95445.93</v>
      </c>
      <c r="S18" s="5"/>
      <c r="T18" s="5">
        <v>95445.93</v>
      </c>
      <c r="U18" s="5"/>
      <c r="V18" s="5">
        <v>95445.93</v>
      </c>
      <c r="W18" s="5"/>
      <c r="X18" s="5">
        <v>95445.93</v>
      </c>
      <c r="Y18" s="5"/>
      <c r="Z18" s="5">
        <v>95445.93</v>
      </c>
      <c r="AA18" s="5"/>
      <c r="AB18" s="5">
        <v>0</v>
      </c>
      <c r="AC18" s="5"/>
      <c r="AD18" s="5">
        <v>0</v>
      </c>
      <c r="AE18" s="5"/>
      <c r="AF18" s="5">
        <v>0</v>
      </c>
      <c r="AG18" s="5"/>
      <c r="AH18" s="5">
        <v>0</v>
      </c>
      <c r="AI18" s="5">
        <v>1707524.52</v>
      </c>
      <c r="AJ18" s="5">
        <f>7719916.22-AI18</f>
        <v>6012391.6999999993</v>
      </c>
      <c r="AK18" s="5">
        <f>17541518.6-AJ18-AI18</f>
        <v>9821602.3800000027</v>
      </c>
      <c r="AL18" s="5">
        <f>25872059.15-AK18-AJ18-AI18</f>
        <v>8330540.549999997</v>
      </c>
      <c r="AM18" s="5">
        <f>38044554.05-AL18-AK18-AJ18-AI18</f>
        <v>12172494.899999999</v>
      </c>
      <c r="AN18" s="5">
        <f>45984088.14-AM18-AL18-AK18-AJ18-AI18</f>
        <v>7939534.0900000036</v>
      </c>
      <c r="AO18" s="5">
        <f>53489087.05-AN18-AM18-AL18-AK18-AJ18-AI18</f>
        <v>7504998.9099999964</v>
      </c>
      <c r="AP18" s="5">
        <f>59875449.59-AO18-AN18-AM18-AL18-AK18-AJ18-AI18</f>
        <v>6386362.5400000066</v>
      </c>
      <c r="AQ18" s="5">
        <f>73577425.26-AP18-AO18-AN18-AM18-AL18-AK18-AJ18-AI18</f>
        <v>13701975.670000002</v>
      </c>
      <c r="AR18" s="5">
        <f>89480691.33-AQ18-AP18-AO18-AN18-AM18-AL18-AK18-AJ18-AI18</f>
        <v>15903266.069999993</v>
      </c>
      <c r="AS18" s="5">
        <f>104685235.4-AR18-AQ18-AP18-AO18-AN18-AM18-AL18-AK18-AJ18-AI18</f>
        <v>15204544.070000008</v>
      </c>
      <c r="AT18" s="5">
        <f>130779814.7-AS18-AR18-AQ18-AP18-AO18-AN18-AM18-AL18-AK18-AJ18</f>
        <v>27802103.819999997</v>
      </c>
      <c r="AU18" s="5">
        <v>130779814.7</v>
      </c>
      <c r="AV18" s="5"/>
      <c r="AW18" s="5"/>
      <c r="AX18" s="5"/>
      <c r="AY18" s="5"/>
      <c r="AZ18" s="5"/>
      <c r="BA18" s="5">
        <v>0</v>
      </c>
      <c r="BB18" s="5">
        <v>0</v>
      </c>
      <c r="BC18" s="5">
        <f t="shared" si="1"/>
        <v>0</v>
      </c>
      <c r="BD18" s="5"/>
    </row>
    <row r="19" spans="1:56" x14ac:dyDescent="0.25">
      <c r="A19" s="3" t="s">
        <v>14</v>
      </c>
      <c r="B19" s="3"/>
      <c r="C19" s="3"/>
      <c r="D19" s="5"/>
      <c r="E19" s="2"/>
      <c r="F19" s="2"/>
      <c r="G19" s="5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>
        <v>0</v>
      </c>
      <c r="BB19" s="5">
        <v>0</v>
      </c>
      <c r="BC19" s="5">
        <f t="shared" si="1"/>
        <v>0</v>
      </c>
      <c r="BD19" s="5"/>
    </row>
    <row r="20" spans="1:56" x14ac:dyDescent="0.25">
      <c r="A20" s="3" t="s">
        <v>15</v>
      </c>
      <c r="B20" s="3"/>
      <c r="C20" s="3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</row>
    <row r="21" spans="1:56" x14ac:dyDescent="0.25">
      <c r="L21">
        <f>L17/AI17</f>
        <v>0.57592528525201292</v>
      </c>
      <c r="N21">
        <f>N17/AJ17</f>
        <v>8.5302270637441391E-2</v>
      </c>
      <c r="P21">
        <f>P17/AK17</f>
        <v>6.4169005466401807E-2</v>
      </c>
      <c r="R21">
        <f>R17/AL17</f>
        <v>9.4274904475737928E-2</v>
      </c>
      <c r="T21">
        <f>T17/AM17</f>
        <v>6.2077143745790334E-2</v>
      </c>
      <c r="V21">
        <f>V17/AN17</f>
        <v>6.2780234523907352E-2</v>
      </c>
      <c r="X21">
        <f>X17/AO17</f>
        <v>8.3194059613836829E-2</v>
      </c>
      <c r="Z21">
        <f>Z17/AP17</f>
        <v>0.11035946080852116</v>
      </c>
      <c r="AB21">
        <f>AB17/AQ17</f>
        <v>1.3629958889566736E-2</v>
      </c>
      <c r="AD21">
        <f>AD17/AR17</f>
        <v>9.2358299224046293E-3</v>
      </c>
      <c r="AF21">
        <f>AF17/AS17</f>
        <v>7.7100476607301028E-3</v>
      </c>
      <c r="AH21">
        <f t="shared" ref="AH21:AH22" si="2">AH17/AT17</f>
        <v>3.2553706885511883E-3</v>
      </c>
    </row>
    <row r="22" spans="1:56" x14ac:dyDescent="0.25">
      <c r="L22">
        <f>L18/AI18</f>
        <v>5.5897252942522895E-2</v>
      </c>
      <c r="N22">
        <f>N18/AJ18</f>
        <v>1.5874868897846426E-2</v>
      </c>
      <c r="P22">
        <f>P18/AK18</f>
        <v>9.7179590770604951E-3</v>
      </c>
      <c r="R22">
        <f>R18/AL18</f>
        <v>1.145735134798666E-2</v>
      </c>
      <c r="T22">
        <f>T18/AM18</f>
        <v>7.8411148071214232E-3</v>
      </c>
      <c r="V22">
        <f>V18/AN18</f>
        <v>1.2021603398644762E-2</v>
      </c>
      <c r="X22">
        <f>X18/AO18</f>
        <v>1.2717647416686972E-2</v>
      </c>
      <c r="Z22">
        <f>Z18/AP18</f>
        <v>1.4945272743629725E-2</v>
      </c>
      <c r="AB22">
        <f>AB18/AQ18</f>
        <v>0</v>
      </c>
      <c r="AD22">
        <f>AD18/AR18</f>
        <v>0</v>
      </c>
      <c r="AF22">
        <f>AF18/AS18</f>
        <v>0</v>
      </c>
      <c r="AH22">
        <f t="shared" si="2"/>
        <v>0</v>
      </c>
    </row>
  </sheetData>
  <mergeCells count="24">
    <mergeCell ref="J3:J4"/>
    <mergeCell ref="A3:A4"/>
    <mergeCell ref="D3:D4"/>
    <mergeCell ref="E3:E4"/>
    <mergeCell ref="F3:F4"/>
    <mergeCell ref="G3:G4"/>
    <mergeCell ref="B3:B4"/>
    <mergeCell ref="C3:C4"/>
    <mergeCell ref="A1:AI1"/>
    <mergeCell ref="BA3:BA4"/>
    <mergeCell ref="BB3:BB4"/>
    <mergeCell ref="BC3:BC4"/>
    <mergeCell ref="BD3:BD4"/>
    <mergeCell ref="K3:K4"/>
    <mergeCell ref="AU3:AU4"/>
    <mergeCell ref="AV3:AV4"/>
    <mergeCell ref="AW3:AW4"/>
    <mergeCell ref="AX3:AX4"/>
    <mergeCell ref="AY3:AY4"/>
    <mergeCell ref="AZ3:AZ4"/>
    <mergeCell ref="AI3:AT3"/>
    <mergeCell ref="L3:AH3"/>
    <mergeCell ref="H3:H4"/>
    <mergeCell ref="I3:I4"/>
  </mergeCells>
  <pageMargins left="0.11811023622047245" right="0.11811023622047245" top="0.74803149606299213" bottom="0.74803149606299213" header="0.31496062992125984" footer="0.31496062992125984"/>
  <pageSetup paperSize="9" scale="48" fitToWidth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0:N12"/>
  <sheetViews>
    <sheetView tabSelected="1" workbookViewId="0">
      <selection activeCell="R10" sqref="R10"/>
    </sheetView>
  </sheetViews>
  <sheetFormatPr defaultRowHeight="15" x14ac:dyDescent="0.25"/>
  <sheetData>
    <row r="10" spans="1:14" ht="61.5" customHeight="1" x14ac:dyDescent="0.35">
      <c r="A10" s="82" t="s">
        <v>139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</row>
    <row r="12" spans="1:14" ht="21" x14ac:dyDescent="0.35">
      <c r="A12" s="83" t="s">
        <v>152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</row>
  </sheetData>
  <mergeCells count="2">
    <mergeCell ref="A10:N10"/>
    <mergeCell ref="A12:N1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V19"/>
  <sheetViews>
    <sheetView workbookViewId="0">
      <selection activeCell="AV19" sqref="AV19"/>
    </sheetView>
  </sheetViews>
  <sheetFormatPr defaultRowHeight="15" x14ac:dyDescent="0.25"/>
  <cols>
    <col min="1" max="1" width="4.7109375" style="30" customWidth="1"/>
    <col min="2" max="2" width="29.42578125" style="28" customWidth="1"/>
    <col min="3" max="3" width="22.7109375" style="30" customWidth="1"/>
    <col min="4" max="4" width="14.140625" style="30" customWidth="1"/>
    <col min="5" max="5" width="23.28515625" style="30" customWidth="1"/>
    <col min="6" max="6" width="14.140625" style="30" customWidth="1"/>
    <col min="7" max="7" width="21.5703125" style="30" customWidth="1"/>
    <col min="8" max="8" width="14" style="30" customWidth="1"/>
    <col min="9" max="9" width="22" style="30" customWidth="1"/>
    <col min="10" max="10" width="14" style="30" customWidth="1"/>
    <col min="11" max="11" width="23.7109375" style="30" customWidth="1"/>
    <col min="12" max="12" width="12.5703125" style="30" customWidth="1"/>
    <col min="13" max="13" width="24.140625" style="30" customWidth="1"/>
    <col min="14" max="14" width="12.5703125" style="30" customWidth="1"/>
    <col min="15" max="15" width="39.5703125" style="30" customWidth="1"/>
    <col min="16" max="16" width="12.85546875" style="30" customWidth="1"/>
    <col min="17" max="17" width="18.5703125" style="30" customWidth="1"/>
    <col min="18" max="18" width="12.140625" style="30" customWidth="1"/>
    <col min="19" max="19" width="18.7109375" style="30" customWidth="1"/>
    <col min="20" max="20" width="11.7109375" style="30" customWidth="1"/>
    <col min="21" max="21" width="26.28515625" style="30" customWidth="1"/>
    <col min="22" max="22" width="12" style="30" customWidth="1"/>
    <col min="23" max="23" width="51.5703125" style="30" customWidth="1"/>
    <col min="24" max="24" width="12.7109375" style="30" customWidth="1"/>
    <col min="25" max="25" width="22.85546875" style="30" customWidth="1"/>
    <col min="26" max="26" width="12.7109375" style="30" customWidth="1"/>
    <col min="27" max="27" width="44.5703125" style="30" customWidth="1"/>
    <col min="28" max="28" width="12.42578125" style="30" customWidth="1"/>
    <col min="29" max="29" width="45.140625" style="30" customWidth="1"/>
    <col min="30" max="30" width="12.7109375" style="30" customWidth="1"/>
    <col min="31" max="31" width="21.140625" style="30" customWidth="1"/>
    <col min="32" max="32" width="9.140625" style="30"/>
    <col min="33" max="33" width="18.5703125" style="30" customWidth="1"/>
    <col min="34" max="34" width="9.140625" style="30"/>
    <col min="35" max="35" width="17.7109375" style="30" customWidth="1"/>
    <col min="36" max="36" width="9.140625" style="30"/>
    <col min="37" max="37" width="18.28515625" style="30" customWidth="1"/>
    <col min="38" max="38" width="9.140625" style="30"/>
    <col min="39" max="39" width="30.5703125" style="30" customWidth="1"/>
    <col min="40" max="40" width="23" style="30" customWidth="1"/>
    <col min="41" max="41" width="9.140625" style="30"/>
    <col min="42" max="42" width="17.7109375" style="30" customWidth="1"/>
    <col min="43" max="43" width="16.140625" style="30" customWidth="1"/>
    <col min="44" max="44" width="25.85546875" style="30" customWidth="1"/>
    <col min="45" max="45" width="11.7109375" style="30" customWidth="1"/>
    <col min="46" max="46" width="21.140625" style="30" customWidth="1"/>
    <col min="47" max="47" width="13" style="30" customWidth="1"/>
    <col min="48" max="48" width="15.5703125" style="30" customWidth="1"/>
    <col min="49" max="16384" width="9.140625" style="30"/>
  </cols>
  <sheetData>
    <row r="2" spans="1:48" s="27" customFormat="1" ht="33.75" customHeight="1" x14ac:dyDescent="0.3">
      <c r="C2" s="86" t="s">
        <v>153</v>
      </c>
      <c r="D2" s="86"/>
      <c r="E2" s="86"/>
      <c r="F2" s="86"/>
      <c r="G2" s="86"/>
      <c r="H2" s="86"/>
      <c r="I2" s="86"/>
      <c r="J2" s="86"/>
      <c r="K2" s="28"/>
      <c r="L2" s="28"/>
      <c r="M2" s="28"/>
      <c r="N2" s="28"/>
      <c r="O2" s="28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</row>
    <row r="4" spans="1:48" ht="31.5" customHeight="1" x14ac:dyDescent="0.25">
      <c r="A4" s="91"/>
      <c r="B4" s="85" t="s">
        <v>55</v>
      </c>
      <c r="C4" s="91" t="s">
        <v>16</v>
      </c>
      <c r="D4" s="91"/>
      <c r="E4" s="91"/>
      <c r="F4" s="91"/>
      <c r="G4" s="85" t="s">
        <v>21</v>
      </c>
      <c r="H4" s="85"/>
      <c r="I4" s="85"/>
      <c r="J4" s="85"/>
      <c r="K4" s="85" t="s">
        <v>76</v>
      </c>
      <c r="L4" s="85"/>
      <c r="M4" s="85"/>
      <c r="N4" s="85"/>
      <c r="O4" s="84" t="s">
        <v>26</v>
      </c>
      <c r="P4" s="84"/>
      <c r="Q4" s="84" t="s">
        <v>28</v>
      </c>
      <c r="R4" s="84"/>
      <c r="S4" s="84" t="s">
        <v>30</v>
      </c>
      <c r="T4" s="84"/>
      <c r="U4" s="84" t="s">
        <v>31</v>
      </c>
      <c r="V4" s="84"/>
      <c r="W4" s="84" t="s">
        <v>33</v>
      </c>
      <c r="X4" s="84"/>
      <c r="Y4" s="84" t="s">
        <v>35</v>
      </c>
      <c r="Z4" s="84"/>
      <c r="AA4" s="84" t="s">
        <v>37</v>
      </c>
      <c r="AB4" s="84"/>
      <c r="AC4" s="84" t="s">
        <v>144</v>
      </c>
      <c r="AD4" s="84"/>
      <c r="AE4" s="87" t="s">
        <v>41</v>
      </c>
      <c r="AF4" s="87"/>
      <c r="AG4" s="87" t="s">
        <v>43</v>
      </c>
      <c r="AH4" s="87"/>
      <c r="AI4" s="87" t="s">
        <v>44</v>
      </c>
      <c r="AJ4" s="87"/>
      <c r="AK4" s="87" t="s">
        <v>45</v>
      </c>
      <c r="AL4" s="87"/>
      <c r="AM4" s="88" t="s">
        <v>46</v>
      </c>
      <c r="AN4" s="84" t="s">
        <v>47</v>
      </c>
      <c r="AO4" s="84"/>
      <c r="AP4" s="84" t="s">
        <v>49</v>
      </c>
      <c r="AQ4" s="89" t="s">
        <v>50</v>
      </c>
      <c r="AR4" s="84" t="s">
        <v>51</v>
      </c>
      <c r="AS4" s="84"/>
      <c r="AT4" s="84" t="s">
        <v>53</v>
      </c>
      <c r="AU4" s="84"/>
      <c r="AV4" s="85" t="s">
        <v>68</v>
      </c>
    </row>
    <row r="5" spans="1:48" s="31" customFormat="1" ht="43.5" customHeight="1" x14ac:dyDescent="0.2">
      <c r="A5" s="91"/>
      <c r="B5" s="85"/>
      <c r="C5" s="84" t="s">
        <v>70</v>
      </c>
      <c r="D5" s="84"/>
      <c r="E5" s="84" t="s">
        <v>71</v>
      </c>
      <c r="F5" s="84"/>
      <c r="G5" s="84" t="s">
        <v>72</v>
      </c>
      <c r="H5" s="84"/>
      <c r="I5" s="92" t="s">
        <v>73</v>
      </c>
      <c r="J5" s="93"/>
      <c r="K5" s="84" t="s">
        <v>74</v>
      </c>
      <c r="L5" s="84"/>
      <c r="M5" s="92" t="s">
        <v>75</v>
      </c>
      <c r="N5" s="93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7"/>
      <c r="AF5" s="87"/>
      <c r="AG5" s="87"/>
      <c r="AH5" s="87"/>
      <c r="AI5" s="87"/>
      <c r="AJ5" s="87"/>
      <c r="AK5" s="87"/>
      <c r="AL5" s="87"/>
      <c r="AM5" s="88"/>
      <c r="AN5" s="84"/>
      <c r="AO5" s="84"/>
      <c r="AP5" s="84"/>
      <c r="AQ5" s="90"/>
      <c r="AR5" s="84"/>
      <c r="AS5" s="84"/>
      <c r="AT5" s="84"/>
      <c r="AU5" s="84"/>
      <c r="AV5" s="85"/>
    </row>
    <row r="6" spans="1:48" x14ac:dyDescent="0.25">
      <c r="A6" s="91"/>
      <c r="B6" s="85"/>
      <c r="C6" s="32" t="s">
        <v>17</v>
      </c>
      <c r="D6" s="32" t="s">
        <v>20</v>
      </c>
      <c r="E6" s="32" t="s">
        <v>17</v>
      </c>
      <c r="F6" s="32" t="s">
        <v>20</v>
      </c>
      <c r="G6" s="32" t="s">
        <v>17</v>
      </c>
      <c r="H6" s="32" t="s">
        <v>22</v>
      </c>
      <c r="I6" s="32" t="s">
        <v>17</v>
      </c>
      <c r="J6" s="32" t="s">
        <v>22</v>
      </c>
      <c r="K6" s="32" t="s">
        <v>17</v>
      </c>
      <c r="L6" s="33" t="s">
        <v>22</v>
      </c>
      <c r="M6" s="32" t="s">
        <v>17</v>
      </c>
      <c r="N6" s="33" t="s">
        <v>22</v>
      </c>
      <c r="O6" s="32" t="s">
        <v>17</v>
      </c>
      <c r="P6" s="33" t="s">
        <v>22</v>
      </c>
      <c r="Q6" s="32" t="s">
        <v>17</v>
      </c>
      <c r="R6" s="33" t="s">
        <v>22</v>
      </c>
      <c r="S6" s="32" t="s">
        <v>17</v>
      </c>
      <c r="T6" s="33" t="s">
        <v>22</v>
      </c>
      <c r="U6" s="32" t="s">
        <v>17</v>
      </c>
      <c r="V6" s="33" t="s">
        <v>22</v>
      </c>
      <c r="W6" s="32" t="s">
        <v>17</v>
      </c>
      <c r="X6" s="33" t="s">
        <v>22</v>
      </c>
      <c r="Y6" s="32" t="s">
        <v>17</v>
      </c>
      <c r="Z6" s="33" t="s">
        <v>22</v>
      </c>
      <c r="AA6" s="32" t="s">
        <v>17</v>
      </c>
      <c r="AB6" s="33" t="s">
        <v>22</v>
      </c>
      <c r="AC6" s="32" t="s">
        <v>17</v>
      </c>
      <c r="AD6" s="33" t="s">
        <v>22</v>
      </c>
      <c r="AE6" s="32" t="s">
        <v>17</v>
      </c>
      <c r="AF6" s="33" t="s">
        <v>22</v>
      </c>
      <c r="AG6" s="32" t="s">
        <v>17</v>
      </c>
      <c r="AH6" s="33" t="s">
        <v>22</v>
      </c>
      <c r="AI6" s="32" t="s">
        <v>17</v>
      </c>
      <c r="AJ6" s="33" t="s">
        <v>22</v>
      </c>
      <c r="AK6" s="32" t="s">
        <v>17</v>
      </c>
      <c r="AL6" s="33" t="s">
        <v>22</v>
      </c>
      <c r="AM6" s="32" t="s">
        <v>22</v>
      </c>
      <c r="AN6" s="32" t="s">
        <v>17</v>
      </c>
      <c r="AO6" s="33" t="s">
        <v>22</v>
      </c>
      <c r="AP6" s="32" t="s">
        <v>22</v>
      </c>
      <c r="AQ6" s="32" t="s">
        <v>22</v>
      </c>
      <c r="AR6" s="32" t="s">
        <v>17</v>
      </c>
      <c r="AS6" s="33" t="s">
        <v>22</v>
      </c>
      <c r="AT6" s="32" t="s">
        <v>17</v>
      </c>
      <c r="AU6" s="33" t="s">
        <v>22</v>
      </c>
      <c r="AV6" s="85"/>
    </row>
    <row r="7" spans="1:48" s="37" customFormat="1" ht="76.5" customHeight="1" x14ac:dyDescent="0.25">
      <c r="A7" s="91"/>
      <c r="B7" s="34" t="s">
        <v>18</v>
      </c>
      <c r="C7" s="35" t="s">
        <v>19</v>
      </c>
      <c r="D7" s="35"/>
      <c r="E7" s="35" t="s">
        <v>19</v>
      </c>
      <c r="F7" s="35"/>
      <c r="G7" s="35" t="s">
        <v>23</v>
      </c>
      <c r="H7" s="35"/>
      <c r="I7" s="53" t="s">
        <v>79</v>
      </c>
      <c r="J7" s="35"/>
      <c r="K7" s="35" t="s">
        <v>25</v>
      </c>
      <c r="L7" s="35"/>
      <c r="M7" s="35" t="s">
        <v>25</v>
      </c>
      <c r="N7" s="35"/>
      <c r="O7" s="35" t="s">
        <v>27</v>
      </c>
      <c r="P7" s="35"/>
      <c r="Q7" s="35" t="s">
        <v>29</v>
      </c>
      <c r="R7" s="35"/>
      <c r="S7" s="35" t="s">
        <v>143</v>
      </c>
      <c r="T7" s="35"/>
      <c r="U7" s="35" t="s">
        <v>32</v>
      </c>
      <c r="V7" s="35"/>
      <c r="W7" s="53" t="s">
        <v>34</v>
      </c>
      <c r="X7" s="35"/>
      <c r="Y7" s="35" t="s">
        <v>36</v>
      </c>
      <c r="Z7" s="35"/>
      <c r="AA7" s="53" t="s">
        <v>38</v>
      </c>
      <c r="AB7" s="35"/>
      <c r="AC7" s="53" t="s">
        <v>40</v>
      </c>
      <c r="AD7" s="35"/>
      <c r="AE7" s="35" t="s">
        <v>42</v>
      </c>
      <c r="AF7" s="35"/>
      <c r="AG7" s="35"/>
      <c r="AH7" s="35"/>
      <c r="AI7" s="35"/>
      <c r="AJ7" s="35"/>
      <c r="AK7" s="35"/>
      <c r="AL7" s="35"/>
      <c r="AM7" s="35"/>
      <c r="AN7" s="53" t="s">
        <v>48</v>
      </c>
      <c r="AO7" s="35"/>
      <c r="AP7" s="35"/>
      <c r="AQ7" s="35"/>
      <c r="AR7" s="36" t="s">
        <v>52</v>
      </c>
      <c r="AS7" s="35"/>
      <c r="AT7" s="35" t="s">
        <v>54</v>
      </c>
      <c r="AU7" s="35"/>
      <c r="AV7" s="85"/>
    </row>
    <row r="8" spans="1:48" ht="60" x14ac:dyDescent="0.25">
      <c r="A8" s="54">
        <v>1</v>
      </c>
      <c r="B8" s="38" t="s">
        <v>0</v>
      </c>
      <c r="C8" s="39">
        <f>674489.45/747649.98*100%</f>
        <v>0.90214601490392599</v>
      </c>
      <c r="D8" s="40">
        <v>0</v>
      </c>
      <c r="E8" s="63">
        <v>0</v>
      </c>
      <c r="F8" s="64">
        <v>0</v>
      </c>
      <c r="G8" s="39">
        <f>(справочно!H5/справочно!E5)*100%</f>
        <v>5.4340108655517154</v>
      </c>
      <c r="H8" s="42">
        <v>0</v>
      </c>
      <c r="I8" s="65">
        <f>(справочно!B5/справочно!D5)*100%</f>
        <v>0</v>
      </c>
      <c r="J8" s="46">
        <v>0.05</v>
      </c>
      <c r="K8" s="39">
        <f>(справочно!E5/справочно!J5)*100%</f>
        <v>1.3734734250625658</v>
      </c>
      <c r="L8" s="32">
        <v>1.3</v>
      </c>
      <c r="M8" s="63">
        <v>0</v>
      </c>
      <c r="N8" s="46">
        <v>0</v>
      </c>
      <c r="O8" s="38">
        <v>1.3</v>
      </c>
      <c r="P8" s="32">
        <v>2</v>
      </c>
      <c r="Q8" s="38" t="s">
        <v>142</v>
      </c>
      <c r="R8" s="32">
        <v>2</v>
      </c>
      <c r="S8" s="32">
        <v>0</v>
      </c>
      <c r="T8" s="32">
        <v>0.5</v>
      </c>
      <c r="U8" s="39">
        <v>0</v>
      </c>
      <c r="V8" s="32">
        <v>0.5</v>
      </c>
      <c r="W8" s="64">
        <f>(справочно!BE5-справочно!BA5)/справочно!E5*100%</f>
        <v>-10.507748371749923</v>
      </c>
      <c r="X8" s="54">
        <v>0</v>
      </c>
      <c r="Y8" s="32">
        <v>0</v>
      </c>
      <c r="Z8" s="32">
        <v>0.5</v>
      </c>
      <c r="AA8" s="66">
        <f>(справочно!AY5/справочно!E5)/((справочно!E5*справочно!AZ5)/100)</f>
        <v>8.5422922616609958E-6</v>
      </c>
      <c r="AB8" s="54">
        <v>2</v>
      </c>
      <c r="AC8" s="40">
        <f>справочно!BC5/справочно!E5*100%</f>
        <v>0.9324384391779591</v>
      </c>
      <c r="AD8" s="40">
        <f>(0.93-10)/(0-10)</f>
        <v>0.90700000000000003</v>
      </c>
      <c r="AE8" s="14" t="s">
        <v>193</v>
      </c>
      <c r="AF8" s="32">
        <v>0</v>
      </c>
      <c r="AG8" s="14" t="s">
        <v>193</v>
      </c>
      <c r="AH8" s="32">
        <v>0</v>
      </c>
      <c r="AI8" s="14" t="s">
        <v>193</v>
      </c>
      <c r="AJ8" s="32">
        <v>0</v>
      </c>
      <c r="AK8" s="14" t="s">
        <v>193</v>
      </c>
      <c r="AL8" s="32">
        <v>0</v>
      </c>
      <c r="AM8" s="32">
        <v>0.5</v>
      </c>
      <c r="AN8" s="42">
        <f>(справочно!I5/справочно!AU5)*100%</f>
        <v>0.42248794242149568</v>
      </c>
      <c r="AO8" s="67">
        <f>(0.42-0)/(100-0)</f>
        <v>4.1999999999999997E-3</v>
      </c>
      <c r="AP8" s="32">
        <v>0</v>
      </c>
      <c r="AQ8" s="38">
        <v>0</v>
      </c>
      <c r="AR8" s="38" t="s">
        <v>150</v>
      </c>
      <c r="AS8" s="32">
        <v>0</v>
      </c>
      <c r="AT8" s="38" t="s">
        <v>191</v>
      </c>
      <c r="AU8" s="32">
        <v>0</v>
      </c>
      <c r="AV8" s="40">
        <f t="shared" ref="AV8:AV16" si="0">D8+H8+L8+P8+R8+T8+V8+X8+Z8+AB8+AD8+AF8+AH8+AJ8+AL8+AM8+AO8+AP8+AU8+F8+J8+N8+AQ8+AS8</f>
        <v>10.261200000000002</v>
      </c>
    </row>
    <row r="9" spans="1:48" ht="60" x14ac:dyDescent="0.25">
      <c r="A9" s="54">
        <v>2</v>
      </c>
      <c r="B9" s="38" t="s">
        <v>1</v>
      </c>
      <c r="C9" s="39">
        <f>3959699.73/2612686.71*100%</f>
        <v>1.5155662233992073</v>
      </c>
      <c r="D9" s="42">
        <v>1</v>
      </c>
      <c r="E9" s="41">
        <f>300000/60765.19*100%</f>
        <v>4.9370371424823984</v>
      </c>
      <c r="F9" s="42">
        <v>0.2</v>
      </c>
      <c r="G9" s="39">
        <f>(справочно!H6/справочно!E6)*100%</f>
        <v>0.71975255558077378</v>
      </c>
      <c r="H9" s="42">
        <v>0</v>
      </c>
      <c r="I9" s="65">
        <f>(справочно!B6/справочно!D6)*100%</f>
        <v>4.3195515047684652E-2</v>
      </c>
      <c r="J9" s="42">
        <v>0.05</v>
      </c>
      <c r="K9" s="39">
        <f>(справочно!E6/справочно!J6)*100%</f>
        <v>1.2545055029460921</v>
      </c>
      <c r="L9" s="32">
        <v>1.3</v>
      </c>
      <c r="M9" s="63">
        <f>справочно!B6/справочно!C6*100%</f>
        <v>1.5429552571777252</v>
      </c>
      <c r="N9" s="42">
        <v>0.2</v>
      </c>
      <c r="O9" s="38">
        <v>1.3</v>
      </c>
      <c r="P9" s="32">
        <v>2</v>
      </c>
      <c r="Q9" s="38" t="s">
        <v>142</v>
      </c>
      <c r="R9" s="32">
        <v>2</v>
      </c>
      <c r="S9" s="32">
        <v>0</v>
      </c>
      <c r="T9" s="32">
        <v>0.5</v>
      </c>
      <c r="U9" s="39">
        <v>0</v>
      </c>
      <c r="V9" s="32">
        <v>0.5</v>
      </c>
      <c r="W9" s="64">
        <f>(справочно!BE6-справочно!BA6)/справочно!E6*100%</f>
        <v>-0.70762547694494005</v>
      </c>
      <c r="X9" s="32">
        <v>1.5</v>
      </c>
      <c r="Y9" s="32">
        <v>0</v>
      </c>
      <c r="Z9" s="32">
        <v>0.5</v>
      </c>
      <c r="AA9" s="66">
        <f>(справочно!AY6/справочно!E6)/((справочно!E6*справочно!AZ6)/100)</f>
        <v>3.1545356474986905E-7</v>
      </c>
      <c r="AB9" s="54">
        <v>2</v>
      </c>
      <c r="AC9" s="40">
        <f>справочно!BC6/справочно!E6*100%</f>
        <v>2.5956033792491635E-2</v>
      </c>
      <c r="AD9" s="40">
        <f>(0.03-10)/(0-10)</f>
        <v>0.99700000000000011</v>
      </c>
      <c r="AE9" s="14" t="s">
        <v>193</v>
      </c>
      <c r="AF9" s="38">
        <v>0</v>
      </c>
      <c r="AG9" s="14" t="s">
        <v>193</v>
      </c>
      <c r="AH9" s="38">
        <v>0</v>
      </c>
      <c r="AI9" s="14" t="s">
        <v>193</v>
      </c>
      <c r="AJ9" s="38">
        <v>0</v>
      </c>
      <c r="AK9" s="14" t="s">
        <v>193</v>
      </c>
      <c r="AL9" s="38">
        <v>0</v>
      </c>
      <c r="AM9" s="32">
        <v>0</v>
      </c>
      <c r="AN9" s="42">
        <f>(справочно!I6/справочно!AU6)*100%</f>
        <v>0.30297294348523696</v>
      </c>
      <c r="AO9" s="67">
        <f>(0.3-0)/(100-0)</f>
        <v>3.0000000000000001E-3</v>
      </c>
      <c r="AP9" s="32">
        <v>0</v>
      </c>
      <c r="AQ9" s="38">
        <v>0.3</v>
      </c>
      <c r="AR9" s="38">
        <v>1</v>
      </c>
      <c r="AS9" s="32">
        <v>0.3</v>
      </c>
      <c r="AT9" s="38" t="s">
        <v>191</v>
      </c>
      <c r="AU9" s="32">
        <v>0</v>
      </c>
      <c r="AV9" s="40">
        <f t="shared" si="0"/>
        <v>13.350000000000001</v>
      </c>
    </row>
    <row r="10" spans="1:48" ht="60" x14ac:dyDescent="0.25">
      <c r="A10" s="32">
        <v>3</v>
      </c>
      <c r="B10" s="38" t="s">
        <v>2</v>
      </c>
      <c r="C10" s="39">
        <f>20373566/18851130.86*100%</f>
        <v>1.0807609448635487</v>
      </c>
      <c r="D10" s="40">
        <f>(108-95)/(110-95)</f>
        <v>0.8666666666666667</v>
      </c>
      <c r="E10" s="41">
        <f>334885.36/240759.42*100%</f>
        <v>1.3909543393982258</v>
      </c>
      <c r="F10" s="42">
        <v>0.2</v>
      </c>
      <c r="G10" s="39">
        <f>(справочно!H7/справочно!E7)*100%</f>
        <v>9.3140788411807725E-3</v>
      </c>
      <c r="H10" s="32">
        <v>0.45</v>
      </c>
      <c r="I10" s="65">
        <f>(справочно!B7/справочно!D7)*100%</f>
        <v>1.4763255243474365E-2</v>
      </c>
      <c r="J10" s="42">
        <v>0.05</v>
      </c>
      <c r="K10" s="39">
        <f>(справочно!E7/справочно!J7)*100%</f>
        <v>1.1906310174928425</v>
      </c>
      <c r="L10" s="32">
        <v>1.3</v>
      </c>
      <c r="M10" s="63">
        <f>справочно!B7/справочно!C7*100%</f>
        <v>1.8390694966912875</v>
      </c>
      <c r="N10" s="42">
        <v>0.2</v>
      </c>
      <c r="O10" s="38">
        <v>1.3</v>
      </c>
      <c r="P10" s="32">
        <v>2</v>
      </c>
      <c r="Q10" s="38" t="s">
        <v>142</v>
      </c>
      <c r="R10" s="32">
        <v>2</v>
      </c>
      <c r="S10" s="32">
        <v>0</v>
      </c>
      <c r="T10" s="32">
        <v>0.5</v>
      </c>
      <c r="U10" s="39">
        <v>0</v>
      </c>
      <c r="V10" s="32">
        <v>0.5</v>
      </c>
      <c r="W10" s="64">
        <f>(справочно!BE7-справочно!BA7)/справочно!E7*100%</f>
        <v>-0.23672722487560599</v>
      </c>
      <c r="X10" s="32">
        <v>1.5</v>
      </c>
      <c r="Y10" s="39">
        <v>0</v>
      </c>
      <c r="Z10" s="32">
        <v>0.5</v>
      </c>
      <c r="AA10" s="66">
        <v>0</v>
      </c>
      <c r="AB10" s="54">
        <v>2</v>
      </c>
      <c r="AC10" s="40">
        <f>справочно!BC7/справочно!E7*100%</f>
        <v>8.767249778462935E-2</v>
      </c>
      <c r="AD10" s="40">
        <f>(0.09-10)/(0-10)</f>
        <v>0.99099999999999999</v>
      </c>
      <c r="AE10" s="43" t="s">
        <v>190</v>
      </c>
      <c r="AF10" s="32">
        <v>0.3</v>
      </c>
      <c r="AG10" s="43" t="s">
        <v>190</v>
      </c>
      <c r="AH10" s="32">
        <v>0.3</v>
      </c>
      <c r="AI10" s="43" t="s">
        <v>190</v>
      </c>
      <c r="AJ10" s="32">
        <v>0.3</v>
      </c>
      <c r="AK10" s="43" t="s">
        <v>190</v>
      </c>
      <c r="AL10" s="32">
        <v>0.3</v>
      </c>
      <c r="AM10" s="32">
        <v>0.5</v>
      </c>
      <c r="AN10" s="42">
        <f>(справочно!I7/справочно!AU7)*100%</f>
        <v>7.663607209742615E-2</v>
      </c>
      <c r="AO10" s="67">
        <f>(0.08-0)/(100-0)</f>
        <v>8.0000000000000004E-4</v>
      </c>
      <c r="AP10" s="32">
        <v>1</v>
      </c>
      <c r="AQ10" s="38">
        <v>0.3</v>
      </c>
      <c r="AR10" s="38">
        <v>1</v>
      </c>
      <c r="AS10" s="32">
        <v>0.3</v>
      </c>
      <c r="AT10" s="38" t="s">
        <v>191</v>
      </c>
      <c r="AU10" s="32">
        <v>0</v>
      </c>
      <c r="AV10" s="40">
        <f t="shared" si="0"/>
        <v>16.358466666666668</v>
      </c>
    </row>
    <row r="11" spans="1:48" ht="45" x14ac:dyDescent="0.25">
      <c r="A11" s="54">
        <v>4</v>
      </c>
      <c r="B11" s="38" t="s">
        <v>3</v>
      </c>
      <c r="C11" s="39">
        <f>6176929.97/5259079.76*100%</f>
        <v>1.174526771200747</v>
      </c>
      <c r="D11" s="42">
        <v>1</v>
      </c>
      <c r="E11" s="41">
        <f>624570.93/944016.31*100%</f>
        <v>0.66161031688107175</v>
      </c>
      <c r="F11" s="42">
        <v>0</v>
      </c>
      <c r="G11" s="39">
        <f>(справочно!H8/справочно!E8)*100%</f>
        <v>0.47322165124044624</v>
      </c>
      <c r="H11" s="42">
        <f>(47-55)/(25-55)</f>
        <v>0.26666666666666666</v>
      </c>
      <c r="I11" s="65">
        <f>(справочно!B8/справочно!D8)*100%</f>
        <v>6.5108316133763555E-2</v>
      </c>
      <c r="J11" s="42">
        <v>0.05</v>
      </c>
      <c r="K11" s="39">
        <f>(справочно!E8/справочно!J8)*100%</f>
        <v>1.1862388810953073</v>
      </c>
      <c r="L11" s="32">
        <v>1.3</v>
      </c>
      <c r="M11" s="63">
        <f>справочно!B8/справочно!C8*100%</f>
        <v>1.5218256178592575</v>
      </c>
      <c r="N11" s="42">
        <v>0.2</v>
      </c>
      <c r="O11" s="68">
        <f>справочно!M8*справочно!O8*справочно!Q8*справочно!S8*справочно!U8*справочно!W8*справочно!Y8*справочно!AA8*справочно!AC8*справочно!AE8*справочно!AG8</f>
        <v>0.41663336505238824</v>
      </c>
      <c r="P11" s="32">
        <v>0</v>
      </c>
      <c r="Q11" s="45">
        <f>справочно!AH8/справочно!AU8</f>
        <v>9.2221790189445253E-3</v>
      </c>
      <c r="R11" s="32">
        <v>2</v>
      </c>
      <c r="S11" s="69">
        <v>0</v>
      </c>
      <c r="T11" s="69">
        <v>0.5</v>
      </c>
      <c r="U11" s="39">
        <f>(справочно!AW8+справочно!AX8)/справочно!E8</f>
        <v>0.23082957341671143</v>
      </c>
      <c r="V11" s="32">
        <f>(23-30)/(10-30)</f>
        <v>0.35</v>
      </c>
      <c r="W11" s="64">
        <f>(справочно!BE8-справочно!BA8)/справочно!E8*100%</f>
        <v>-0.50945198590295826</v>
      </c>
      <c r="X11" s="32">
        <v>1.5</v>
      </c>
      <c r="Y11" s="39">
        <f>справочно!AX8/справочно!E8*100%</f>
        <v>0.21547921159287484</v>
      </c>
      <c r="Z11" s="32">
        <v>0.5</v>
      </c>
      <c r="AA11" s="66">
        <f>(справочно!AY8/справочно!E8)/((справочно!E8*справочно!AZ8)/100)</f>
        <v>1.8060895664948123E-7</v>
      </c>
      <c r="AB11" s="54">
        <v>2</v>
      </c>
      <c r="AC11" s="40">
        <f>справочно!BC8/справочно!E8*100%</f>
        <v>1.1650614520403895E-2</v>
      </c>
      <c r="AD11" s="40">
        <f>(0.01-10)/(0-10)</f>
        <v>0.999</v>
      </c>
      <c r="AE11" s="14" t="s">
        <v>193</v>
      </c>
      <c r="AF11" s="38">
        <v>0</v>
      </c>
      <c r="AG11" s="14" t="s">
        <v>193</v>
      </c>
      <c r="AH11" s="38">
        <v>0</v>
      </c>
      <c r="AI11" s="14" t="s">
        <v>193</v>
      </c>
      <c r="AJ11" s="38">
        <v>0</v>
      </c>
      <c r="AK11" s="14" t="s">
        <v>193</v>
      </c>
      <c r="AL11" s="38">
        <v>0</v>
      </c>
      <c r="AM11" s="32">
        <v>0</v>
      </c>
      <c r="AN11" s="42">
        <f>(справочно!I8/справочно!AU8)*100%</f>
        <v>0.24600399565494763</v>
      </c>
      <c r="AO11" s="67">
        <f>(0.25-0)/(100-0)</f>
        <v>2.5000000000000001E-3</v>
      </c>
      <c r="AP11" s="32">
        <v>0</v>
      </c>
      <c r="AQ11" s="38">
        <v>0</v>
      </c>
      <c r="AR11" s="38" t="s">
        <v>150</v>
      </c>
      <c r="AS11" s="32">
        <v>0</v>
      </c>
      <c r="AT11" s="38" t="s">
        <v>191</v>
      </c>
      <c r="AU11" s="32">
        <v>0</v>
      </c>
      <c r="AV11" s="40">
        <f t="shared" si="0"/>
        <v>10.668166666666666</v>
      </c>
    </row>
    <row r="12" spans="1:48" ht="60" x14ac:dyDescent="0.25">
      <c r="A12" s="54">
        <v>5</v>
      </c>
      <c r="B12" s="38" t="s">
        <v>4</v>
      </c>
      <c r="C12" s="39">
        <f>67324559.88/69078213.23*100%</f>
        <v>0.97461351028056975</v>
      </c>
      <c r="D12" s="42">
        <f>(97-95)/(110-95)</f>
        <v>0.13333333333333333</v>
      </c>
      <c r="E12" s="41">
        <f>1415539.16/5273.4*100%</f>
        <v>268.43007547312931</v>
      </c>
      <c r="F12" s="42">
        <v>0.2</v>
      </c>
      <c r="G12" s="39">
        <f>(справочно!H9/справочно!E9)*100%</f>
        <v>5.1646531461885291E-3</v>
      </c>
      <c r="H12" s="32">
        <v>0.45</v>
      </c>
      <c r="I12" s="65">
        <f>(справочно!B9/справочно!D9)*100%</f>
        <v>6.8728200564401381E-3</v>
      </c>
      <c r="J12" s="42">
        <v>0.05</v>
      </c>
      <c r="K12" s="39">
        <f>(справочно!E9/справочно!J9)*100%</f>
        <v>1.0397254770005273</v>
      </c>
      <c r="L12" s="32">
        <v>1.3</v>
      </c>
      <c r="M12" s="63">
        <f>справочно!B9/справочно!C9*100%</f>
        <v>0.21946023732367309</v>
      </c>
      <c r="N12" s="42">
        <v>0</v>
      </c>
      <c r="O12" s="38">
        <v>1.3</v>
      </c>
      <c r="P12" s="32">
        <v>2</v>
      </c>
      <c r="Q12" s="38" t="s">
        <v>142</v>
      </c>
      <c r="R12" s="32">
        <v>2</v>
      </c>
      <c r="S12" s="32">
        <v>0</v>
      </c>
      <c r="T12" s="32">
        <v>0.5</v>
      </c>
      <c r="U12" s="39">
        <f>(справочно!AW9+справочно!AX9)/справочно!E9</f>
        <v>0.13888966012799431</v>
      </c>
      <c r="V12" s="47">
        <v>0.5</v>
      </c>
      <c r="W12" s="64">
        <f>(справочно!BE9-справочно!BA9)/справочно!E9*100%</f>
        <v>1.1970975954934087</v>
      </c>
      <c r="X12" s="32">
        <v>1.5</v>
      </c>
      <c r="Y12" s="39">
        <f>(справочно!AX9/справочно!E9)*100%</f>
        <v>0.12343192461728426</v>
      </c>
      <c r="Z12" s="32">
        <v>0.5</v>
      </c>
      <c r="AA12" s="66">
        <v>0</v>
      </c>
      <c r="AB12" s="54">
        <v>2</v>
      </c>
      <c r="AC12" s="40">
        <f>справочно!BC9/справочно!E9*100%</f>
        <v>2.9919170115486837E-2</v>
      </c>
      <c r="AD12" s="40">
        <f>(0.03-10)/(0-10)</f>
        <v>0.99700000000000011</v>
      </c>
      <c r="AE12" s="43" t="s">
        <v>190</v>
      </c>
      <c r="AF12" s="32">
        <v>0.3</v>
      </c>
      <c r="AG12" s="43" t="s">
        <v>190</v>
      </c>
      <c r="AH12" s="32">
        <v>0.3</v>
      </c>
      <c r="AI12" s="43" t="s">
        <v>190</v>
      </c>
      <c r="AJ12" s="32">
        <v>0.3</v>
      </c>
      <c r="AK12" s="43" t="s">
        <v>190</v>
      </c>
      <c r="AL12" s="32">
        <v>0.3</v>
      </c>
      <c r="AM12" s="32">
        <v>0.5</v>
      </c>
      <c r="AN12" s="42">
        <f>(справочно!I9/справочно!AU9)*100%</f>
        <v>2.0376587062814238E-2</v>
      </c>
      <c r="AO12" s="67">
        <f>(0.02-0)/(100-0)</f>
        <v>2.0000000000000001E-4</v>
      </c>
      <c r="AP12" s="32">
        <v>1</v>
      </c>
      <c r="AQ12" s="38">
        <v>0</v>
      </c>
      <c r="AR12" s="38" t="s">
        <v>150</v>
      </c>
      <c r="AS12" s="32">
        <v>0</v>
      </c>
      <c r="AT12" s="38" t="s">
        <v>191</v>
      </c>
      <c r="AU12" s="32">
        <v>0</v>
      </c>
      <c r="AV12" s="40">
        <f t="shared" si="0"/>
        <v>14.830533333333335</v>
      </c>
    </row>
    <row r="13" spans="1:48" ht="60" x14ac:dyDescent="0.25">
      <c r="A13" s="54">
        <v>6</v>
      </c>
      <c r="B13" s="38" t="s">
        <v>5</v>
      </c>
      <c r="C13" s="39">
        <f>4669345.83/2864437.09*100%</f>
        <v>1.6301094013553639</v>
      </c>
      <c r="D13" s="42">
        <v>1</v>
      </c>
      <c r="E13" s="41">
        <f>1931020.04/1114454.69*100%</f>
        <v>1.7327039468962171</v>
      </c>
      <c r="F13" s="42">
        <v>0.2</v>
      </c>
      <c r="G13" s="39">
        <f>(справочно!H10/справочно!E10)*100%</f>
        <v>0.6386766173624796</v>
      </c>
      <c r="H13" s="42">
        <v>0</v>
      </c>
      <c r="I13" s="65">
        <f>(справочно!B10/справочно!D10)*100%</f>
        <v>0.2222304308143308</v>
      </c>
      <c r="J13" s="42">
        <v>0.05</v>
      </c>
      <c r="K13" s="39">
        <f>(справочно!E10/справочно!J10)*100%</f>
        <v>1.2149610189152766</v>
      </c>
      <c r="L13" s="32">
        <v>1.3</v>
      </c>
      <c r="M13" s="63">
        <f>справочно!B10/справочно!C10*100%</f>
        <v>1.0163263368421054</v>
      </c>
      <c r="N13" s="42">
        <v>0.2</v>
      </c>
      <c r="O13" s="38">
        <v>1.3</v>
      </c>
      <c r="P13" s="32">
        <v>2</v>
      </c>
      <c r="Q13" s="38" t="s">
        <v>142</v>
      </c>
      <c r="R13" s="32">
        <v>2</v>
      </c>
      <c r="S13" s="32">
        <v>0</v>
      </c>
      <c r="T13" s="32">
        <v>0.5</v>
      </c>
      <c r="U13" s="39">
        <v>0</v>
      </c>
      <c r="V13" s="32">
        <v>0.5</v>
      </c>
      <c r="W13" s="64">
        <f>(справочно!BE10-справочно!BA10)/справочно!E10*100%</f>
        <v>-1.7117497249073967</v>
      </c>
      <c r="X13" s="54">
        <v>1.5</v>
      </c>
      <c r="Y13" s="32">
        <v>0</v>
      </c>
      <c r="Z13" s="32">
        <v>0.5</v>
      </c>
      <c r="AA13" s="66">
        <f>(справочно!AY10/справочно!E10)/((справочно!E10*справочно!AZ10)/100)</f>
        <v>2.8713056186095899E-7</v>
      </c>
      <c r="AB13" s="54">
        <v>2</v>
      </c>
      <c r="AC13" s="40">
        <f>справочно!BC10/справочно!E10*100%</f>
        <v>0.1674923465670993</v>
      </c>
      <c r="AD13" s="40">
        <f>(0.17-10)/(0-10)</f>
        <v>0.98299999999999998</v>
      </c>
      <c r="AE13" s="14" t="s">
        <v>193</v>
      </c>
      <c r="AF13" s="38">
        <v>0</v>
      </c>
      <c r="AG13" s="14" t="s">
        <v>193</v>
      </c>
      <c r="AH13" s="38">
        <v>0</v>
      </c>
      <c r="AI13" s="14" t="s">
        <v>193</v>
      </c>
      <c r="AJ13" s="38">
        <v>0</v>
      </c>
      <c r="AK13" s="14" t="s">
        <v>193</v>
      </c>
      <c r="AL13" s="38">
        <v>0</v>
      </c>
      <c r="AM13" s="32">
        <v>0.5</v>
      </c>
      <c r="AN13" s="42">
        <f>(справочно!I10/справочно!AU10)*100%</f>
        <v>0.24954659273761967</v>
      </c>
      <c r="AO13" s="67">
        <f>(0.25-0)/(100-0)</f>
        <v>2.5000000000000001E-3</v>
      </c>
      <c r="AP13" s="32">
        <v>0</v>
      </c>
      <c r="AQ13" s="38">
        <v>0.3</v>
      </c>
      <c r="AR13" s="38">
        <v>1</v>
      </c>
      <c r="AS13" s="32">
        <v>0.3</v>
      </c>
      <c r="AT13" s="38" t="s">
        <v>191</v>
      </c>
      <c r="AU13" s="32">
        <v>0</v>
      </c>
      <c r="AV13" s="40">
        <f t="shared" si="0"/>
        <v>13.835500000000001</v>
      </c>
    </row>
    <row r="14" spans="1:48" ht="60" x14ac:dyDescent="0.25">
      <c r="A14" s="54">
        <v>7</v>
      </c>
      <c r="B14" s="38" t="s">
        <v>6</v>
      </c>
      <c r="C14" s="39">
        <f>8297186.61/6084799.39*100%</f>
        <v>1.3635924667682431</v>
      </c>
      <c r="D14" s="40">
        <v>1</v>
      </c>
      <c r="E14" s="63">
        <f>254990.05/198395.48*100%</f>
        <v>1.2852613880114607</v>
      </c>
      <c r="F14" s="42">
        <v>0.2</v>
      </c>
      <c r="G14" s="39">
        <f>(справочно!H11/справочно!E11)*100%</f>
        <v>0.43597139247661199</v>
      </c>
      <c r="H14" s="42">
        <f>(44-55)/(25-55)</f>
        <v>0.36666666666666664</v>
      </c>
      <c r="I14" s="65">
        <f>(справочно!B11/справочно!D11)*100%</f>
        <v>2.0434974671154786E-2</v>
      </c>
      <c r="J14" s="42">
        <v>0.05</v>
      </c>
      <c r="K14" s="39">
        <f>(справочно!E11/справочно!J11)*100%</f>
        <v>1.2557772300873802</v>
      </c>
      <c r="L14" s="42">
        <v>1.3</v>
      </c>
      <c r="M14" s="63">
        <f>справочно!B11/справочно!C11*100%</f>
        <v>2.1249170833333331</v>
      </c>
      <c r="N14" s="42">
        <v>0.2</v>
      </c>
      <c r="O14" s="38">
        <v>1.3</v>
      </c>
      <c r="P14" s="32">
        <v>2</v>
      </c>
      <c r="Q14" s="38" t="s">
        <v>142</v>
      </c>
      <c r="R14" s="32">
        <v>2</v>
      </c>
      <c r="S14" s="32">
        <v>0</v>
      </c>
      <c r="T14" s="32">
        <v>0.5</v>
      </c>
      <c r="U14" s="39">
        <v>0</v>
      </c>
      <c r="V14" s="32">
        <v>0.5</v>
      </c>
      <c r="W14" s="64">
        <f>(справочно!BE11-справочно!BA11)/справочно!E11*100%</f>
        <v>-0.69907933527844324</v>
      </c>
      <c r="X14" s="54">
        <v>1.5</v>
      </c>
      <c r="Y14" s="39">
        <v>0</v>
      </c>
      <c r="Z14" s="32">
        <v>0.5</v>
      </c>
      <c r="AA14" s="66">
        <f>(справочно!AY11/справочно!E11)/((справочно!E11*справочно!AZ11)/100)</f>
        <v>2.2587363210328433E-7</v>
      </c>
      <c r="AB14" s="54">
        <v>2</v>
      </c>
      <c r="AC14" s="40">
        <f>справочно!BC11/справочно!E11*100%</f>
        <v>1.7846051554576279E-2</v>
      </c>
      <c r="AD14" s="40">
        <f>(0.02-10)/(0-10)</f>
        <v>0.998</v>
      </c>
      <c r="AE14" s="43" t="s">
        <v>190</v>
      </c>
      <c r="AF14" s="32">
        <v>0.3</v>
      </c>
      <c r="AG14" s="43" t="s">
        <v>190</v>
      </c>
      <c r="AH14" s="32">
        <v>0.3</v>
      </c>
      <c r="AI14" s="43" t="s">
        <v>190</v>
      </c>
      <c r="AJ14" s="32">
        <v>0.3</v>
      </c>
      <c r="AK14" s="43" t="s">
        <v>190</v>
      </c>
      <c r="AL14" s="32">
        <v>0.3</v>
      </c>
      <c r="AM14" s="32">
        <v>0.5</v>
      </c>
      <c r="AN14" s="42">
        <f>(справочно!I11/справочно!AU11)*100%</f>
        <v>0.2740899582092669</v>
      </c>
      <c r="AO14" s="67">
        <f>(0.27-0)/(100-0)</f>
        <v>2.7000000000000001E-3</v>
      </c>
      <c r="AP14" s="32">
        <v>0</v>
      </c>
      <c r="AQ14" s="38">
        <v>0.15</v>
      </c>
      <c r="AR14" s="38">
        <v>1</v>
      </c>
      <c r="AS14" s="32">
        <v>0.3</v>
      </c>
      <c r="AT14" s="38" t="s">
        <v>191</v>
      </c>
      <c r="AU14" s="32">
        <v>0</v>
      </c>
      <c r="AV14" s="40">
        <f t="shared" si="0"/>
        <v>15.267366666666671</v>
      </c>
    </row>
    <row r="15" spans="1:48" ht="60" x14ac:dyDescent="0.25">
      <c r="A15" s="32">
        <v>8</v>
      </c>
      <c r="B15" s="38" t="s">
        <v>7</v>
      </c>
      <c r="C15" s="39">
        <f>4227321.59/3547174.74*100%</f>
        <v>1.1917432604405611</v>
      </c>
      <c r="D15" s="40">
        <v>1</v>
      </c>
      <c r="E15" s="41">
        <f>576209.59/985682.04*100%</f>
        <v>0.58457957700030727</v>
      </c>
      <c r="F15" s="42">
        <v>0</v>
      </c>
      <c r="G15" s="39">
        <f>(справочно!H12/справочно!E12)*100%</f>
        <v>0.57602099773062221</v>
      </c>
      <c r="H15" s="42">
        <v>0</v>
      </c>
      <c r="I15" s="65">
        <f>(справочно!B12/справочно!D12)*100%</f>
        <v>7.3289963330812821E-2</v>
      </c>
      <c r="J15" s="42">
        <v>0.05</v>
      </c>
      <c r="K15" s="39">
        <f>(справочно!E12/справочно!J12)*100%</f>
        <v>0.84437439109223422</v>
      </c>
      <c r="L15" s="32">
        <v>0</v>
      </c>
      <c r="M15" s="63">
        <f>справочно!B12/справочно!C12*100%</f>
        <v>0.44556881379523661</v>
      </c>
      <c r="N15" s="42">
        <v>0</v>
      </c>
      <c r="O15" s="38">
        <v>1.3</v>
      </c>
      <c r="P15" s="32">
        <v>2</v>
      </c>
      <c r="Q15" s="38" t="s">
        <v>142</v>
      </c>
      <c r="R15" s="32">
        <v>2</v>
      </c>
      <c r="S15" s="42">
        <v>0</v>
      </c>
      <c r="T15" s="32">
        <v>0.5</v>
      </c>
      <c r="U15" s="39">
        <f>(справочно!AW12+справочно!AX12)/справочно!E12</f>
        <v>6.9677625354261252E-2</v>
      </c>
      <c r="V15" s="47">
        <v>0.5</v>
      </c>
      <c r="W15" s="64">
        <f>(справочно!BE12-справочно!BA12)/справочно!E12*100%</f>
        <v>-1.5577227234325459</v>
      </c>
      <c r="X15" s="32">
        <v>1.5</v>
      </c>
      <c r="Y15" s="39">
        <f>(справочно!AX12/справочно!E12)*100%</f>
        <v>5.8656526294702839E-2</v>
      </c>
      <c r="Z15" s="32">
        <v>0.5</v>
      </c>
      <c r="AA15" s="66">
        <f>(справочно!AY12/справочно!E12)/((справочно!E12*справочно!AZ12)/100)</f>
        <v>4.1548703328254574E-7</v>
      </c>
      <c r="AB15" s="54">
        <v>2</v>
      </c>
      <c r="AC15" s="40">
        <f>справочно!BC12/справочно!E12*100%</f>
        <v>3.840895388325543E-2</v>
      </c>
      <c r="AD15" s="40">
        <f>(0.04-10)/(0-10)</f>
        <v>0.99600000000000011</v>
      </c>
      <c r="AE15" s="14" t="s">
        <v>193</v>
      </c>
      <c r="AF15" s="38">
        <v>0</v>
      </c>
      <c r="AG15" s="14" t="s">
        <v>193</v>
      </c>
      <c r="AH15" s="38">
        <v>0</v>
      </c>
      <c r="AI15" s="14" t="s">
        <v>193</v>
      </c>
      <c r="AJ15" s="38">
        <v>0</v>
      </c>
      <c r="AK15" s="14" t="s">
        <v>193</v>
      </c>
      <c r="AL15" s="38">
        <v>0</v>
      </c>
      <c r="AM15" s="32">
        <v>0</v>
      </c>
      <c r="AN15" s="42">
        <f>(справочно!I12/справочно!AU12)*100%</f>
        <v>0.29818249223681026</v>
      </c>
      <c r="AO15" s="67">
        <f>(0.3-0)/(100-0)</f>
        <v>3.0000000000000001E-3</v>
      </c>
      <c r="AP15" s="32">
        <v>0</v>
      </c>
      <c r="AQ15" s="38">
        <v>0.3</v>
      </c>
      <c r="AR15" s="38">
        <v>1</v>
      </c>
      <c r="AS15" s="32">
        <v>0.3</v>
      </c>
      <c r="AT15" s="38" t="s">
        <v>191</v>
      </c>
      <c r="AU15" s="32">
        <v>0</v>
      </c>
      <c r="AV15" s="40">
        <f t="shared" si="0"/>
        <v>11.649000000000003</v>
      </c>
    </row>
    <row r="16" spans="1:48" ht="60" x14ac:dyDescent="0.25">
      <c r="A16" s="32">
        <v>9</v>
      </c>
      <c r="B16" s="38" t="s">
        <v>8</v>
      </c>
      <c r="C16" s="39">
        <f>11421227.51/14841997.39*100%</f>
        <v>0.7695209216042046</v>
      </c>
      <c r="D16" s="42">
        <v>1</v>
      </c>
      <c r="E16" s="41">
        <f>393579.44/323212.3*100%</f>
        <v>1.2177118259422677</v>
      </c>
      <c r="F16" s="42">
        <v>0.2</v>
      </c>
      <c r="G16" s="39">
        <f>(справочно!H13/справочно!E13)*100%</f>
        <v>1.0878778125312032E-2</v>
      </c>
      <c r="H16" s="32">
        <v>0.45</v>
      </c>
      <c r="I16" s="65">
        <f>(справочно!B13/справочно!D13)*100%</f>
        <v>3.1562285600462175E-2</v>
      </c>
      <c r="J16" s="42">
        <v>0.05</v>
      </c>
      <c r="K16" s="39">
        <f>(справочно!E13/справочно!J13)*100%</f>
        <v>1.1104742352941177</v>
      </c>
      <c r="L16" s="32">
        <v>1.3</v>
      </c>
      <c r="M16" s="63">
        <f>справочно!B13/справочно!C13*100%</f>
        <v>1.1245126857142858</v>
      </c>
      <c r="N16" s="42">
        <v>0.2</v>
      </c>
      <c r="O16" s="38">
        <v>1.3</v>
      </c>
      <c r="P16" s="32">
        <v>2</v>
      </c>
      <c r="Q16" s="38" t="s">
        <v>142</v>
      </c>
      <c r="R16" s="32">
        <v>2</v>
      </c>
      <c r="S16" s="32">
        <v>0</v>
      </c>
      <c r="T16" s="32">
        <v>0.5</v>
      </c>
      <c r="U16" s="39">
        <v>0</v>
      </c>
      <c r="V16" s="32">
        <v>0.5</v>
      </c>
      <c r="W16" s="64">
        <f>(справочно!BE13-справочно!BA13)/справочно!E13*100%</f>
        <v>-0.26447301284868635</v>
      </c>
      <c r="X16" s="32">
        <v>1.5</v>
      </c>
      <c r="Y16" s="39">
        <v>0</v>
      </c>
      <c r="Z16" s="32">
        <v>0.5</v>
      </c>
      <c r="AA16" s="66">
        <v>0</v>
      </c>
      <c r="AB16" s="54">
        <v>2</v>
      </c>
      <c r="AC16" s="40">
        <f>справочно!BC13/справочно!E13*100%</f>
        <v>0.28737131513458486</v>
      </c>
      <c r="AD16" s="40">
        <f>(0.29-10)/(0-10)</f>
        <v>0.97100000000000009</v>
      </c>
      <c r="AE16" s="43" t="s">
        <v>190</v>
      </c>
      <c r="AF16" s="32">
        <v>0.3</v>
      </c>
      <c r="AG16" s="43" t="s">
        <v>190</v>
      </c>
      <c r="AH16" s="32">
        <v>0.3</v>
      </c>
      <c r="AI16" s="43" t="s">
        <v>192</v>
      </c>
      <c r="AJ16" s="32">
        <v>0</v>
      </c>
      <c r="AK16" s="43" t="s">
        <v>190</v>
      </c>
      <c r="AL16" s="32">
        <v>0.3</v>
      </c>
      <c r="AM16" s="32">
        <v>0.5</v>
      </c>
      <c r="AN16" s="42">
        <f>(справочно!I13/справочно!AU13)*100%</f>
        <v>2.482653235922623E-2</v>
      </c>
      <c r="AO16" s="67">
        <f>(0.02-0)/(100-0)</f>
        <v>2.0000000000000001E-4</v>
      </c>
      <c r="AP16" s="32">
        <v>1</v>
      </c>
      <c r="AQ16" s="38">
        <v>0.15</v>
      </c>
      <c r="AR16" s="38">
        <v>1</v>
      </c>
      <c r="AS16" s="32">
        <v>0.3</v>
      </c>
      <c r="AT16" s="38">
        <v>0</v>
      </c>
      <c r="AU16" s="32">
        <v>1</v>
      </c>
      <c r="AV16" s="40">
        <f t="shared" si="0"/>
        <v>17.0212</v>
      </c>
    </row>
    <row r="17" spans="1:48" x14ac:dyDescent="0.25">
      <c r="A17" s="32"/>
      <c r="B17" s="38" t="s">
        <v>9</v>
      </c>
      <c r="C17" s="70" t="s">
        <v>80</v>
      </c>
      <c r="D17" s="42">
        <f>(D16+D15+D14+D13+D12+D11+D10+D9+D8)/9</f>
        <v>0.77777777777777779</v>
      </c>
      <c r="E17" s="61" t="s">
        <v>80</v>
      </c>
      <c r="F17" s="42">
        <f>(F16+F15+F14+F13+F12+F11+F10+F9+F8)/9</f>
        <v>0.13333333333333333</v>
      </c>
      <c r="G17" s="61" t="s">
        <v>80</v>
      </c>
      <c r="H17" s="42">
        <f>(H8+H9+H10+H11+H12+H13+H14+H15+H16)/9</f>
        <v>0.22037037037037038</v>
      </c>
      <c r="I17" s="61" t="s">
        <v>80</v>
      </c>
      <c r="J17" s="42">
        <v>0</v>
      </c>
      <c r="K17" s="70" t="s">
        <v>80</v>
      </c>
      <c r="L17" s="42">
        <f>(L8+L9+L10+L11+L12+L13+L14+L15+L16)/9</f>
        <v>1.1555555555555557</v>
      </c>
      <c r="M17" s="61" t="s">
        <v>80</v>
      </c>
      <c r="N17" s="42">
        <f>(N16+N15+N14+N13+N12+N11+N10+N9+N8)/9</f>
        <v>0.13333333333333333</v>
      </c>
      <c r="O17" s="61" t="s">
        <v>81</v>
      </c>
      <c r="P17" s="42">
        <f>(P16+P15+P14+P13+P12+P11+P10+P9+P8)/9</f>
        <v>1.7777777777777777</v>
      </c>
      <c r="Q17" s="61" t="s">
        <v>81</v>
      </c>
      <c r="R17" s="42">
        <f>(R16+R15+R14+R13+R12+R11+R9+R10+R8)/9</f>
        <v>2</v>
      </c>
      <c r="S17" s="61" t="s">
        <v>81</v>
      </c>
      <c r="T17" s="42">
        <f>(T16+T15+T14+T13+T12+T11+T10+T9+T8)/9</f>
        <v>0.5</v>
      </c>
      <c r="U17" s="61" t="s">
        <v>81</v>
      </c>
      <c r="V17" s="42">
        <f>(V16+V15+V14+V13+V12+V11+V10+V9+V8)/9</f>
        <v>0.48333333333333328</v>
      </c>
      <c r="W17" s="71" t="s">
        <v>81</v>
      </c>
      <c r="X17" s="42">
        <f>(X16+X15+X14+X13+X12+X11+X10+X9+X8)/9</f>
        <v>1.3333333333333333</v>
      </c>
      <c r="Y17" s="61" t="s">
        <v>81</v>
      </c>
      <c r="Z17" s="42">
        <f>(Z16+Z15+Z14+Z13+Z12+Z11+Z9+Z10+Z8)/9</f>
        <v>0.5</v>
      </c>
      <c r="AA17" s="61" t="s">
        <v>81</v>
      </c>
      <c r="AB17" s="42">
        <f>(AB16+AB15+AB14+AB13+AB12+AB11+AB10+AB9+AB8)/9</f>
        <v>2</v>
      </c>
      <c r="AC17" s="61" t="s">
        <v>81</v>
      </c>
      <c r="AD17" s="42">
        <f>(AD16+AD15+AD14+AD13+AD12+AD11+AD10+AD9+AD8)/9</f>
        <v>0.98211111111111093</v>
      </c>
      <c r="AE17" s="61" t="s">
        <v>80</v>
      </c>
      <c r="AF17" s="42">
        <f>(AF16+AF15+AF14+AF13+AF12+AF11+AF10+AF9+AF8)/9</f>
        <v>0.13333333333333333</v>
      </c>
      <c r="AG17" s="61" t="s">
        <v>80</v>
      </c>
      <c r="AH17" s="42">
        <f>(AH16+AH15+AH14+AH13+AH12+AH11+AH10+AH9+AH8)/9</f>
        <v>0.13333333333333333</v>
      </c>
      <c r="AI17" s="61" t="s">
        <v>80</v>
      </c>
      <c r="AJ17" s="42">
        <f>(AJ16+AJ15+AJ14+AJ13+AJ12+AJ11+AJ10+AJ9+AJ8)/9</f>
        <v>9.9999999999999992E-2</v>
      </c>
      <c r="AK17" s="61" t="s">
        <v>80</v>
      </c>
      <c r="AL17" s="42">
        <f>(AL16+AL15+AL14+AL13+AL12+AL11+AL10+AL9+AL8)/9</f>
        <v>0.13333333333333333</v>
      </c>
      <c r="AM17" s="42">
        <f>(AM16+AM15+AM14+AM13+AM12+AM11+AM10+AM9+AM8)/9</f>
        <v>0.33333333333333331</v>
      </c>
      <c r="AN17" s="70" t="s">
        <v>80</v>
      </c>
      <c r="AO17" s="42">
        <f>(AO16+AO15+AO14+AO13+AO12+AO10+AO11+AO9+AO8)/9</f>
        <v>2.1222222222222224E-3</v>
      </c>
      <c r="AP17" s="42">
        <f>(AP16+AP15+AP14+AP13+AP12+AP10+AP11+AP9+AP8)/9</f>
        <v>0.33333333333333331</v>
      </c>
      <c r="AQ17" s="42">
        <f>(AQ16+AQ15+AQ14+AQ13+AQ12+AQ10+AQ11+AQ9+AQ8)/9</f>
        <v>0.16666666666666666</v>
      </c>
      <c r="AR17" s="61" t="s">
        <v>80</v>
      </c>
      <c r="AS17" s="42">
        <f>(AS16+AS15+AS14+AS13+AS12+AS10+AS11+AS9+AS8)/9</f>
        <v>0.2</v>
      </c>
      <c r="AT17" s="61" t="s">
        <v>80</v>
      </c>
      <c r="AU17" s="42">
        <f>(AU16+AU15+AU14+AU13+AU12+AU10+AU11+AU9+AU8)/9</f>
        <v>0.1111111111111111</v>
      </c>
      <c r="AV17" s="42">
        <f>(AV8+AV9+AV10+AV11+AV12+AV13+AV14+AV15+AV16)/9</f>
        <v>13.693492592592593</v>
      </c>
    </row>
    <row r="19" spans="1:48" x14ac:dyDescent="0.25">
      <c r="B19" s="28" t="s">
        <v>140</v>
      </c>
      <c r="D19" s="30">
        <v>1</v>
      </c>
      <c r="F19" s="17">
        <v>0.2</v>
      </c>
      <c r="H19" s="17">
        <v>0.45</v>
      </c>
      <c r="J19" s="30">
        <v>0.05</v>
      </c>
      <c r="L19" s="30">
        <v>1.3</v>
      </c>
      <c r="N19" s="30">
        <v>0.2</v>
      </c>
      <c r="P19" s="30">
        <v>2</v>
      </c>
      <c r="R19" s="30">
        <v>2</v>
      </c>
      <c r="T19" s="30">
        <v>0.5</v>
      </c>
      <c r="V19" s="30">
        <v>0.5</v>
      </c>
      <c r="X19" s="30">
        <v>1.5</v>
      </c>
      <c r="Z19" s="30">
        <v>0.5</v>
      </c>
      <c r="AB19" s="30">
        <v>2</v>
      </c>
      <c r="AD19" s="30">
        <v>2</v>
      </c>
      <c r="AF19" s="30">
        <v>0.3</v>
      </c>
      <c r="AH19" s="30">
        <v>0.3</v>
      </c>
      <c r="AJ19" s="30">
        <v>0.3</v>
      </c>
      <c r="AL19" s="30">
        <v>0.3</v>
      </c>
      <c r="AM19" s="30">
        <v>1</v>
      </c>
      <c r="AO19" s="30">
        <v>1</v>
      </c>
      <c r="AP19" s="30">
        <v>1</v>
      </c>
      <c r="AQ19" s="30">
        <v>0.3</v>
      </c>
      <c r="AS19" s="30">
        <v>0.3</v>
      </c>
      <c r="AU19" s="30">
        <v>1</v>
      </c>
      <c r="AV19" s="44">
        <f>D19+H19+L19+P19+R19+T19+V19+X19+Z19+AB19+AD19+AF19+AH19+AJ19+AL19+AM19+AO19+AP19+AU19+AS19+AQ19+N19+J19+F19</f>
        <v>20.000000000000004</v>
      </c>
    </row>
  </sheetData>
  <mergeCells count="31">
    <mergeCell ref="U4:V5"/>
    <mergeCell ref="W4:X5"/>
    <mergeCell ref="Y4:Z5"/>
    <mergeCell ref="B4:B6"/>
    <mergeCell ref="A4:A7"/>
    <mergeCell ref="K4:N4"/>
    <mergeCell ref="M5:N5"/>
    <mergeCell ref="O4:P5"/>
    <mergeCell ref="K5:L5"/>
    <mergeCell ref="C5:D5"/>
    <mergeCell ref="G5:H5"/>
    <mergeCell ref="C4:F4"/>
    <mergeCell ref="E5:F5"/>
    <mergeCell ref="G4:J4"/>
    <mergeCell ref="I5:J5"/>
    <mergeCell ref="AR4:AS5"/>
    <mergeCell ref="AT4:AU5"/>
    <mergeCell ref="AV4:AV7"/>
    <mergeCell ref="C2:J2"/>
    <mergeCell ref="AK4:AL5"/>
    <mergeCell ref="AM4:AM5"/>
    <mergeCell ref="AN4:AO5"/>
    <mergeCell ref="AP4:AP5"/>
    <mergeCell ref="AQ4:AQ5"/>
    <mergeCell ref="AA4:AB5"/>
    <mergeCell ref="AC4:AD5"/>
    <mergeCell ref="AE4:AF5"/>
    <mergeCell ref="AG4:AH5"/>
    <mergeCell ref="AI4:AJ5"/>
    <mergeCell ref="Q4:R5"/>
    <mergeCell ref="S4:T5"/>
  </mergeCells>
  <pageMargins left="0.31496062992125984" right="0.31496062992125984" top="0.74803149606299213" bottom="0.74803149606299213" header="0.31496062992125984" footer="0.31496062992125984"/>
  <pageSetup paperSize="9" scale="63" fitToWidth="7" orientation="landscape" r:id="rId1"/>
  <headerFooter>
    <oddFooter>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F18"/>
  <sheetViews>
    <sheetView zoomScaleNormal="100" workbookViewId="0">
      <selection activeCell="L12" sqref="L12"/>
    </sheetView>
  </sheetViews>
  <sheetFormatPr defaultRowHeight="15" x14ac:dyDescent="0.25"/>
  <cols>
    <col min="1" max="1" width="4" style="30" customWidth="1"/>
    <col min="2" max="2" width="32.140625" style="30" customWidth="1"/>
    <col min="3" max="3" width="26.28515625" style="30" customWidth="1"/>
    <col min="4" max="4" width="8.85546875" style="30" customWidth="1"/>
    <col min="5" max="5" width="26.28515625" style="30" customWidth="1"/>
    <col min="6" max="6" width="9.140625" style="30"/>
    <col min="7" max="7" width="24.7109375" style="30" customWidth="1"/>
    <col min="8" max="8" width="9.140625" style="30"/>
    <col min="9" max="9" width="28" style="30" customWidth="1"/>
    <col min="10" max="10" width="9.140625" style="30"/>
    <col min="11" max="11" width="21.140625" style="30" customWidth="1"/>
    <col min="12" max="12" width="9.140625" style="30"/>
    <col min="13" max="13" width="30.42578125" style="30" customWidth="1"/>
    <col min="14" max="14" width="9.140625" style="30"/>
    <col min="15" max="15" width="19.140625" style="30" customWidth="1"/>
    <col min="16" max="16" width="9.140625" style="30"/>
    <col min="17" max="17" width="20.42578125" style="30" customWidth="1"/>
    <col min="18" max="18" width="9.140625" style="30"/>
    <col min="19" max="19" width="19.5703125" style="30" customWidth="1"/>
    <col min="20" max="20" width="9.140625" style="30"/>
    <col min="21" max="21" width="18.140625" style="30" customWidth="1"/>
    <col min="22" max="22" width="9.140625" style="30"/>
    <col min="23" max="23" width="29.5703125" style="30" customWidth="1"/>
    <col min="24" max="24" width="21.5703125" style="30" customWidth="1"/>
    <col min="25" max="25" width="9.140625" style="30"/>
    <col min="26" max="26" width="17.140625" style="30" customWidth="1"/>
    <col min="27" max="27" width="14.85546875" style="30" customWidth="1"/>
    <col min="28" max="28" width="25.28515625" style="30" customWidth="1"/>
    <col min="29" max="29" width="9.140625" style="30"/>
    <col min="30" max="30" width="21" style="30" customWidth="1"/>
    <col min="31" max="31" width="9.140625" style="30"/>
    <col min="32" max="32" width="16.140625" style="30" customWidth="1"/>
    <col min="33" max="16384" width="9.140625" style="30"/>
  </cols>
  <sheetData>
    <row r="2" spans="1:32" ht="52.5" customHeight="1" x14ac:dyDescent="0.3">
      <c r="C2" s="86" t="s">
        <v>57</v>
      </c>
      <c r="D2" s="86"/>
      <c r="E2" s="86"/>
      <c r="F2" s="86"/>
      <c r="G2" s="86"/>
      <c r="H2" s="86"/>
    </row>
    <row r="3" spans="1:32" ht="17.25" x14ac:dyDescent="0.3">
      <c r="C3" s="98" t="s">
        <v>152</v>
      </c>
      <c r="D3" s="98"/>
      <c r="E3" s="98"/>
      <c r="F3" s="98"/>
      <c r="G3" s="98"/>
      <c r="H3" s="98"/>
    </row>
    <row r="4" spans="1:32" s="28" customFormat="1" ht="71.25" customHeight="1" x14ac:dyDescent="0.25">
      <c r="A4" s="94"/>
      <c r="B4" s="94" t="s">
        <v>56</v>
      </c>
      <c r="C4" s="85" t="s">
        <v>133</v>
      </c>
      <c r="D4" s="85"/>
      <c r="E4" s="85" t="s">
        <v>134</v>
      </c>
      <c r="F4" s="85"/>
      <c r="G4" s="85" t="s">
        <v>135</v>
      </c>
      <c r="H4" s="85"/>
      <c r="I4" s="85" t="s">
        <v>26</v>
      </c>
      <c r="J4" s="85"/>
      <c r="K4" s="85" t="s">
        <v>28</v>
      </c>
      <c r="L4" s="85"/>
      <c r="M4" s="97" t="s">
        <v>39</v>
      </c>
      <c r="N4" s="97"/>
      <c r="O4" s="85" t="s">
        <v>41</v>
      </c>
      <c r="P4" s="85"/>
      <c r="Q4" s="85" t="s">
        <v>43</v>
      </c>
      <c r="R4" s="85"/>
      <c r="S4" s="88" t="s">
        <v>145</v>
      </c>
      <c r="T4" s="88"/>
      <c r="U4" s="97" t="s">
        <v>45</v>
      </c>
      <c r="V4" s="97"/>
      <c r="W4" s="60" t="s">
        <v>46</v>
      </c>
      <c r="X4" s="97" t="s">
        <v>47</v>
      </c>
      <c r="Y4" s="97"/>
      <c r="Z4" s="35" t="s">
        <v>49</v>
      </c>
      <c r="AA4" s="35" t="s">
        <v>50</v>
      </c>
      <c r="AB4" s="85" t="s">
        <v>51</v>
      </c>
      <c r="AC4" s="85"/>
      <c r="AD4" s="85" t="s">
        <v>53</v>
      </c>
      <c r="AE4" s="85"/>
      <c r="AF4" s="85" t="s">
        <v>68</v>
      </c>
    </row>
    <row r="5" spans="1:32" x14ac:dyDescent="0.25">
      <c r="A5" s="95"/>
      <c r="B5" s="96"/>
      <c r="C5" s="32" t="s">
        <v>17</v>
      </c>
      <c r="D5" s="32" t="s">
        <v>20</v>
      </c>
      <c r="E5" s="32" t="s">
        <v>17</v>
      </c>
      <c r="F5" s="32" t="s">
        <v>22</v>
      </c>
      <c r="G5" s="32" t="s">
        <v>17</v>
      </c>
      <c r="H5" s="33" t="s">
        <v>22</v>
      </c>
      <c r="I5" s="32" t="s">
        <v>17</v>
      </c>
      <c r="J5" s="33" t="s">
        <v>22</v>
      </c>
      <c r="K5" s="32" t="s">
        <v>17</v>
      </c>
      <c r="L5" s="33" t="s">
        <v>22</v>
      </c>
      <c r="M5" s="32" t="s">
        <v>17</v>
      </c>
      <c r="N5" s="33" t="s">
        <v>22</v>
      </c>
      <c r="O5" s="32" t="s">
        <v>17</v>
      </c>
      <c r="P5" s="33" t="s">
        <v>22</v>
      </c>
      <c r="Q5" s="32" t="s">
        <v>17</v>
      </c>
      <c r="R5" s="33" t="s">
        <v>22</v>
      </c>
      <c r="S5" s="32" t="s">
        <v>17</v>
      </c>
      <c r="T5" s="33" t="s">
        <v>22</v>
      </c>
      <c r="U5" s="32" t="s">
        <v>17</v>
      </c>
      <c r="V5" s="33" t="s">
        <v>22</v>
      </c>
      <c r="W5" s="32" t="s">
        <v>22</v>
      </c>
      <c r="X5" s="32" t="s">
        <v>17</v>
      </c>
      <c r="Y5" s="33" t="s">
        <v>22</v>
      </c>
      <c r="Z5" s="32" t="s">
        <v>22</v>
      </c>
      <c r="AA5" s="32" t="s">
        <v>22</v>
      </c>
      <c r="AB5" s="32" t="s">
        <v>17</v>
      </c>
      <c r="AC5" s="33" t="s">
        <v>22</v>
      </c>
      <c r="AD5" s="32" t="s">
        <v>17</v>
      </c>
      <c r="AE5" s="33" t="s">
        <v>22</v>
      </c>
      <c r="AF5" s="85"/>
    </row>
    <row r="6" spans="1:32" ht="83.25" customHeight="1" x14ac:dyDescent="0.25">
      <c r="A6" s="96"/>
      <c r="B6" s="34" t="s">
        <v>18</v>
      </c>
      <c r="C6" s="35" t="s">
        <v>19</v>
      </c>
      <c r="D6" s="35"/>
      <c r="E6" s="35" t="s">
        <v>24</v>
      </c>
      <c r="F6" s="32"/>
      <c r="G6" s="53" t="s">
        <v>25</v>
      </c>
      <c r="H6" s="32"/>
      <c r="I6" s="35" t="s">
        <v>27</v>
      </c>
      <c r="J6" s="35"/>
      <c r="K6" s="35" t="s">
        <v>29</v>
      </c>
      <c r="L6" s="35"/>
      <c r="M6" s="35" t="s">
        <v>40</v>
      </c>
      <c r="N6" s="35"/>
      <c r="O6" s="35" t="s">
        <v>42</v>
      </c>
      <c r="P6" s="35"/>
      <c r="Q6" s="35" t="s">
        <v>42</v>
      </c>
      <c r="R6" s="35"/>
      <c r="S6" s="35" t="s">
        <v>42</v>
      </c>
      <c r="T6" s="35"/>
      <c r="U6" s="35" t="s">
        <v>42</v>
      </c>
      <c r="V6" s="35"/>
      <c r="W6" s="35"/>
      <c r="X6" s="35" t="s">
        <v>48</v>
      </c>
      <c r="Y6" s="35"/>
      <c r="Z6" s="35"/>
      <c r="AA6" s="32"/>
      <c r="AB6" s="36" t="s">
        <v>52</v>
      </c>
      <c r="AC6" s="35"/>
      <c r="AD6" s="35" t="s">
        <v>54</v>
      </c>
      <c r="AE6" s="35"/>
      <c r="AF6" s="85"/>
    </row>
    <row r="7" spans="1:32" ht="45.75" customHeight="1" x14ac:dyDescent="0.25">
      <c r="A7" s="32">
        <v>1</v>
      </c>
      <c r="B7" s="38" t="s">
        <v>10</v>
      </c>
      <c r="C7" s="41">
        <v>0</v>
      </c>
      <c r="D7" s="42">
        <v>0</v>
      </c>
      <c r="E7" s="41">
        <v>0</v>
      </c>
      <c r="F7" s="42">
        <v>0</v>
      </c>
      <c r="G7" s="72">
        <v>0</v>
      </c>
      <c r="H7" s="32">
        <v>0</v>
      </c>
      <c r="I7" s="43">
        <v>1.3</v>
      </c>
      <c r="J7" s="32">
        <v>2</v>
      </c>
      <c r="K7" s="43">
        <v>0</v>
      </c>
      <c r="L7" s="32">
        <v>2</v>
      </c>
      <c r="M7" s="73">
        <v>0</v>
      </c>
      <c r="N7" s="43">
        <v>2</v>
      </c>
      <c r="O7" s="43" t="s">
        <v>146</v>
      </c>
      <c r="P7" s="32">
        <v>0.3</v>
      </c>
      <c r="Q7" s="43" t="s">
        <v>146</v>
      </c>
      <c r="R7" s="32">
        <v>0.3</v>
      </c>
      <c r="S7" s="43" t="s">
        <v>146</v>
      </c>
      <c r="T7" s="32">
        <v>0.3</v>
      </c>
      <c r="U7" s="43" t="s">
        <v>146</v>
      </c>
      <c r="V7" s="32">
        <v>0.3</v>
      </c>
      <c r="W7" s="32">
        <v>0.5</v>
      </c>
      <c r="X7" s="39">
        <v>2.5000000000000001E-2</v>
      </c>
      <c r="Y7" s="32">
        <f>(3-0)/(100-0)</f>
        <v>0.03</v>
      </c>
      <c r="Z7" s="32">
        <v>0.5</v>
      </c>
      <c r="AA7" s="32">
        <v>0.3</v>
      </c>
      <c r="AB7" s="38">
        <v>1</v>
      </c>
      <c r="AC7" s="32">
        <v>0.3</v>
      </c>
      <c r="AD7" s="38" t="s">
        <v>150</v>
      </c>
      <c r="AE7" s="32">
        <v>0</v>
      </c>
      <c r="AF7" s="46">
        <f>J7+L7+P7+R7+T7+V7+W7+Y7+Z7+AA7+AE7+D7+F7+H7+N7+AC7</f>
        <v>8.83</v>
      </c>
    </row>
    <row r="8" spans="1:32" ht="45" x14ac:dyDescent="0.25">
      <c r="A8" s="32">
        <v>2</v>
      </c>
      <c r="B8" s="38" t="s">
        <v>105</v>
      </c>
      <c r="C8" s="38" t="s">
        <v>132</v>
      </c>
      <c r="D8" s="42" t="s">
        <v>66</v>
      </c>
      <c r="E8" s="38" t="s">
        <v>132</v>
      </c>
      <c r="F8" s="32" t="s">
        <v>66</v>
      </c>
      <c r="G8" s="38" t="s">
        <v>132</v>
      </c>
      <c r="H8" s="32" t="s">
        <v>66</v>
      </c>
      <c r="I8" s="43">
        <v>1.3</v>
      </c>
      <c r="J8" s="32">
        <v>2</v>
      </c>
      <c r="K8" s="43">
        <v>0</v>
      </c>
      <c r="L8" s="32">
        <v>2</v>
      </c>
      <c r="M8" s="38" t="s">
        <v>132</v>
      </c>
      <c r="N8" s="43">
        <v>0</v>
      </c>
      <c r="O8" s="43" t="s">
        <v>146</v>
      </c>
      <c r="P8" s="32">
        <v>0.3</v>
      </c>
      <c r="Q8" s="43" t="s">
        <v>132</v>
      </c>
      <c r="R8" s="32">
        <v>0</v>
      </c>
      <c r="S8" s="43" t="s">
        <v>132</v>
      </c>
      <c r="T8" s="32">
        <v>0</v>
      </c>
      <c r="U8" s="43" t="s">
        <v>132</v>
      </c>
      <c r="V8" s="32">
        <v>0</v>
      </c>
      <c r="W8" s="32">
        <v>1</v>
      </c>
      <c r="X8" s="32" t="s">
        <v>132</v>
      </c>
      <c r="Y8" s="32">
        <v>0</v>
      </c>
      <c r="Z8" s="32">
        <v>1</v>
      </c>
      <c r="AA8" s="32">
        <v>0.3</v>
      </c>
      <c r="AB8" s="38">
        <v>1</v>
      </c>
      <c r="AC8" s="32">
        <v>0.3</v>
      </c>
      <c r="AD8" s="32" t="s">
        <v>147</v>
      </c>
      <c r="AE8" s="32">
        <v>1</v>
      </c>
      <c r="AF8" s="46">
        <f>J8+L8+P8+R8+T8+V8+W8+Y8+Z8+AA8+AE8+N8+AC8</f>
        <v>7.8999999999999995</v>
      </c>
    </row>
    <row r="9" spans="1:32" ht="48" customHeight="1" x14ac:dyDescent="0.25">
      <c r="A9" s="32">
        <v>3</v>
      </c>
      <c r="B9" s="38" t="s">
        <v>189</v>
      </c>
      <c r="C9" s="41">
        <v>0</v>
      </c>
      <c r="D9" s="42">
        <v>0</v>
      </c>
      <c r="E9" s="41">
        <v>0</v>
      </c>
      <c r="F9" s="42">
        <v>0</v>
      </c>
      <c r="G9" s="63">
        <v>0</v>
      </c>
      <c r="H9" s="32">
        <v>0</v>
      </c>
      <c r="I9" s="47">
        <v>1.3</v>
      </c>
      <c r="J9" s="32">
        <v>2</v>
      </c>
      <c r="K9" s="48">
        <v>0</v>
      </c>
      <c r="L9" s="32">
        <v>2</v>
      </c>
      <c r="M9" s="73">
        <v>0</v>
      </c>
      <c r="N9" s="43">
        <v>2</v>
      </c>
      <c r="O9" s="43" t="s">
        <v>146</v>
      </c>
      <c r="P9" s="32">
        <v>0.3</v>
      </c>
      <c r="Q9" s="43" t="s">
        <v>146</v>
      </c>
      <c r="R9" s="32">
        <v>0.3</v>
      </c>
      <c r="S9" s="43" t="s">
        <v>146</v>
      </c>
      <c r="T9" s="32">
        <v>0.3</v>
      </c>
      <c r="U9" s="43" t="s">
        <v>146</v>
      </c>
      <c r="V9" s="32">
        <v>0.3</v>
      </c>
      <c r="W9" s="32">
        <v>0.5</v>
      </c>
      <c r="X9" s="39">
        <v>0.74</v>
      </c>
      <c r="Y9" s="32">
        <f>(74-0)/(100-0)</f>
        <v>0.74</v>
      </c>
      <c r="Z9" s="32">
        <v>0.5</v>
      </c>
      <c r="AA9" s="32">
        <v>0.3</v>
      </c>
      <c r="AB9" s="38">
        <v>1</v>
      </c>
      <c r="AC9" s="32">
        <v>0.3</v>
      </c>
      <c r="AD9" s="38" t="s">
        <v>150</v>
      </c>
      <c r="AE9" s="32">
        <v>0</v>
      </c>
      <c r="AF9" s="46">
        <f>J9+L9+P9+R9+T9+V9+W9+Y9+Z9+AA9+AE9+D9+F9+H9+N9+AC9</f>
        <v>9.5399999999999991</v>
      </c>
    </row>
    <row r="10" spans="1:32" ht="28.5" hidden="1" customHeight="1" x14ac:dyDescent="0.25">
      <c r="A10" s="32"/>
      <c r="B10" s="38"/>
      <c r="C10" s="41"/>
      <c r="D10" s="42"/>
      <c r="E10" s="41"/>
      <c r="F10" s="42"/>
      <c r="G10" s="63"/>
      <c r="H10" s="42"/>
      <c r="I10" s="47"/>
      <c r="J10" s="32"/>
      <c r="K10" s="48"/>
      <c r="L10" s="32"/>
      <c r="M10" s="45"/>
      <c r="N10" s="42"/>
      <c r="O10" s="43"/>
      <c r="P10" s="32"/>
      <c r="Q10" s="43"/>
      <c r="R10" s="32"/>
      <c r="S10" s="43"/>
      <c r="T10" s="32"/>
      <c r="U10" s="43"/>
      <c r="V10" s="32"/>
      <c r="W10" s="32"/>
      <c r="X10" s="39"/>
      <c r="Y10" s="32">
        <f t="shared" ref="Y10" si="0">(5-0)/(100-0)</f>
        <v>0.05</v>
      </c>
      <c r="Z10" s="32"/>
      <c r="AA10" s="32"/>
      <c r="AB10" s="38"/>
      <c r="AC10" s="32"/>
      <c r="AD10" s="32"/>
      <c r="AE10" s="32"/>
      <c r="AF10" s="46">
        <f t="shared" ref="AF10" si="1">J10+L10+P10+R10+T10+V10+W10+Y10+Z10+AA10+AE10+D10+F10+H10+N10+AC10</f>
        <v>0.05</v>
      </c>
    </row>
    <row r="11" spans="1:32" ht="45" x14ac:dyDescent="0.25">
      <c r="A11" s="32">
        <v>4</v>
      </c>
      <c r="B11" s="38" t="s">
        <v>106</v>
      </c>
      <c r="C11" s="74">
        <v>0.92</v>
      </c>
      <c r="D11" s="40">
        <v>1</v>
      </c>
      <c r="E11" s="41">
        <v>0.17</v>
      </c>
      <c r="F11" s="42">
        <v>0.5</v>
      </c>
      <c r="G11" s="63">
        <v>2.62</v>
      </c>
      <c r="H11" s="32">
        <v>1.5</v>
      </c>
      <c r="I11" s="38">
        <v>1.3</v>
      </c>
      <c r="J11" s="43">
        <v>2</v>
      </c>
      <c r="K11" s="38">
        <v>0</v>
      </c>
      <c r="L11" s="43">
        <v>2</v>
      </c>
      <c r="M11" s="38">
        <v>0</v>
      </c>
      <c r="N11" s="43">
        <v>2</v>
      </c>
      <c r="O11" s="14" t="s">
        <v>146</v>
      </c>
      <c r="P11" s="43">
        <v>0.3</v>
      </c>
      <c r="Q11" s="43" t="s">
        <v>146</v>
      </c>
      <c r="R11" s="32">
        <v>0.3</v>
      </c>
      <c r="S11" s="43" t="s">
        <v>146</v>
      </c>
      <c r="T11" s="32">
        <v>0.3</v>
      </c>
      <c r="U11" s="43" t="s">
        <v>146</v>
      </c>
      <c r="V11" s="32">
        <v>0.3</v>
      </c>
      <c r="W11" s="75" t="s">
        <v>132</v>
      </c>
      <c r="X11" s="41">
        <v>0.69</v>
      </c>
      <c r="Y11" s="32">
        <f>(69-0)/(100-0)</f>
        <v>0.69</v>
      </c>
      <c r="Z11" s="43" t="s">
        <v>132</v>
      </c>
      <c r="AA11" s="43">
        <v>0</v>
      </c>
      <c r="AB11" s="38">
        <v>1</v>
      </c>
      <c r="AC11" s="32">
        <v>0.3</v>
      </c>
      <c r="AD11" s="38" t="s">
        <v>150</v>
      </c>
      <c r="AE11" s="32">
        <v>0</v>
      </c>
      <c r="AF11" s="46">
        <f>J11+L11+P11+R11+T11+V11+Y11+AA11+AE11+D11+F11+H11+N11+AC11</f>
        <v>11.19</v>
      </c>
    </row>
    <row r="12" spans="1:32" x14ac:dyDescent="0.25">
      <c r="A12" s="32"/>
      <c r="B12" s="38" t="s">
        <v>15</v>
      </c>
      <c r="C12" s="61" t="s">
        <v>80</v>
      </c>
      <c r="D12" s="42">
        <f>D7+D9+D11/3</f>
        <v>0.33333333333333331</v>
      </c>
      <c r="E12" s="61" t="s">
        <v>80</v>
      </c>
      <c r="F12" s="42">
        <f>F7+F9+F11/3</f>
        <v>0.16666666666666666</v>
      </c>
      <c r="G12" s="61" t="s">
        <v>80</v>
      </c>
      <c r="H12" s="42">
        <f>(H7+H9+H11)/4</f>
        <v>0.375</v>
      </c>
      <c r="I12" s="61" t="s">
        <v>80</v>
      </c>
      <c r="J12" s="42">
        <f>(J10+J9+J8+J7+J11)/4</f>
        <v>2</v>
      </c>
      <c r="K12" s="61" t="s">
        <v>80</v>
      </c>
      <c r="L12" s="42">
        <f>(L10+L9+L8+L7+L11)/4</f>
        <v>2</v>
      </c>
      <c r="M12" s="61" t="s">
        <v>80</v>
      </c>
      <c r="N12" s="42">
        <v>2</v>
      </c>
      <c r="O12" s="61" t="s">
        <v>80</v>
      </c>
      <c r="P12" s="42">
        <f>(P10+P9+P8+P7+P11)/4</f>
        <v>0.3</v>
      </c>
      <c r="Q12" s="61" t="s">
        <v>80</v>
      </c>
      <c r="R12" s="42">
        <f>(R10+R9+R8+R7)/4</f>
        <v>0.15</v>
      </c>
      <c r="S12" s="61" t="s">
        <v>80</v>
      </c>
      <c r="T12" s="42">
        <f>(T10+T9+T8+T7)/4</f>
        <v>0.15</v>
      </c>
      <c r="U12" s="61" t="s">
        <v>80</v>
      </c>
      <c r="V12" s="42">
        <f>(V10+V9+V8+V7)/4</f>
        <v>0.15</v>
      </c>
      <c r="W12" s="42">
        <f>(W10+W9+W8+W7)/4</f>
        <v>0.5</v>
      </c>
      <c r="X12" s="61" t="s">
        <v>80</v>
      </c>
      <c r="Y12" s="42">
        <f>(Y10+Y9+Y8+Y7+Y11)/4</f>
        <v>0.3775</v>
      </c>
      <c r="Z12" s="42">
        <f>(Z10+Z9+Z8+Z7)/4</f>
        <v>0.5</v>
      </c>
      <c r="AA12" s="42">
        <f>(AA10+AA9+AA8+AA7)/4</f>
        <v>0.22499999999999998</v>
      </c>
      <c r="AB12" s="61" t="s">
        <v>80</v>
      </c>
      <c r="AC12" s="42">
        <v>0.3</v>
      </c>
      <c r="AD12" s="61" t="s">
        <v>80</v>
      </c>
      <c r="AE12" s="42">
        <f>(AE10+AE9+AE8+AE7)/4</f>
        <v>0.25</v>
      </c>
      <c r="AF12" s="42">
        <f>(AF10+AF9+AF8+AF7)/4</f>
        <v>6.58</v>
      </c>
    </row>
    <row r="14" spans="1:32" x14ac:dyDescent="0.25">
      <c r="B14" s="24" t="s">
        <v>140</v>
      </c>
      <c r="D14" s="30">
        <v>1</v>
      </c>
      <c r="F14" s="30">
        <v>0.5</v>
      </c>
      <c r="H14" s="30">
        <v>1.5</v>
      </c>
      <c r="J14" s="30">
        <v>2</v>
      </c>
      <c r="L14" s="30">
        <v>2</v>
      </c>
      <c r="N14" s="30">
        <v>2</v>
      </c>
      <c r="P14" s="30">
        <v>0.3</v>
      </c>
      <c r="R14" s="30">
        <v>0.3</v>
      </c>
      <c r="T14" s="30">
        <v>0.3</v>
      </c>
      <c r="V14" s="30">
        <v>0.3</v>
      </c>
      <c r="W14" s="30">
        <v>1</v>
      </c>
      <c r="Y14" s="30">
        <v>1</v>
      </c>
      <c r="Z14" s="30">
        <v>1</v>
      </c>
      <c r="AA14" s="30">
        <v>0.3</v>
      </c>
      <c r="AC14" s="30">
        <v>0.3</v>
      </c>
      <c r="AE14" s="30">
        <v>1</v>
      </c>
      <c r="AF14" s="30">
        <f>J14+L14+P14+R14+T14+V14+W14+Y14+Z14+AA14+AE14+AC14+N14+H14+F14+D14</f>
        <v>14.8</v>
      </c>
    </row>
    <row r="18" spans="1:32" ht="28.5" hidden="1" customHeight="1" x14ac:dyDescent="0.25">
      <c r="A18" s="32">
        <v>4</v>
      </c>
      <c r="B18" s="38" t="s">
        <v>13</v>
      </c>
      <c r="C18" s="41" t="s">
        <v>141</v>
      </c>
      <c r="D18" s="42" t="s">
        <v>66</v>
      </c>
      <c r="E18" s="41" t="s">
        <v>141</v>
      </c>
      <c r="F18" s="42" t="s">
        <v>66</v>
      </c>
      <c r="G18" s="41" t="s">
        <v>141</v>
      </c>
      <c r="H18" s="42" t="s">
        <v>66</v>
      </c>
      <c r="I18" s="47">
        <v>1.3</v>
      </c>
      <c r="J18" s="32">
        <v>2</v>
      </c>
      <c r="K18" s="48">
        <v>0</v>
      </c>
      <c r="L18" s="32">
        <v>2</v>
      </c>
      <c r="M18" s="45" t="s">
        <v>141</v>
      </c>
      <c r="N18" s="42" t="s">
        <v>66</v>
      </c>
      <c r="O18" s="43" t="s">
        <v>147</v>
      </c>
      <c r="P18" s="32">
        <v>0</v>
      </c>
      <c r="Q18" s="43" t="s">
        <v>147</v>
      </c>
      <c r="R18" s="32">
        <v>0</v>
      </c>
      <c r="S18" s="43" t="s">
        <v>147</v>
      </c>
      <c r="T18" s="32">
        <v>0.3</v>
      </c>
      <c r="U18" s="43" t="s">
        <v>147</v>
      </c>
      <c r="V18" s="32">
        <v>0</v>
      </c>
      <c r="W18" s="32">
        <v>0</v>
      </c>
      <c r="X18" s="39">
        <f>48811735.61/(48811735.61+2790066.92)</f>
        <v>0.94593082444401189</v>
      </c>
      <c r="Y18" s="32">
        <v>0.95</v>
      </c>
      <c r="Z18" s="32">
        <v>0</v>
      </c>
      <c r="AA18" s="32">
        <v>0</v>
      </c>
      <c r="AB18" s="38" t="s">
        <v>141</v>
      </c>
      <c r="AC18" s="32" t="s">
        <v>66</v>
      </c>
      <c r="AD18" s="32">
        <v>0</v>
      </c>
      <c r="AE18" s="32">
        <v>1</v>
      </c>
      <c r="AF18" s="46">
        <f t="shared" ref="AF18" si="2">J18+L18+P18+R18+T18+V18+W18+Y18+Z18+AA18+AE18</f>
        <v>6.25</v>
      </c>
    </row>
  </sheetData>
  <mergeCells count="18">
    <mergeCell ref="AF4:AF6"/>
    <mergeCell ref="C2:H2"/>
    <mergeCell ref="I4:J4"/>
    <mergeCell ref="E4:F4"/>
    <mergeCell ref="C4:D4"/>
    <mergeCell ref="AD4:AE4"/>
    <mergeCell ref="AB4:AC4"/>
    <mergeCell ref="X4:Y4"/>
    <mergeCell ref="U4:V4"/>
    <mergeCell ref="S4:T4"/>
    <mergeCell ref="C3:H3"/>
    <mergeCell ref="A4:A6"/>
    <mergeCell ref="B4:B5"/>
    <mergeCell ref="G4:H4"/>
    <mergeCell ref="Q4:R4"/>
    <mergeCell ref="O4:P4"/>
    <mergeCell ref="M4:N4"/>
    <mergeCell ref="K4:L4"/>
  </mergeCells>
  <pageMargins left="0.31496062992125984" right="0.31496062992125984" top="0.74803149606299213" bottom="0.74803149606299213" header="0.31496062992125984" footer="0.31496062992125984"/>
  <pageSetup paperSize="9" fitToWidth="0" orientation="landscape" r:id="rId1"/>
  <headerFooter>
    <oddFooter>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D36"/>
  <sheetViews>
    <sheetView zoomScale="55" zoomScaleNormal="55" workbookViewId="0">
      <selection activeCell="G31" sqref="G31"/>
    </sheetView>
  </sheetViews>
  <sheetFormatPr defaultRowHeight="15" x14ac:dyDescent="0.25"/>
  <cols>
    <col min="1" max="1" width="7" customWidth="1"/>
    <col min="2" max="2" width="34.85546875" customWidth="1"/>
    <col min="3" max="3" width="14.28515625" customWidth="1"/>
    <col min="4" max="5" width="16.28515625" customWidth="1"/>
    <col min="6" max="26" width="9.140625" customWidth="1"/>
    <col min="30" max="30" width="16.42578125" customWidth="1"/>
  </cols>
  <sheetData>
    <row r="2" spans="1:30" ht="18.75" x14ac:dyDescent="0.3">
      <c r="A2" s="76" t="s">
        <v>86</v>
      </c>
      <c r="B2" s="76"/>
      <c r="C2" s="76"/>
      <c r="D2" s="76"/>
      <c r="E2" s="10"/>
    </row>
    <row r="4" spans="1:30" x14ac:dyDescent="0.25">
      <c r="A4" s="79" t="s">
        <v>84</v>
      </c>
      <c r="B4" s="79" t="s">
        <v>85</v>
      </c>
      <c r="C4" s="99" t="s">
        <v>136</v>
      </c>
      <c r="D4" s="100"/>
      <c r="E4" s="101"/>
      <c r="F4" s="79" t="s">
        <v>151</v>
      </c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</row>
    <row r="5" spans="1:30" s="1" customFormat="1" ht="62.25" customHeight="1" x14ac:dyDescent="0.25">
      <c r="A5" s="79"/>
      <c r="B5" s="79"/>
      <c r="C5" s="12" t="s">
        <v>137</v>
      </c>
      <c r="D5" s="12" t="s">
        <v>82</v>
      </c>
      <c r="E5" s="12" t="s">
        <v>138</v>
      </c>
      <c r="F5" s="3" t="s">
        <v>107</v>
      </c>
      <c r="G5" s="3" t="s">
        <v>108</v>
      </c>
      <c r="H5" s="3" t="s">
        <v>109</v>
      </c>
      <c r="I5" s="3" t="s">
        <v>110</v>
      </c>
      <c r="J5" s="3" t="s">
        <v>111</v>
      </c>
      <c r="K5" s="3" t="s">
        <v>112</v>
      </c>
      <c r="L5" s="3" t="s">
        <v>113</v>
      </c>
      <c r="M5" s="3" t="s">
        <v>114</v>
      </c>
      <c r="N5" s="3" t="s">
        <v>115</v>
      </c>
      <c r="O5" s="3" t="s">
        <v>116</v>
      </c>
      <c r="P5" s="3" t="s">
        <v>117</v>
      </c>
      <c r="Q5" s="3" t="s">
        <v>118</v>
      </c>
      <c r="R5" s="3" t="s">
        <v>119</v>
      </c>
      <c r="S5" s="3" t="s">
        <v>120</v>
      </c>
      <c r="T5" s="3" t="s">
        <v>121</v>
      </c>
      <c r="U5" s="3" t="s">
        <v>122</v>
      </c>
      <c r="V5" s="3" t="s">
        <v>123</v>
      </c>
      <c r="W5" s="3" t="s">
        <v>124</v>
      </c>
      <c r="X5" s="3" t="s">
        <v>125</v>
      </c>
      <c r="Y5" s="3" t="s">
        <v>126</v>
      </c>
      <c r="Z5" s="3" t="s">
        <v>127</v>
      </c>
      <c r="AA5" s="3" t="s">
        <v>128</v>
      </c>
      <c r="AB5" s="3" t="s">
        <v>129</v>
      </c>
      <c r="AC5" s="3" t="s">
        <v>130</v>
      </c>
      <c r="AD5" s="12" t="s">
        <v>131</v>
      </c>
    </row>
    <row r="6" spans="1:30" s="1" customFormat="1" x14ac:dyDescent="0.25">
      <c r="A6" s="11" t="s">
        <v>89</v>
      </c>
      <c r="B6" s="99" t="s">
        <v>88</v>
      </c>
      <c r="C6" s="100"/>
      <c r="D6" s="101"/>
      <c r="E6" s="18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x14ac:dyDescent="0.25">
      <c r="A7" s="16" t="s">
        <v>90</v>
      </c>
      <c r="B7" s="3" t="s">
        <v>0</v>
      </c>
      <c r="C7" s="5">
        <f>МО!AV19</f>
        <v>20.000000000000004</v>
      </c>
      <c r="D7" s="8">
        <f>МО!AV8</f>
        <v>10.261200000000002</v>
      </c>
      <c r="E7" s="19">
        <f>D7/C7*100</f>
        <v>51.306000000000004</v>
      </c>
      <c r="F7" s="9">
        <v>0</v>
      </c>
      <c r="G7" s="9">
        <v>0</v>
      </c>
      <c r="H7" s="9">
        <v>0</v>
      </c>
      <c r="I7" s="9">
        <v>1</v>
      </c>
      <c r="J7" s="9">
        <v>1</v>
      </c>
      <c r="K7" s="9">
        <v>0</v>
      </c>
      <c r="L7" s="9">
        <v>1</v>
      </c>
      <c r="M7" s="9">
        <v>1</v>
      </c>
      <c r="N7" s="9">
        <v>1</v>
      </c>
      <c r="O7" s="9">
        <v>1</v>
      </c>
      <c r="P7" s="9">
        <v>0</v>
      </c>
      <c r="Q7" s="9">
        <v>1</v>
      </c>
      <c r="R7" s="9">
        <v>1</v>
      </c>
      <c r="S7" s="9">
        <v>0</v>
      </c>
      <c r="T7" s="9">
        <v>0</v>
      </c>
      <c r="U7" s="9">
        <v>0</v>
      </c>
      <c r="V7" s="9">
        <v>0</v>
      </c>
      <c r="W7" s="9">
        <v>0</v>
      </c>
      <c r="X7" s="9">
        <v>0</v>
      </c>
      <c r="Y7" s="9">
        <v>0</v>
      </c>
      <c r="Z7" s="9">
        <v>0</v>
      </c>
      <c r="AA7" s="9">
        <v>0</v>
      </c>
      <c r="AB7" s="9">
        <v>0</v>
      </c>
      <c r="AC7" s="2">
        <v>0</v>
      </c>
      <c r="AD7" s="2">
        <f>SUM(F7:AC7)</f>
        <v>8</v>
      </c>
    </row>
    <row r="8" spans="1:30" x14ac:dyDescent="0.25">
      <c r="A8" s="11" t="s">
        <v>91</v>
      </c>
      <c r="B8" s="3" t="s">
        <v>1</v>
      </c>
      <c r="C8" s="5">
        <f>МО!AV19</f>
        <v>20.000000000000004</v>
      </c>
      <c r="D8" s="8">
        <f>МО!AV9</f>
        <v>13.350000000000001</v>
      </c>
      <c r="E8" s="19">
        <f t="shared" ref="E8:E21" si="0">D8/C8*100</f>
        <v>66.75</v>
      </c>
      <c r="F8" s="9">
        <v>1</v>
      </c>
      <c r="G8" s="9">
        <v>1</v>
      </c>
      <c r="H8" s="9">
        <v>0</v>
      </c>
      <c r="I8" s="9">
        <v>1</v>
      </c>
      <c r="J8" s="9">
        <v>1</v>
      </c>
      <c r="K8" s="9">
        <v>1</v>
      </c>
      <c r="L8" s="9">
        <v>1</v>
      </c>
      <c r="M8" s="9">
        <v>1</v>
      </c>
      <c r="N8" s="9">
        <v>1</v>
      </c>
      <c r="O8" s="9">
        <v>1</v>
      </c>
      <c r="P8" s="9">
        <v>1</v>
      </c>
      <c r="Q8" s="9">
        <v>1</v>
      </c>
      <c r="R8" s="9">
        <v>1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A8" s="9">
        <v>1</v>
      </c>
      <c r="AB8" s="9">
        <v>1</v>
      </c>
      <c r="AC8" s="2">
        <v>0</v>
      </c>
      <c r="AD8" s="2">
        <f t="shared" ref="AD8:AD15" si="1">SUM(F8:AC8)</f>
        <v>14</v>
      </c>
    </row>
    <row r="9" spans="1:30" x14ac:dyDescent="0.25">
      <c r="A9" s="11" t="s">
        <v>92</v>
      </c>
      <c r="B9" s="3" t="s">
        <v>2</v>
      </c>
      <c r="C9" s="5">
        <f>МО!AV19</f>
        <v>20.000000000000004</v>
      </c>
      <c r="D9" s="8">
        <f>МО!AV10</f>
        <v>16.358466666666668</v>
      </c>
      <c r="E9" s="19">
        <f t="shared" si="0"/>
        <v>81.792333333333318</v>
      </c>
      <c r="F9" s="9">
        <v>0</v>
      </c>
      <c r="G9" s="9">
        <v>1</v>
      </c>
      <c r="H9" s="9">
        <v>1</v>
      </c>
      <c r="I9" s="9">
        <v>1</v>
      </c>
      <c r="J9" s="9">
        <v>1</v>
      </c>
      <c r="K9" s="9">
        <v>1</v>
      </c>
      <c r="L9" s="9">
        <v>1</v>
      </c>
      <c r="M9" s="9">
        <v>1</v>
      </c>
      <c r="N9" s="9">
        <v>1</v>
      </c>
      <c r="O9" s="9">
        <v>1</v>
      </c>
      <c r="P9" s="9">
        <v>1</v>
      </c>
      <c r="Q9" s="9">
        <v>1</v>
      </c>
      <c r="R9" s="9">
        <v>1</v>
      </c>
      <c r="S9" s="9">
        <v>0</v>
      </c>
      <c r="T9" s="9">
        <v>1</v>
      </c>
      <c r="U9" s="9">
        <v>1</v>
      </c>
      <c r="V9" s="9">
        <v>1</v>
      </c>
      <c r="W9" s="9">
        <v>1</v>
      </c>
      <c r="X9" s="9">
        <v>0</v>
      </c>
      <c r="Y9" s="9">
        <v>0</v>
      </c>
      <c r="Z9" s="9">
        <v>1</v>
      </c>
      <c r="AA9" s="9">
        <v>1</v>
      </c>
      <c r="AB9" s="9">
        <v>1</v>
      </c>
      <c r="AC9" s="2">
        <v>0</v>
      </c>
      <c r="AD9" s="2">
        <f t="shared" si="1"/>
        <v>19</v>
      </c>
    </row>
    <row r="10" spans="1:30" x14ac:dyDescent="0.25">
      <c r="A10" s="11" t="s">
        <v>93</v>
      </c>
      <c r="B10" s="3" t="s">
        <v>3</v>
      </c>
      <c r="C10" s="5">
        <f>МО!AV19</f>
        <v>20.000000000000004</v>
      </c>
      <c r="D10" s="8">
        <f>МО!AV11</f>
        <v>10.668166666666666</v>
      </c>
      <c r="E10" s="19">
        <f t="shared" si="0"/>
        <v>53.340833333333329</v>
      </c>
      <c r="F10" s="9">
        <v>1</v>
      </c>
      <c r="G10" s="9">
        <v>0</v>
      </c>
      <c r="H10" s="9">
        <v>0</v>
      </c>
      <c r="I10" s="9">
        <v>1</v>
      </c>
      <c r="J10" s="9">
        <v>1</v>
      </c>
      <c r="K10" s="9">
        <v>1</v>
      </c>
      <c r="L10" s="9">
        <v>0</v>
      </c>
      <c r="M10" s="9">
        <v>1</v>
      </c>
      <c r="N10" s="9">
        <v>1</v>
      </c>
      <c r="O10" s="9">
        <v>0</v>
      </c>
      <c r="P10" s="9">
        <v>1</v>
      </c>
      <c r="Q10" s="9">
        <v>1</v>
      </c>
      <c r="R10" s="9">
        <v>1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2">
        <v>0</v>
      </c>
      <c r="AD10" s="2">
        <f t="shared" si="1"/>
        <v>9</v>
      </c>
    </row>
    <row r="11" spans="1:30" x14ac:dyDescent="0.25">
      <c r="A11" s="11" t="s">
        <v>94</v>
      </c>
      <c r="B11" s="3" t="s">
        <v>4</v>
      </c>
      <c r="C11" s="5">
        <f>МО!AV19</f>
        <v>20.000000000000004</v>
      </c>
      <c r="D11" s="8">
        <f>МО!AV12</f>
        <v>14.830533333333335</v>
      </c>
      <c r="E11" s="19">
        <f t="shared" si="0"/>
        <v>74.152666666666661</v>
      </c>
      <c r="F11" s="9">
        <v>0</v>
      </c>
      <c r="G11" s="9">
        <v>1</v>
      </c>
      <c r="H11" s="9">
        <v>1</v>
      </c>
      <c r="I11" s="9">
        <v>1</v>
      </c>
      <c r="J11" s="9">
        <v>1</v>
      </c>
      <c r="K11" s="9">
        <v>0</v>
      </c>
      <c r="L11" s="9">
        <v>1</v>
      </c>
      <c r="M11" s="9">
        <v>1</v>
      </c>
      <c r="N11" s="9">
        <v>1</v>
      </c>
      <c r="O11" s="9">
        <v>1</v>
      </c>
      <c r="P11" s="9">
        <v>1</v>
      </c>
      <c r="Q11" s="9">
        <v>1</v>
      </c>
      <c r="R11" s="9">
        <v>1</v>
      </c>
      <c r="S11" s="9">
        <v>0</v>
      </c>
      <c r="T11" s="9">
        <v>1</v>
      </c>
      <c r="U11" s="9">
        <v>1</v>
      </c>
      <c r="V11" s="9">
        <v>1</v>
      </c>
      <c r="W11" s="9">
        <v>1</v>
      </c>
      <c r="X11" s="9">
        <v>0</v>
      </c>
      <c r="Y11" s="9">
        <v>0</v>
      </c>
      <c r="Z11" s="9">
        <v>1</v>
      </c>
      <c r="AA11" s="9">
        <v>0</v>
      </c>
      <c r="AB11" s="9">
        <v>0</v>
      </c>
      <c r="AC11" s="2">
        <v>0</v>
      </c>
      <c r="AD11" s="2">
        <f t="shared" si="1"/>
        <v>16</v>
      </c>
    </row>
    <row r="12" spans="1:30" x14ac:dyDescent="0.25">
      <c r="A12" s="11" t="s">
        <v>95</v>
      </c>
      <c r="B12" s="3" t="s">
        <v>5</v>
      </c>
      <c r="C12" s="5">
        <f>МО!AV19</f>
        <v>20.000000000000004</v>
      </c>
      <c r="D12" s="8">
        <f>МО!AV13</f>
        <v>13.835500000000001</v>
      </c>
      <c r="E12" s="19">
        <f t="shared" si="0"/>
        <v>69.177499999999995</v>
      </c>
      <c r="F12" s="9">
        <v>1</v>
      </c>
      <c r="G12" s="9">
        <v>1</v>
      </c>
      <c r="H12" s="9">
        <v>0</v>
      </c>
      <c r="I12" s="9">
        <v>1</v>
      </c>
      <c r="J12" s="9">
        <v>1</v>
      </c>
      <c r="K12" s="9">
        <v>1</v>
      </c>
      <c r="L12" s="9">
        <v>1</v>
      </c>
      <c r="M12" s="9">
        <v>1</v>
      </c>
      <c r="N12" s="9">
        <v>1</v>
      </c>
      <c r="O12" s="9">
        <v>1</v>
      </c>
      <c r="P12" s="9">
        <v>1</v>
      </c>
      <c r="Q12" s="9">
        <v>1</v>
      </c>
      <c r="R12" s="9">
        <v>1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9">
        <v>1</v>
      </c>
      <c r="AB12" s="9">
        <v>1</v>
      </c>
      <c r="AC12" s="2">
        <v>0</v>
      </c>
      <c r="AD12" s="2">
        <f t="shared" si="1"/>
        <v>14</v>
      </c>
    </row>
    <row r="13" spans="1:30" x14ac:dyDescent="0.25">
      <c r="A13" s="11" t="s">
        <v>96</v>
      </c>
      <c r="B13" s="3" t="s">
        <v>6</v>
      </c>
      <c r="C13" s="5">
        <f>МО!AV19</f>
        <v>20.000000000000004</v>
      </c>
      <c r="D13" s="8">
        <f>МО!AV14</f>
        <v>15.267366666666671</v>
      </c>
      <c r="E13" s="19">
        <f t="shared" si="0"/>
        <v>76.336833333333345</v>
      </c>
      <c r="F13" s="9">
        <v>1</v>
      </c>
      <c r="G13" s="9">
        <v>1</v>
      </c>
      <c r="H13" s="9">
        <v>0</v>
      </c>
      <c r="I13" s="9">
        <v>1</v>
      </c>
      <c r="J13" s="9">
        <v>1</v>
      </c>
      <c r="K13" s="9">
        <v>1</v>
      </c>
      <c r="L13" s="9">
        <v>1</v>
      </c>
      <c r="M13" s="9">
        <v>1</v>
      </c>
      <c r="N13" s="9">
        <v>1</v>
      </c>
      <c r="O13" s="9">
        <v>1</v>
      </c>
      <c r="P13" s="9">
        <v>1</v>
      </c>
      <c r="Q13" s="9">
        <v>1</v>
      </c>
      <c r="R13" s="9">
        <v>1</v>
      </c>
      <c r="S13" s="9">
        <v>0</v>
      </c>
      <c r="T13" s="9">
        <v>1</v>
      </c>
      <c r="U13" s="9">
        <v>1</v>
      </c>
      <c r="V13" s="9">
        <v>1</v>
      </c>
      <c r="W13" s="9">
        <v>1</v>
      </c>
      <c r="X13" s="9">
        <v>0</v>
      </c>
      <c r="Y13" s="9">
        <v>0</v>
      </c>
      <c r="Z13" s="9">
        <v>0</v>
      </c>
      <c r="AA13" s="9">
        <v>0</v>
      </c>
      <c r="AB13" s="9">
        <v>1</v>
      </c>
      <c r="AC13" s="2">
        <v>0</v>
      </c>
      <c r="AD13" s="2">
        <f t="shared" si="1"/>
        <v>17</v>
      </c>
    </row>
    <row r="14" spans="1:30" x14ac:dyDescent="0.25">
      <c r="A14" s="11" t="s">
        <v>97</v>
      </c>
      <c r="B14" s="3" t="s">
        <v>7</v>
      </c>
      <c r="C14" s="5">
        <f>МО!AV19</f>
        <v>20.000000000000004</v>
      </c>
      <c r="D14" s="8">
        <f>МО!AV15</f>
        <v>11.649000000000003</v>
      </c>
      <c r="E14" s="19">
        <f t="shared" si="0"/>
        <v>58.245000000000005</v>
      </c>
      <c r="F14" s="9">
        <v>1</v>
      </c>
      <c r="G14" s="9">
        <v>0</v>
      </c>
      <c r="H14" s="9">
        <v>0</v>
      </c>
      <c r="I14" s="9">
        <v>1</v>
      </c>
      <c r="J14" s="9">
        <v>0</v>
      </c>
      <c r="K14" s="9">
        <v>0</v>
      </c>
      <c r="L14" s="9">
        <v>1</v>
      </c>
      <c r="M14" s="9">
        <v>1</v>
      </c>
      <c r="N14" s="9">
        <v>1</v>
      </c>
      <c r="O14" s="9">
        <v>1</v>
      </c>
      <c r="P14" s="9">
        <v>1</v>
      </c>
      <c r="Q14" s="9">
        <v>1</v>
      </c>
      <c r="R14" s="9">
        <v>1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9">
        <v>0</v>
      </c>
      <c r="AA14" s="9">
        <v>1</v>
      </c>
      <c r="AB14" s="9">
        <v>1</v>
      </c>
      <c r="AC14" s="2">
        <v>0</v>
      </c>
      <c r="AD14" s="2">
        <f t="shared" si="1"/>
        <v>11</v>
      </c>
    </row>
    <row r="15" spans="1:30" x14ac:dyDescent="0.25">
      <c r="A15" s="11" t="s">
        <v>98</v>
      </c>
      <c r="B15" s="3" t="s">
        <v>8</v>
      </c>
      <c r="C15" s="5">
        <f>МО!AV19</f>
        <v>20.000000000000004</v>
      </c>
      <c r="D15" s="8">
        <f>МО!AV16</f>
        <v>17.0212</v>
      </c>
      <c r="E15" s="19">
        <f t="shared" si="0"/>
        <v>85.10599999999998</v>
      </c>
      <c r="F15" s="9">
        <v>1</v>
      </c>
      <c r="G15" s="9">
        <v>1</v>
      </c>
      <c r="H15" s="9">
        <v>1</v>
      </c>
      <c r="I15" s="9">
        <v>1</v>
      </c>
      <c r="J15" s="9">
        <v>1</v>
      </c>
      <c r="K15" s="9">
        <v>1</v>
      </c>
      <c r="L15" s="9">
        <v>1</v>
      </c>
      <c r="M15" s="9">
        <v>1</v>
      </c>
      <c r="N15" s="9">
        <v>1</v>
      </c>
      <c r="O15" s="9">
        <v>1</v>
      </c>
      <c r="P15" s="9">
        <v>1</v>
      </c>
      <c r="Q15" s="9">
        <v>1</v>
      </c>
      <c r="R15" s="9">
        <v>1</v>
      </c>
      <c r="S15" s="9">
        <v>0</v>
      </c>
      <c r="T15" s="9">
        <v>1</v>
      </c>
      <c r="U15" s="9">
        <v>1</v>
      </c>
      <c r="V15" s="9">
        <v>0</v>
      </c>
      <c r="W15" s="9">
        <v>1</v>
      </c>
      <c r="X15" s="9">
        <v>0</v>
      </c>
      <c r="Y15" s="9">
        <v>0</v>
      </c>
      <c r="Z15" s="9">
        <v>1</v>
      </c>
      <c r="AA15" s="9">
        <v>0</v>
      </c>
      <c r="AB15" s="9">
        <v>1</v>
      </c>
      <c r="AC15" s="2">
        <v>1</v>
      </c>
      <c r="AD15" s="2">
        <f t="shared" si="1"/>
        <v>19</v>
      </c>
    </row>
    <row r="16" spans="1:30" x14ac:dyDescent="0.25">
      <c r="A16" s="11" t="s">
        <v>99</v>
      </c>
      <c r="B16" s="102" t="s">
        <v>100</v>
      </c>
      <c r="C16" s="103"/>
      <c r="D16" s="104"/>
      <c r="E16" s="13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</row>
    <row r="17" spans="1:30" ht="30" x14ac:dyDescent="0.25">
      <c r="A17" s="11" t="s">
        <v>101</v>
      </c>
      <c r="B17" s="3" t="s">
        <v>10</v>
      </c>
      <c r="C17" s="2">
        <f>'ГРБС, ПБС'!AF14</f>
        <v>14.8</v>
      </c>
      <c r="D17" s="5">
        <f>'ГРБС, ПБС'!AF7</f>
        <v>8.83</v>
      </c>
      <c r="E17" s="20">
        <f t="shared" si="0"/>
        <v>59.662162162162161</v>
      </c>
      <c r="F17" s="9" t="s">
        <v>66</v>
      </c>
      <c r="G17" s="9">
        <v>0</v>
      </c>
      <c r="H17" s="9" t="s">
        <v>66</v>
      </c>
      <c r="I17" s="9">
        <v>0</v>
      </c>
      <c r="J17" s="9" t="s">
        <v>66</v>
      </c>
      <c r="K17" s="9">
        <v>0</v>
      </c>
      <c r="L17" s="2">
        <v>1</v>
      </c>
      <c r="M17" s="2">
        <v>1</v>
      </c>
      <c r="N17" s="9" t="s">
        <v>66</v>
      </c>
      <c r="O17" s="9" t="s">
        <v>66</v>
      </c>
      <c r="P17" s="9" t="s">
        <v>66</v>
      </c>
      <c r="Q17" s="9" t="s">
        <v>66</v>
      </c>
      <c r="R17" s="9" t="s">
        <v>66</v>
      </c>
      <c r="S17" s="9">
        <v>1</v>
      </c>
      <c r="T17" s="2">
        <v>1</v>
      </c>
      <c r="U17" s="2">
        <v>1</v>
      </c>
      <c r="V17" s="2">
        <v>1</v>
      </c>
      <c r="W17" s="2">
        <v>1</v>
      </c>
      <c r="X17" s="2">
        <v>0</v>
      </c>
      <c r="Y17" s="2">
        <v>0</v>
      </c>
      <c r="Z17" s="2">
        <v>0</v>
      </c>
      <c r="AA17" s="2">
        <v>1</v>
      </c>
      <c r="AB17" s="9">
        <v>1</v>
      </c>
      <c r="AC17" s="2">
        <v>0</v>
      </c>
      <c r="AD17" s="2">
        <f>SUM(F17:AC17)</f>
        <v>9</v>
      </c>
    </row>
    <row r="18" spans="1:30" ht="45" x14ac:dyDescent="0.25">
      <c r="A18" s="11" t="s">
        <v>102</v>
      </c>
      <c r="B18" s="3" t="s">
        <v>105</v>
      </c>
      <c r="C18" s="2">
        <f>'ГРБС, ПБС'!AF14</f>
        <v>14.8</v>
      </c>
      <c r="D18" s="5">
        <f>'ГРБС, ПБС'!AF8</f>
        <v>7.8999999999999995</v>
      </c>
      <c r="E18" s="20">
        <f t="shared" si="0"/>
        <v>53.378378378378379</v>
      </c>
      <c r="F18" s="9" t="s">
        <v>66</v>
      </c>
      <c r="G18" s="9" t="s">
        <v>66</v>
      </c>
      <c r="H18" s="9" t="s">
        <v>66</v>
      </c>
      <c r="I18" s="9" t="s">
        <v>66</v>
      </c>
      <c r="J18" s="9" t="s">
        <v>66</v>
      </c>
      <c r="K18" s="9" t="s">
        <v>66</v>
      </c>
      <c r="L18" s="2">
        <v>1</v>
      </c>
      <c r="M18" s="2">
        <v>1</v>
      </c>
      <c r="N18" s="9" t="s">
        <v>66</v>
      </c>
      <c r="O18" s="9" t="s">
        <v>66</v>
      </c>
      <c r="P18" s="9" t="s">
        <v>66</v>
      </c>
      <c r="Q18" s="9" t="s">
        <v>66</v>
      </c>
      <c r="R18" s="9" t="s">
        <v>66</v>
      </c>
      <c r="S18" s="9" t="s">
        <v>66</v>
      </c>
      <c r="T18" s="49">
        <v>1</v>
      </c>
      <c r="U18" s="26" t="s">
        <v>66</v>
      </c>
      <c r="V18" s="26" t="s">
        <v>66</v>
      </c>
      <c r="W18" s="26" t="s">
        <v>66</v>
      </c>
      <c r="X18" s="2">
        <v>1</v>
      </c>
      <c r="Y18" s="25" t="s">
        <v>66</v>
      </c>
      <c r="Z18" s="2">
        <v>1</v>
      </c>
      <c r="AA18" s="2">
        <v>1</v>
      </c>
      <c r="AB18" s="9">
        <v>1</v>
      </c>
      <c r="AC18" s="51">
        <v>1</v>
      </c>
      <c r="AD18" s="2">
        <f>SUM(F18:AC18)</f>
        <v>8</v>
      </c>
    </row>
    <row r="19" spans="1:30" ht="45" x14ac:dyDescent="0.25">
      <c r="A19" s="11" t="s">
        <v>103</v>
      </c>
      <c r="B19" s="3" t="s">
        <v>189</v>
      </c>
      <c r="C19" s="2">
        <f>'ГРБС, ПБС'!AF14</f>
        <v>14.8</v>
      </c>
      <c r="D19" s="5">
        <f>'ГРБС, ПБС'!AF9</f>
        <v>9.5399999999999991</v>
      </c>
      <c r="E19" s="20">
        <f t="shared" si="0"/>
        <v>64.459459459459453</v>
      </c>
      <c r="F19" s="9" t="s">
        <v>66</v>
      </c>
      <c r="G19" s="9">
        <v>0</v>
      </c>
      <c r="H19" s="9" t="s">
        <v>66</v>
      </c>
      <c r="I19" s="9">
        <v>0</v>
      </c>
      <c r="J19" s="9" t="s">
        <v>66</v>
      </c>
      <c r="K19" s="9">
        <v>0</v>
      </c>
      <c r="L19" s="2">
        <v>1</v>
      </c>
      <c r="M19" s="2">
        <v>1</v>
      </c>
      <c r="N19" s="9" t="s">
        <v>66</v>
      </c>
      <c r="O19" s="9" t="s">
        <v>66</v>
      </c>
      <c r="P19" s="9" t="s">
        <v>66</v>
      </c>
      <c r="Q19" s="9" t="s">
        <v>66</v>
      </c>
      <c r="R19" s="9" t="s">
        <v>66</v>
      </c>
      <c r="S19" s="9">
        <v>1</v>
      </c>
      <c r="T19" s="2">
        <v>1</v>
      </c>
      <c r="U19" s="2">
        <v>1</v>
      </c>
      <c r="V19" s="2">
        <v>1</v>
      </c>
      <c r="W19" s="2">
        <v>1</v>
      </c>
      <c r="X19" s="2">
        <v>0</v>
      </c>
      <c r="Y19" s="2">
        <v>0</v>
      </c>
      <c r="Z19" s="2">
        <v>0</v>
      </c>
      <c r="AA19" s="2">
        <v>1</v>
      </c>
      <c r="AB19" s="9">
        <v>1</v>
      </c>
      <c r="AC19" s="2">
        <v>0</v>
      </c>
      <c r="AD19" s="2">
        <f>SUM(F19:AC19)</f>
        <v>9</v>
      </c>
    </row>
    <row r="20" spans="1:30" hidden="1" x14ac:dyDescent="0.25">
      <c r="A20" s="11"/>
      <c r="B20" s="3"/>
      <c r="C20" s="2">
        <f>'ГРБС, ПБС'!AF17</f>
        <v>0</v>
      </c>
      <c r="D20" s="5"/>
      <c r="E20" s="20"/>
      <c r="F20" s="9" t="s">
        <v>66</v>
      </c>
      <c r="G20" s="9"/>
      <c r="H20" s="9" t="s">
        <v>66</v>
      </c>
      <c r="I20" s="9"/>
      <c r="J20" s="9"/>
      <c r="K20" s="9"/>
      <c r="L20" s="2"/>
      <c r="M20" s="2"/>
      <c r="N20" s="9" t="s">
        <v>66</v>
      </c>
      <c r="O20" s="9" t="s">
        <v>66</v>
      </c>
      <c r="P20" s="9" t="s">
        <v>66</v>
      </c>
      <c r="Q20" s="9" t="s">
        <v>66</v>
      </c>
      <c r="R20" s="9" t="s">
        <v>66</v>
      </c>
      <c r="S20" s="9"/>
      <c r="T20" s="2">
        <v>1</v>
      </c>
      <c r="U20" s="2"/>
      <c r="V20" s="2"/>
      <c r="W20" s="2"/>
      <c r="X20" s="2"/>
      <c r="Y20" s="2"/>
      <c r="Z20" s="2"/>
      <c r="AA20" s="2"/>
      <c r="AB20" s="9"/>
      <c r="AC20" s="2"/>
      <c r="AD20" s="2"/>
    </row>
    <row r="21" spans="1:30" ht="30" x14ac:dyDescent="0.25">
      <c r="A21" s="11" t="s">
        <v>104</v>
      </c>
      <c r="B21" s="3" t="s">
        <v>106</v>
      </c>
      <c r="C21" s="2">
        <f>'ГРБС, ПБС'!AF14</f>
        <v>14.8</v>
      </c>
      <c r="D21" s="5">
        <f>'ГРБС, ПБС'!AF11</f>
        <v>11.19</v>
      </c>
      <c r="E21" s="20">
        <f t="shared" si="0"/>
        <v>75.608108108108098</v>
      </c>
      <c r="F21" s="9" t="s">
        <v>66</v>
      </c>
      <c r="G21" s="9">
        <v>1</v>
      </c>
      <c r="H21" s="9" t="s">
        <v>66</v>
      </c>
      <c r="I21" s="9">
        <v>1</v>
      </c>
      <c r="J21" s="9" t="s">
        <v>66</v>
      </c>
      <c r="K21" s="9">
        <v>1</v>
      </c>
      <c r="L21" s="9">
        <v>1</v>
      </c>
      <c r="M21" s="9">
        <v>1</v>
      </c>
      <c r="N21" s="9" t="s">
        <v>66</v>
      </c>
      <c r="O21" s="9" t="s">
        <v>66</v>
      </c>
      <c r="P21" s="9" t="s">
        <v>66</v>
      </c>
      <c r="Q21" s="9" t="s">
        <v>66</v>
      </c>
      <c r="R21" s="9" t="s">
        <v>66</v>
      </c>
      <c r="S21" s="9">
        <v>1</v>
      </c>
      <c r="T21" s="9">
        <v>1</v>
      </c>
      <c r="U21" s="9">
        <v>1</v>
      </c>
      <c r="V21" s="9">
        <v>1</v>
      </c>
      <c r="W21" s="9">
        <v>1</v>
      </c>
      <c r="X21" s="9" t="s">
        <v>66</v>
      </c>
      <c r="Y21" s="9">
        <v>0</v>
      </c>
      <c r="Z21" s="9" t="s">
        <v>66</v>
      </c>
      <c r="AA21" s="9">
        <v>0</v>
      </c>
      <c r="AB21" s="9">
        <v>1</v>
      </c>
      <c r="AC21" s="9">
        <v>0</v>
      </c>
      <c r="AD21" s="2">
        <f>SUM(F21:AC21)</f>
        <v>11</v>
      </c>
    </row>
    <row r="22" spans="1:30" x14ac:dyDescent="0.25">
      <c r="A22" s="2"/>
      <c r="B22" s="14" t="s">
        <v>83</v>
      </c>
      <c r="C22" s="15">
        <f>(C7+C8+C9+C10+C11+C12+C13+C14+C15+C17+C18+C19+C20+C21)/13</f>
        <v>18.400000000000006</v>
      </c>
      <c r="D22" s="15">
        <f>(D7+D8+D9+D10+D11+D12+D13+D14+D15+D17+D18+D19+D20+D21)/13</f>
        <v>12.361648717948718</v>
      </c>
      <c r="E22" s="15"/>
      <c r="F22" s="2">
        <f>F8+F10+F12+F13+F14+F15</f>
        <v>6</v>
      </c>
      <c r="G22" s="2">
        <f>G21+G15+G13+G12+G11+G9+G8</f>
        <v>7</v>
      </c>
      <c r="H22" s="2">
        <f>H15+H11+H9</f>
        <v>3</v>
      </c>
      <c r="I22" s="2">
        <f>I21+I15+I14+I13+I12+I11+I10+I9+I8+I7</f>
        <v>10</v>
      </c>
      <c r="J22" s="2">
        <f>J15+J13+J12+J11+J10+J9+J8+J7</f>
        <v>8</v>
      </c>
      <c r="K22" s="2">
        <f>K21+K15+K13+K12+K10+K9+K8</f>
        <v>7</v>
      </c>
      <c r="L22" s="2">
        <f>L21+L19+L18+L17+L15+L14+L13+L12+L11+L9+L8+L7</f>
        <v>12</v>
      </c>
      <c r="M22" s="2">
        <f>M21+M19+M18+M17+M14+M15+M13+M12+M11+M10+M9+M8+M7</f>
        <v>13</v>
      </c>
      <c r="N22" s="2">
        <f>N15+N14+N13+N12+N11+N10+N9+N8+N7</f>
        <v>9</v>
      </c>
      <c r="O22" s="2">
        <f>O15+O14+O13+O11+O12+O9+O8+O7</f>
        <v>8</v>
      </c>
      <c r="P22" s="2">
        <f>P15+P14+P13+P12+P11+P10+P9+P8</f>
        <v>8</v>
      </c>
      <c r="Q22" s="2">
        <f>Q15+Q14+Q13+Q12+Q11+Q10+Q9+Q8+Q7</f>
        <v>9</v>
      </c>
      <c r="R22" s="2">
        <f>R15+R14+R13+R12+R11+R10+R9+R8+R7</f>
        <v>9</v>
      </c>
      <c r="S22" s="2">
        <f>S21+S19+S17</f>
        <v>3</v>
      </c>
      <c r="T22" s="52">
        <f>T21+T19+T18+T17+T15+T13+T11+T9</f>
        <v>8</v>
      </c>
      <c r="U22" s="2">
        <f>U21+U19+U17+U15+U13+U11+U9</f>
        <v>7</v>
      </c>
      <c r="V22" s="2">
        <f>V21+V19+V17+V13+V11+V9</f>
        <v>6</v>
      </c>
      <c r="W22" s="2">
        <f>W21++W19+W17+W15+W13+W11+W9</f>
        <v>7</v>
      </c>
      <c r="X22" s="2">
        <f>X18</f>
        <v>1</v>
      </c>
      <c r="Y22" s="52">
        <v>0</v>
      </c>
      <c r="Z22" s="2">
        <f>Z18+Z15+Z11+Z9</f>
        <v>4</v>
      </c>
      <c r="AA22" s="9">
        <f>AA19+AA18+AA17+AA14+AA12+AA9+AA8</f>
        <v>7</v>
      </c>
      <c r="AB22" s="9">
        <f>AB21+AB19+AB18+AB17+AB15+AB14+AB13+AB12+AB9+AB8</f>
        <v>10</v>
      </c>
      <c r="AC22" s="50">
        <f>AC18+AC15</f>
        <v>2</v>
      </c>
      <c r="AD22" s="2">
        <f>AD7+AD8+AD9+AD10+AD11+AD12+AD13+AD14+AD15+AD17+AD18+AD19+AD20+AD21</f>
        <v>164</v>
      </c>
    </row>
    <row r="24" spans="1:30" s="22" customFormat="1" ht="21" x14ac:dyDescent="0.35">
      <c r="A24" s="83" t="s">
        <v>87</v>
      </c>
      <c r="B24" s="83"/>
      <c r="C24" s="83"/>
      <c r="D24" s="83"/>
      <c r="E24" s="21"/>
    </row>
    <row r="25" spans="1:30" s="22" customFormat="1" ht="20.25" customHeight="1" x14ac:dyDescent="0.35">
      <c r="A25" s="22" t="s">
        <v>148</v>
      </c>
    </row>
    <row r="26" spans="1:30" s="22" customFormat="1" ht="20.25" customHeight="1" x14ac:dyDescent="0.35">
      <c r="A26" s="105" t="s">
        <v>194</v>
      </c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</row>
    <row r="27" spans="1:30" s="22" customFormat="1" ht="20.25" customHeight="1" x14ac:dyDescent="0.35">
      <c r="A27" s="105" t="s">
        <v>149</v>
      </c>
      <c r="B27" s="105"/>
      <c r="C27" s="105"/>
      <c r="D27" s="105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</row>
    <row r="28" spans="1:30" s="22" customFormat="1" ht="20.25" customHeight="1" x14ac:dyDescent="0.35">
      <c r="A28" s="105" t="s">
        <v>195</v>
      </c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</row>
    <row r="29" spans="1:30" s="22" customFormat="1" ht="20.25" customHeight="1" x14ac:dyDescent="0.35">
      <c r="A29" s="105" t="s">
        <v>196</v>
      </c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</row>
    <row r="30" spans="1:30" s="22" customFormat="1" ht="20.25" customHeight="1" x14ac:dyDescent="0.35">
      <c r="A30" s="62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</row>
    <row r="31" spans="1:30" s="22" customFormat="1" ht="21" x14ac:dyDescent="0.35">
      <c r="A31" s="22" t="s">
        <v>88</v>
      </c>
    </row>
    <row r="32" spans="1:30" s="22" customFormat="1" ht="63.75" customHeight="1" x14ac:dyDescent="0.35">
      <c r="A32" s="105" t="s">
        <v>198</v>
      </c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</row>
    <row r="33" spans="1:30" s="22" customFormat="1" ht="23.25" customHeight="1" x14ac:dyDescent="0.35">
      <c r="A33" s="105"/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</row>
    <row r="34" spans="1:30" s="22" customFormat="1" ht="21" x14ac:dyDescent="0.35">
      <c r="A34" s="22" t="s">
        <v>100</v>
      </c>
    </row>
    <row r="35" spans="1:30" s="22" customFormat="1" ht="21" hidden="1" x14ac:dyDescent="0.35"/>
    <row r="36" spans="1:30" s="22" customFormat="1" ht="63" customHeight="1" x14ac:dyDescent="0.35">
      <c r="A36" s="105" t="s">
        <v>197</v>
      </c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</row>
  </sheetData>
  <mergeCells count="15">
    <mergeCell ref="A36:AD36"/>
    <mergeCell ref="C4:E4"/>
    <mergeCell ref="B4:B5"/>
    <mergeCell ref="A4:A5"/>
    <mergeCell ref="A27:D27"/>
    <mergeCell ref="A2:D2"/>
    <mergeCell ref="A24:D24"/>
    <mergeCell ref="B6:D6"/>
    <mergeCell ref="B16:D16"/>
    <mergeCell ref="A33:AD33"/>
    <mergeCell ref="A28:AD28"/>
    <mergeCell ref="A29:AD29"/>
    <mergeCell ref="A32:AD32"/>
    <mergeCell ref="A26:AD26"/>
    <mergeCell ref="F4:AD4"/>
  </mergeCells>
  <pageMargins left="0.11811023622047245" right="0.11811023622047245" top="0.74803149606299213" bottom="0.15748031496062992" header="0.31496062992125984" footer="0.31496062992125984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справочно</vt:lpstr>
      <vt:lpstr>Лист1</vt:lpstr>
      <vt:lpstr>МО</vt:lpstr>
      <vt:lpstr>ГРБС, ПБС</vt:lpstr>
      <vt:lpstr>ОЦЕНКА</vt:lpstr>
      <vt:lpstr>'ГРБС, ПБС'!Заголовки_для_печати</vt:lpstr>
      <vt:lpstr>МО!Заголовки_для_печати</vt:lpstr>
      <vt:lpstr>справочно!Заголовки_для_печати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2017-02-21T07:06:39Z</dcterms:modified>
</cp:coreProperties>
</file>